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\\cps-satx.com\GroupShares\CE_ChiefOfStaff\RAC\Working Group meetings\9-23\"/>
    </mc:Choice>
  </mc:AlternateContent>
  <xr:revisionPtr revIDLastSave="0" documentId="8_{028354EE-CFE1-4ED6-9A44-9CA1ECE2619B}" xr6:coauthVersionLast="31" xr6:coauthVersionMax="31" xr10:uidLastSave="{00000000-0000-0000-0000-000000000000}"/>
  <bookViews>
    <workbookView xWindow="28680" yWindow="-120" windowWidth="29040" windowHeight="15840" tabRatio="904" xr2:uid="{00000000-000D-0000-FFFF-FFFF00000000}"/>
  </bookViews>
  <sheets>
    <sheet name="Index" sheetId="65" r:id="rId1"/>
    <sheet name="1. RB-i" sheetId="1" r:id="rId2"/>
    <sheet name="1a. Funct Factors" sheetId="75" r:id="rId3"/>
    <sheet name="2a. RB-np" sheetId="2" r:id="rId4"/>
    <sheet name="2b. RB-sf" sheetId="3" r:id="rId5"/>
    <sheet name="2c. RB-sfaf" sheetId="4" r:id="rId6"/>
    <sheet name="3a. OM_AG-i" sheetId="5" r:id="rId7"/>
    <sheet name="3b. OM_AG-sf" sheetId="6" r:id="rId8"/>
    <sheet name="3c. OM_AG-sfaf" sheetId="7" r:id="rId9"/>
    <sheet name="4a. OM less M&amp;S" sheetId="8" r:id="rId10"/>
    <sheet name="4b. OM less M&amp;S-sf" sheetId="9" r:id="rId11"/>
    <sheet name="5a. DE-i" sheetId="10" r:id="rId12"/>
    <sheet name="5b. DE-sf" sheetId="11" r:id="rId13"/>
    <sheet name="6a. OE_OR-i" sheetId="12" r:id="rId14"/>
    <sheet name="6b. OE_OR-sf" sheetId="13" r:id="rId15"/>
    <sheet name="6c. OE_OR-sfaf" sheetId="14" r:id="rId16"/>
    <sheet name="7a. LX_AG-i" sheetId="15" r:id="rId17"/>
    <sheet name="7b. LX_AG-sf" sheetId="16" r:id="rId18"/>
    <sheet name="7c. LX_AG-sfaf" sheetId="17" r:id="rId19"/>
    <sheet name="7d. PAYXAG" sheetId="76" r:id="rId20"/>
    <sheet name="8a. DS-Cash " sheetId="18" r:id="rId21"/>
    <sheet name="8b.DS-Cash-sf" sheetId="19" r:id="rId22"/>
    <sheet name="9a. Summary Schedules" sheetId="20" r:id="rId23"/>
    <sheet name="9b. Summary Schedules-sf" sheetId="21" r:id="rId24"/>
    <sheet name="10a. RB by class" sheetId="22" r:id="rId25"/>
    <sheet name="10b. Debt Ser by class" sheetId="23" r:id="rId26"/>
    <sheet name="10c. Cash by class" sheetId="24" r:id="rId27"/>
    <sheet name="10d-1. Fuel by class" sheetId="25" r:id="rId28"/>
    <sheet name="10d-2. Trans by class" sheetId="55" r:id="rId29"/>
    <sheet name="10e. OM excl Fuel by class" sheetId="26" r:id="rId30"/>
    <sheet name="10f. AG by class" sheetId="27" r:id="rId31"/>
    <sheet name="10g.Total Op ex by class " sheetId="28" r:id="rId32"/>
    <sheet name="10h. Int-CD by class" sheetId="29" r:id="rId33"/>
    <sheet name="10i. STP-DC by class" sheetId="30" r:id="rId34"/>
    <sheet name="10j. PAYTAX by class" sheetId="31" r:id="rId35"/>
    <sheet name="10k.G-Tot Exp  by class" sheetId="62" r:id="rId36"/>
    <sheet name="10l. CP by class" sheetId="32" r:id="rId37"/>
    <sheet name="10m. Bad debt by class" sheetId="57" r:id="rId38"/>
    <sheet name="10n. Late Payment by class" sheetId="61" r:id="rId39"/>
    <sheet name="10o. Other Revenue by class" sheetId="58" r:id="rId40"/>
    <sheet name="10p. Interest income by class" sheetId="59" r:id="rId41"/>
    <sheet name="10q. TY summary by class" sheetId="60" r:id="rId42"/>
    <sheet name="11a. AF by class" sheetId="33" r:id="rId43"/>
    <sheet name="11b. Dev of cust wghted af" sheetId="34" r:id="rId44"/>
    <sheet name="11c. Cust &amp; Demand Array" sheetId="35" r:id="rId45"/>
    <sheet name="12a-1. RevReq by class" sheetId="36" r:id="rId46"/>
    <sheet name="reconciliation" sheetId="66" r:id="rId47"/>
  </sheets>
  <externalReferences>
    <externalReference r:id="rId48"/>
    <externalReference r:id="rId49"/>
    <externalReference r:id="rId50"/>
    <externalReference r:id="rId51"/>
    <externalReference r:id="rId52"/>
  </externalReferences>
  <definedNames>
    <definedName name="\i">[1]Gas!#REF!</definedName>
    <definedName name="\p">[1]Gas!#REF!</definedName>
    <definedName name="___DAT1">#REF!</definedName>
    <definedName name="___DAT10">#REF!</definedName>
    <definedName name="___DAT11">#REF!</definedName>
    <definedName name="___DAT12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DAT1">#REF!</definedName>
    <definedName name="__DAT10">#REF!</definedName>
    <definedName name="__DAT11">#REF!</definedName>
    <definedName name="__DAT12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A" localSheetId="2">#REF!</definedName>
    <definedName name="A">#REF!</definedName>
    <definedName name="adfasdfasdf">[2]All_5_PO_Over_25!$A$1:$G$198</definedName>
    <definedName name="afgasdfasdf">[2]All_1_NPO_Over_25!$A$1:$G$29</definedName>
    <definedName name="All_1_NPO_Over_25">#REF!</definedName>
    <definedName name="All_5_PO_Over_25">#REF!</definedName>
    <definedName name="All_CheckRegister">#REF!</definedName>
    <definedName name="All_NonPO">#REF!</definedName>
    <definedName name="All_PO">#REF!</definedName>
    <definedName name="Amount_CS">#REF!</definedName>
    <definedName name="Amount_NCS">#REF!</definedName>
    <definedName name="asdfasdfsd">#REF!</definedName>
    <definedName name="at">'[3]Stats GenMix Wksht'!#REF!</definedName>
    <definedName name="B" localSheetId="2">#REF!</definedName>
    <definedName name="B">#REF!</definedName>
    <definedName name="BEx0017DGUEDPCFJUPUZOOLJCS2B" hidden="1">#REF!</definedName>
    <definedName name="BEx001CNWHJ5RULCSFM36ZCGJ1UH" hidden="1">#REF!</definedName>
    <definedName name="BEx0035F9R4XS0KS105SHGQVJ3SS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B8R63QEM0CWE2H9PWRK894A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0MMQCKY1RAAU23WSCWKJ0C5M" hidden="1">#REF!</definedName>
    <definedName name="BEx01HY6E3GJ66ABU5ABN26V6Q13" hidden="1">#REF!</definedName>
    <definedName name="BEx01KCIFHY63OFHJG956PS2M41Y" hidden="1">#REF!</definedName>
    <definedName name="BEx01PW5YQKEGAR8JDDI5OARYXDF" hidden="1">#REF!</definedName>
    <definedName name="BEx01XJ94SHJ1YQ7ORPW0RQGKI2H" hidden="1">#REF!</definedName>
    <definedName name="BEx022XGCW9GA70CYVTA6WOL1AGO" hidden="1">#REF!</definedName>
    <definedName name="BEx024FEYMIEX7SOOVX4I7364QFI" hidden="1">#REF!</definedName>
    <definedName name="BEx02GEZNR19YQROEU0J3L7HQCWM" hidden="1">#REF!</definedName>
    <definedName name="BEx02Q08R9G839Q4RFGG9026C7PX" hidden="1">#REF!</definedName>
    <definedName name="BEx02SEL3Z1QWGAHXDPUA9WLTTPS" hidden="1">#REF!</definedName>
    <definedName name="BEx02XI148B0JR1NHR560QEH2ES8" hidden="1">#REF!</definedName>
    <definedName name="BEx02Y3KJZH5BGDM9QEZ1PVVI114" hidden="1">#REF!</definedName>
    <definedName name="BEx03074BZJEW0KUIRVYO1ZXDPS2" hidden="1">#REF!</definedName>
    <definedName name="BEx0313GRLLASDTVPW5DHTXHE74M" hidden="1">#REF!</definedName>
    <definedName name="BEx03A35XUZFEHZDX2XX1OJEA7YK" hidden="1">#REF!</definedName>
    <definedName name="BEx03ORVGCNAW1QT6JF1DHF88HTE" hidden="1">#REF!</definedName>
    <definedName name="BEx03SYXIL3UUL4Y281M9RHQKTK2" hidden="1">#REF!</definedName>
    <definedName name="BEx1F0SOZ3H5XUHXD7O01TCR8T6J" hidden="1">#REF!</definedName>
    <definedName name="BEx1F9HL824UCNCVZ2U62J4KZCX8" hidden="1">#REF!</definedName>
    <definedName name="BEx1FDDUGERWBLWCE8PU8HEWJG2B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2EPYUBNUEGBWFTBGVQ07LHX" hidden="1">#REF!</definedName>
    <definedName name="BEx1G59AO6ZJ6XTE1KNL4W0G44QJ" hidden="1">#REF!</definedName>
    <definedName name="BEx1G59AY8195JTUM6P18VXUFJ3E" hidden="1">#REF!</definedName>
    <definedName name="BEx1GCR17NOZH3YZFKBMT939J42G" hidden="1">#REF!</definedName>
    <definedName name="BEx1GNU80GULS9L2ZZT9ZJVVNGYX" hidden="1">#REF!</definedName>
    <definedName name="BEx1GQDWSXVO4R25G6SFEMAGX89Z" hidden="1">#REF!</definedName>
    <definedName name="BEx1GSHE5GM96L1EZLEVTZZQ2IIO" hidden="1">#REF!</definedName>
    <definedName name="BEx1GVMRHFXUP6XYYY9NR12PV5TF" hidden="1">#REF!</definedName>
    <definedName name="BEx1GW2VKEXVJ2N2H1BWCQZGRXX8" hidden="1">#REF!</definedName>
    <definedName name="BEx1GZDJREFOEC0OX250QWW9BPX8" hidden="1">#REF!</definedName>
    <definedName name="BEx1GZTTUK5S7MZSJ7LEJK5JM9EE" hidden="1">#REF!</definedName>
    <definedName name="BEx1H6KIT7BHUH6MDDWC935V9N47" hidden="1">#REF!</definedName>
    <definedName name="BEx1H7GWZRC9OEBG65NUECLJFXTW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MAWWEE8CS0EU7C5RA0YH77U" hidden="1">#REF!</definedName>
    <definedName name="BEx1HO94JIRX219MPWMB5E5XZ04X" hidden="1">#REF!</definedName>
    <definedName name="BEx1HOEKN6SGU9TGBQZFZQSFMU08" hidden="1">#REF!</definedName>
    <definedName name="BEx1HQNF6KHM21E3XLW0NMSSEI9S" hidden="1">#REF!</definedName>
    <definedName name="BEx1HSLNWIW4S97ZBYY7I7M5YVH4" hidden="1">#REF!</definedName>
    <definedName name="BEx1HTCJJ2U4IM16EY580I6UWJHK" hidden="1">#REF!</definedName>
    <definedName name="BEx1HV597QYX41F0EO0UKUL3YTGO" hidden="1">#REF!</definedName>
    <definedName name="BEx1HY57C2IB0VUCE305RRJ0Y9JM" hidden="1">#REF!</definedName>
    <definedName name="BEx1I4QKTILCKZUSOJCVZN7SNHL5" hidden="1">#REF!</definedName>
    <definedName name="BEx1I5C58H6RRTOSWTO509WU1I4S" hidden="1">#REF!</definedName>
    <definedName name="BEx1IDQ9RO4G2C8YG2KN5VGIK0E3" hidden="1">#REF!</definedName>
    <definedName name="BEx1IE0ZP7RIFM9FI24S9I6AAJ14" hidden="1">#REF!</definedName>
    <definedName name="BEx1IFDHN0AUWUM7T2O2W7B8VL64" hidden="1">#REF!</definedName>
    <definedName name="BEx1IGQ5B697MNDOE06MVSR0H58E" hidden="1">#REF!</definedName>
    <definedName name="BEx1IKRPW8MLB9Y485M1TL2IT9SH" hidden="1">#REF!</definedName>
    <definedName name="BEx1IY97ZCRL45CB4JJ4MF0B6J0J" hidden="1">#REF!</definedName>
    <definedName name="BEx1J0CSSHDJGBJUHVOEMCF2P4DL" hidden="1">#REF!</definedName>
    <definedName name="BEx1J1EH82G90XQA2J312MTVGXET" hidden="1">#REF!</definedName>
    <definedName name="BEx1J25INC938M4B3P5PUULY84RB" hidden="1">#REF!</definedName>
    <definedName name="BEx1J4P5DRV58OINHX4PTM7UWCDE" hidden="1">#REF!</definedName>
    <definedName name="BEx1J61RRF9LJ3V3R5OY3WJ6VBWR" hidden="1">#REF!</definedName>
    <definedName name="BEx1J7E8VCGLPYU82QXVUG5N3ZAI" hidden="1">#REF!</definedName>
    <definedName name="BEx1J9SPWG5P7Y2KPW6OW5NKOEPJ" hidden="1">#REF!</definedName>
    <definedName name="BEx1JBL9FT8AWHS1SBR7ZJ65TLU1" hidden="1">#REF!</definedName>
    <definedName name="BEx1JDE6J8JNZBDIT2ZN1I75MGW2" hidden="1">#REF!</definedName>
    <definedName name="BEx1JGDWTV6XIO5UDHDAKFRXJOKL" hidden="1">#REF!</definedName>
    <definedName name="BEx1JGE2YQWH8S25USOY08XVGO0D" hidden="1">#REF!</definedName>
    <definedName name="BEx1JHAAFARBDQ45JSYMZZW42VP2" hidden="1">#REF!</definedName>
    <definedName name="BEx1JJJC9T1W7HY4V7HP1S1W4JO1" hidden="1">#REF!</definedName>
    <definedName name="BEx1JKKZSJ7DI4PTFVI9VVFMB1X2" hidden="1">#REF!</definedName>
    <definedName name="BEx1JMTZ5UPYXIQV8KEXXMKU8068" hidden="1">#REF!</definedName>
    <definedName name="BEx1JQQ9VJN8Y3CYGVH1TSEFC2VC" hidden="1">#REF!</definedName>
    <definedName name="BEx1JUBQFRVMASSFK4B3V0AD7YP9" hidden="1">#REF!</definedName>
    <definedName name="BEx1JXBM5W4YRWNQ0P95QQS6JWD6" hidden="1">#REF!</definedName>
    <definedName name="BEx1K841TMN2HABI9KFRZY06ZM5C" hidden="1">#REF!</definedName>
    <definedName name="BEx1KBK1ACCV9XSOTMT60M1Q9BG4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KYSCZ64YQ4SH74FMOZ97UENI" hidden="1">#REF!</definedName>
    <definedName name="BEx1KZ2YN1PUJUWRZPKQNAH5UBWG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MB9RW982DUILM2WPT5VWQ3" hidden="1">#REF!</definedName>
    <definedName name="BEx1LDMCNPBTORV6WS8LLI4NNBDH" hidden="1">#REF!</definedName>
    <definedName name="BEx1LFPVF7VSDZIR08NQBH9I8KMD" hidden="1">#REF!</definedName>
    <definedName name="BEx1LKYLJT65O22EFHJCB1EOV30F" hidden="1">#REF!</definedName>
    <definedName name="BEx1LQT29ITS190MLNKOWCDY96U4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3ZTTBRKOV9PIN5V4JGQTSOO" hidden="1">#REF!</definedName>
    <definedName name="BEx1M51HHDYGIT8PON7U8ICL2S95" hidden="1">#REF!</definedName>
    <definedName name="BEx1MDKX6GT83JIFITXWWAEE0UK2" hidden="1">#REF!</definedName>
    <definedName name="BEx1MHRZQEU0DA5CIV55L7J94W6V" hidden="1">#REF!</definedName>
    <definedName name="BEx1MIJ2BAISISP44B7EXCN34R1W" hidden="1">#REF!</definedName>
    <definedName name="BEx1MRTIFL2H25CIVBQD6EW8S859" hidden="1">#REF!</definedName>
    <definedName name="BEx1MTRKKVCHOZ0YGID6HZ49LJTO" hidden="1">#REF!</definedName>
    <definedName name="BEx1MZRED6ACFYMZPAVFNBFXJY7T" hidden="1">#REF!</definedName>
    <definedName name="BEx1N3CUJ3UX61X38ZAJVPEN4KMC" hidden="1">#REF!</definedName>
    <definedName name="BEx1NISLYKXK8S2PHLJTVGBSKI1G" hidden="1">#REF!</definedName>
    <definedName name="BEx1NM34KQTO1LDNSAFD1L82UZFG" hidden="1">#REF!</definedName>
    <definedName name="BEx1NO1CTMPTZ7ESGLR9TWX5AHMM" hidden="1">#REF!</definedName>
    <definedName name="BEx1NO6TXZVOGCUWCCRTXRXWW0XL" hidden="1">#REF!</definedName>
    <definedName name="BEx1NS8EU5P9FQV3S0WRTXI5L361" hidden="1">#REF!</definedName>
    <definedName name="BEx1NSZ9BJ7AQ0ZL8JCWCB1TG2D0" hidden="1">#REF!</definedName>
    <definedName name="BEx1NUBX5VUYZFKQH69FN6BTLWCR" hidden="1">#REF!</definedName>
    <definedName name="BEx1NVJ3E5SU6GZFDQFADRVUTYYG" hidden="1">#REF!</definedName>
    <definedName name="BEx1NZ4K1L8UON80Y2A4RASKWGNP" hidden="1">#REF!</definedName>
    <definedName name="BEx1O5PW0ML7MAOW3S386DWXU40E" hidden="1">#REF!</definedName>
    <definedName name="BEx1O6BHP19QT4CUPG1GDQCR7NZ3" hidden="1">#REF!</definedName>
    <definedName name="BEx1OIWOWNIOFXIWZS6V0P5U8Y1U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UFYDV78D0C5OU4ENVDA803L" hidden="1">#REF!</definedName>
    <definedName name="BEx1OVHUSWIDWM1C4YL9GB1LBW3B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82ZNDY4COHBZ7LT1T289B17" hidden="1">#REF!</definedName>
    <definedName name="BEx1PA11BLPVZM8RC5BL46WX8YB5" hidden="1">#REF!</definedName>
    <definedName name="BEx1PBZ4BEFIPGMQXT9T8S4PZ2IM" hidden="1">#REF!</definedName>
    <definedName name="BEx1PC9WVOK45ETR5N2J3WOVY8V4" hidden="1">#REF!</definedName>
    <definedName name="BEx1PFF8XD39RSWBJ54ZH71ZOT25" hidden="1">#REF!</definedName>
    <definedName name="BEx1PJBIXGB3MVOMIDY7IISXGEV8" hidden="1">#REF!</definedName>
    <definedName name="BEx1PLF2CFSXBZPVI6CJ534EIJDN" hidden="1">#REF!</definedName>
    <definedName name="BEx1PMWZB2DO6EM9BKLUICZJ65HD" hidden="1">#REF!</definedName>
    <definedName name="BEx1Q0JVRI0SM15J6X5RBN8YA9DY" hidden="1">#REF!</definedName>
    <definedName name="BEx1Q98QQ5V6WEG5M3VW9U5YY4D3" hidden="1">#REF!</definedName>
    <definedName name="BEx1QA54J2A4I7IBQR19BTY28ZMR" hidden="1">#REF!</definedName>
    <definedName name="BEx1QESF0PO57X7QXKGJ924YC6YM" hidden="1">#REF!</definedName>
    <definedName name="BEx1QEXRW1TVNO68DZFMH123LSYI" hidden="1">#REF!</definedName>
    <definedName name="BEx1QJKX4EDT4R4APCIFMDF7M0RI" hidden="1">#REF!</definedName>
    <definedName name="BEx1QMQAHG3KQUK59DVM68SWKZIZ" hidden="1">#REF!</definedName>
    <definedName name="BEx1QRO93QHT1IA2O89OGIUQPPQ2" hidden="1">#REF!</definedName>
    <definedName name="BEx1QZM8CUTY38J74GMV4V4QH2BU" hidden="1">#REF!</definedName>
    <definedName name="BEx1R25WFIESCY1YNJMP7WBEZOIT" hidden="1">#REF!</definedName>
    <definedName name="BEx1R9YFKJCMSEST8OVCAO5E47FO" hidden="1">#REF!</definedName>
    <definedName name="BEx1RBGC06B3T52OIC0EQ1KGVP1I" hidden="1">#REF!</definedName>
    <definedName name="BEx1RER1ZLKT6Q6YK77T965DB8CM" hidden="1">#REF!</definedName>
    <definedName name="BEx1RM8SRDTTPQRUFG2XYVCZNORB" hidden="1">#REF!</definedName>
    <definedName name="BEx1RO1IM8QNOFS3U3MEJXYOVCB7" hidden="1">#REF!</definedName>
    <definedName name="BEx1RRC7X4NI1CU4EO5XYE2GVARJ" hidden="1">#REF!</definedName>
    <definedName name="BEx1RW4V5UL3BZ7F1PW5JZ3T2OBA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N97ZY4Q6QMADTXSSQEHRP44" hidden="1">#REF!</definedName>
    <definedName name="BEx1SSNEZINBJT29QVS62VS1THT4" hidden="1">#REF!</definedName>
    <definedName name="BEx1SVNCHNANBJIDIQVB8AFK4HAN" hidden="1">#REF!</definedName>
    <definedName name="BEx1T1CBPRHKXJZQH79YR6937C96" hidden="1">#REF!</definedName>
    <definedName name="BEx1T1N3VJC97TF4GVD3YC3QU67E" hidden="1">#REF!</definedName>
    <definedName name="BEx1T2ZRHKGJ06JEWBJ6GAHNGVUD" hidden="1">#REF!</definedName>
    <definedName name="BEx1T4C82HZ97UVP2YIFAXIXQWNC" hidden="1">#REF!</definedName>
    <definedName name="BEx1TJ0WLS9O7KNSGIPWTYHDYI1D" hidden="1">#REF!</definedName>
    <definedName name="BEx1TPRN8652VL0MAM0IO4SGNJ34" hidden="1">#REF!</definedName>
    <definedName name="BEx1TQO4TGHOXXFIMHCV677JJ5BK" hidden="1">#REF!</definedName>
    <definedName name="BEx1U15M7LVVFZENH830B2BGWC04" hidden="1">#REF!</definedName>
    <definedName name="BEx1U33UGA2ATK24H7RI3DXYKY94" hidden="1">#REF!</definedName>
    <definedName name="BEx1U51V77LF71YVXNNB5601VYE9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TH5K82LYKOLWGVL4RR3A0KI" hidden="1">#REF!</definedName>
    <definedName name="BEx1UUDIQPZ23XQ79GUL0RAWRSCK" hidden="1">#REF!</definedName>
    <definedName name="BEx1V67SEV778NVW68J8W5SND1J7" hidden="1">#REF!</definedName>
    <definedName name="BEx1V6IKJCXS1BGMLZA5CJD0232Y" hidden="1">#REF!</definedName>
    <definedName name="BEx1V80K13EW679KRTHE56XFP05U" hidden="1">#REF!</definedName>
    <definedName name="BEx1V9CZCD6LG79Q0X6NSM7E0GZW" hidden="1">#REF!</definedName>
    <definedName name="BEx1VE5NG8JVHFAOO71DNNBL6EM3" hidden="1">#REF!</definedName>
    <definedName name="BEx1VF7IC0F5Z7NVJXSE84DNZ23T" hidden="1">#REF!</definedName>
    <definedName name="BEx1VIY9SQLRESD11CC4PHYT0XSG" hidden="1">#REF!</definedName>
    <definedName name="BEx1VLSV1AMA2SB34WBEFWDWW0X1" hidden="1">#REF!</definedName>
    <definedName name="BEx1VV8OJ28KPBJKVJGDOB7HO2ML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I0OBFT60DYNQE96VODA06UO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R5O6QCO6EGNYDV5TW1H67FC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4N847CL5WVP8BZS60LR4B6Y" hidden="1">#REF!</definedName>
    <definedName name="BEx1XK8AAMO0AH0Z1OUKW30CA7EQ" hidden="1">#REF!</definedName>
    <definedName name="BEx1XL4MZ7C80495GHQRWOBS16PQ" hidden="1">#REF!</definedName>
    <definedName name="BEx1XUPWPJNV4NALRVWDE185FOWK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1Z49XYGYE48L3HD6A1W7UELW1" hidden="1">#REF!</definedName>
    <definedName name="BEx39XF18HWBU4NMWFULHH0D6C7T" hidden="1">#REF!</definedName>
    <definedName name="BEx3AMAKWI6458B67VKZO56MCNJW" hidden="1">#REF!</definedName>
    <definedName name="BEx3AOOVM42G82TNF53W0EKXLUSI" hidden="1">#REF!</definedName>
    <definedName name="BEx3AQSDG4NP3SZFPHVRLR5UXP9M" hidden="1">#REF!</definedName>
    <definedName name="BEx3ASABDQYSOB0L94CW7PF02X71" hidden="1">#REF!</definedName>
    <definedName name="BEx3AZH9W4SUFCAHNDOQ728R9V4L" hidden="1">#REF!</definedName>
    <definedName name="BEx3B6O8X2XQ3SMSWF9CRPP82B4G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U1UG00GINQ4UZCQHOTX43NJ" hidden="1">#REF!</definedName>
    <definedName name="BEx3BW5CTV0DJU5AQS3ZQFK2VLF3" hidden="1">#REF!</definedName>
    <definedName name="BEx3BYP0FG369M7G3JEFLMMXAKTS" hidden="1">#REF!</definedName>
    <definedName name="BEx3C0N76CLCA7ZKWZG3JIOZC9VR" hidden="1">#REF!</definedName>
    <definedName name="BEx3C2QR0WUD19QSVO8EMIPNQJKH" hidden="1">#REF!</definedName>
    <definedName name="BEx3C8QK0EU1LDD5XKOXE0KAK87E" hidden="1">#REF!</definedName>
    <definedName name="BEx3CCS3VNR1KW2R7DKSQFZ17QW0" hidden="1">#REF!</definedName>
    <definedName name="BEx3CKFCCPZZ6ROLAT5C1DZNIC1U" hidden="1">#REF!</definedName>
    <definedName name="BEx3CO0SVO4WLH0DO43DCHYDTH1P" hidden="1">#REF!</definedName>
    <definedName name="BEx3CT9JS7OOTWVQQKX4S9GVOUT2" hidden="1">#REF!</definedName>
    <definedName name="BEx3D9G6QTSPF9UYI4X0XY0VE896" hidden="1">#REF!</definedName>
    <definedName name="BEx3DCG39YP0RULNK0YTEXYWAL0W" hidden="1">#REF!</definedName>
    <definedName name="BEx3DCQU9PBRXIMLO62KS5RLH447" hidden="1">#REF!</definedName>
    <definedName name="BEx3DN8J9V1S7C2WZ6W366G4SLL8" hidden="1">#REF!</definedName>
    <definedName name="BEx3DQJ7J73937KFVAUIEE4DB2TD" hidden="1">#REF!</definedName>
    <definedName name="BEx3DUFFH168EKZ9ULJS8EJDOZ23" hidden="1">#REF!</definedName>
    <definedName name="BEx3E6F1FLT05N2EC8JQYS8EJF1D" hidden="1">#REF!</definedName>
    <definedName name="BEx3E8NVSDD4CYJUN4CVPUGN5UHM" hidden="1">#REF!</definedName>
    <definedName name="BEx3EF99FD6QNNCNOKDEE67JHTUJ" hidden="1">#REF!</definedName>
    <definedName name="BEx3EGGF7N0PXTZA2L13U4M8H16W" hidden="1">#REF!</definedName>
    <definedName name="BEx3EHCSERZ2O2OAG8Y95UPG2IY9" hidden="1">#REF!</definedName>
    <definedName name="BEx3EJR3TCJDYS7ZXNDS5N9KTGIK" hidden="1">#REF!</definedName>
    <definedName name="BEx3EKYA349HHH069B203FQ77DUU" hidden="1">#REF!</definedName>
    <definedName name="BEx3ELJTTBS6P05CNISMGOJOA60V" hidden="1">#REF!</definedName>
    <definedName name="BEx3EQSLJBDDJRHNX19PBFCKNY2I" hidden="1">#REF!</definedName>
    <definedName name="BEx3ET1KAG08U1ARQD35X0B0C87D" hidden="1">#REF!</definedName>
    <definedName name="BEx3EUUAX947Q5N6MY6W0KSNY78Y" hidden="1">#REF!</definedName>
    <definedName name="BEx3FHMD1P5XBCH23ZKIFO6ZTCNB" hidden="1">#REF!</definedName>
    <definedName name="BEx3FHX4ROL3SDCUB2ZCD3BRESVW" hidden="1">#REF!</definedName>
    <definedName name="BEx3FI2G3YYIACQHXNXEA15M8ZK5" hidden="1">#REF!</definedName>
    <definedName name="BEx3FJ9MHSLDK8W91GO85FX1GX57" hidden="1">#REF!</definedName>
    <definedName name="BEx3FPEVS7S1KN0KWX7INJ3EWS4W" hidden="1">#REF!</definedName>
    <definedName name="BEx3FR251HFU7A33PU01SJUENL2B" hidden="1">#REF!</definedName>
    <definedName name="BEx3FX7EJL47JSLSWP3EOC265WAE" hidden="1">#REF!</definedName>
    <definedName name="BEx3FXSZD9OFM97Q1257UMR0M8K1" hidden="1">#REF!</definedName>
    <definedName name="BEx3G1P7T119P819TKT3GM7G044C" hidden="1">#REF!</definedName>
    <definedName name="BEx3G201R8NLJ6FIHO2QS0SW9QVV" hidden="1">#REF!</definedName>
    <definedName name="BEx3G2LL2II66XY5YCDPG4JE13A3" hidden="1">#REF!</definedName>
    <definedName name="BEx3G2W8PFXGPC32BEN0CX3L5CMK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IMS7WZ9VEYMKCKY8K0H0352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QQ35HIPNFXBI53I67YNP11X" hidden="1">#REF!</definedName>
    <definedName name="BEx3GUM8636QRMF8UMPUKP314207" hidden="1">#REF!</definedName>
    <definedName name="BEx3GW4AUNS6YQNZ3GCRVVXQ86IL" hidden="1">#REF!</definedName>
    <definedName name="BEx3GW9MG4G4JJE0W1GROSYMDJ6E" hidden="1">#REF!</definedName>
    <definedName name="BEx3H2POAEFFPXHDXZZISR89N7V6" hidden="1">#REF!</definedName>
    <definedName name="BEx3H2UZO6KOKGS5OYLE7EHM7XR6" hidden="1">#REF!</definedName>
    <definedName name="BEx3H3RCXVOPFT62YP8XNEK42VJ8" hidden="1">#REF!</definedName>
    <definedName name="BEx3H5UX2GZFZZT657YR76RHW5I6" hidden="1">#REF!</definedName>
    <definedName name="BEx3HMSEFOP6DBM4R97XA6B7NFG6" hidden="1">#REF!</definedName>
    <definedName name="BEx3HWJ5SQSD2CVCQNR183X44FR8" hidden="1">#REF!</definedName>
    <definedName name="BEx3HXA24H6055VGJVXX09U3LJHZ" hidden="1">#REF!</definedName>
    <definedName name="BEx3I09YVXO0G4X7KGSA4WGORM35" hidden="1">#REF!</definedName>
    <definedName name="BEx3I2Z2F7PBPFA71BM9321NE2TI" hidden="1">#REF!</definedName>
    <definedName name="BEx3ICF1GY8HQEBIU9S43PDJ90BX" hidden="1">#REF!</definedName>
    <definedName name="BEx3IRUMGNV0E493GWW9Z6Y6FWII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O89DCSWPKBF8KCQDZUYBE" hidden="1">#REF!</definedName>
    <definedName name="BEx3K4EII7GU1CG0BN7UL15M6J8Z" hidden="1">#REF!</definedName>
    <definedName name="BEx3K4ZXQUQ2KYZF74B84SO48XMW" hidden="1">#REF!</definedName>
    <definedName name="BEx3K8LLKXGMAABWXJSBERGIA6DJ" hidden="1">#REF!</definedName>
    <definedName name="BEx3KA8UACQ2M0GY2B7LKDMWL0YI" hidden="1">#REF!</definedName>
    <definedName name="BEx3KAZWNRKDR7E2NI128IXXNUOG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L6KWANGBAYUFE4A88YE2OY7" hidden="1">#REF!</definedName>
    <definedName name="BEx3KNFLK4NOWGNLB876GZB5EX3X" hidden="1">#REF!</definedName>
    <definedName name="BEx3KP2VRBMORK0QEAZUYCXL3DHJ" hidden="1">#REF!</definedName>
    <definedName name="BEx3KZ9P6DQ3V6BPG5YDSFIHJFVL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EPFRCCM0SVYWHX9VGH7XNK4" hidden="1">#REF!</definedName>
    <definedName name="BEx3LGNHYJSQOAJC653CPJGBY9Q8" hidden="1">#REF!</definedName>
    <definedName name="BEx3LM1PR4Y7KINKMTMKR984GX8Q" hidden="1">#REF!</definedName>
    <definedName name="BEx3LMY3NNYJRP3CVDOVTSEMZE4M" hidden="1">#REF!</definedName>
    <definedName name="BEx3LPCEZ1C0XEKNCM3YT09JWCUO" hidden="1">#REF!</definedName>
    <definedName name="BEx3LWJDUV392YWST4ALARC7F2BI" hidden="1">#REF!</definedName>
    <definedName name="BEx3LZU0UBNCWLQMYSJO3SRNQBP2" hidden="1">#REF!</definedName>
    <definedName name="BEx3M1MR1K1NQD03H74BFWOK4MWQ" hidden="1">#REF!</definedName>
    <definedName name="BEx3M1S3DWK1RFXGJSZL6Z63Q3TL" hidden="1">#REF!</definedName>
    <definedName name="BEx3M4H77MYUKOOD31H9F80NMVK8" hidden="1">#REF!</definedName>
    <definedName name="BEx3M5TUZ7T69JI2JDU50TT8KHD0" hidden="1">#REF!</definedName>
    <definedName name="BEx3M9VFX329PZWYC4DMZ6P3W9R2" hidden="1">#REF!</definedName>
    <definedName name="BEx3MBO4J4VREJTKDCMLEE2JITHS" hidden="1">#REF!</definedName>
    <definedName name="BEx3MCQ0VEBV0CZXDS505L38EQ8N" hidden="1">#REF!</definedName>
    <definedName name="BEx3MEYV5LQY0BAL7V3CFAFVOM3T" hidden="1">#REF!</definedName>
    <definedName name="BEx3MFV86RM77SCBQJOOFSH8C1SE" hidden="1">#REF!</definedName>
    <definedName name="BEx3MREOFWJQEYMCMBL7ZE06NBN6" hidden="1">#REF!</definedName>
    <definedName name="BEx3MTI1TUNDL7ITI1SM2QT0K32X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3NMXOHBC7ABIYK0P9QJNALR" hidden="1">#REF!</definedName>
    <definedName name="BEx3O3YFXJEDV0II5X2YI4OTSZMP" hidden="1">#REF!</definedName>
    <definedName name="BEx3O85IKWARA6NCJOLRBRJFMEWW" hidden="1">#REF!</definedName>
    <definedName name="BEx3OJZSCGFRW7SVGBFI0X9DNVMM" hidden="1">#REF!</definedName>
    <definedName name="BEx3OKQOCNZ299IQEHLKQAGQTVY5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1IVVSEH7IJABNTBBON26OP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O5E2AX1DFN5FAKATZTYEW7E" hidden="1">#REF!</definedName>
    <definedName name="BEx3PP1RRSFZ8UC0JC9R91W6LNKW" hidden="1">#REF!</definedName>
    <definedName name="BEx3PVXYPYA6VQNA1SDSJLXNIQ89" hidden="1">#REF!</definedName>
    <definedName name="BEx3PVXYZC8WB9ZJE7OCKUXZ46EA" hidden="1">#REF!</definedName>
    <definedName name="BEx3Q0VWPU5EQECK7MQ47TYJ3SWW" hidden="1">#REF!</definedName>
    <definedName name="BEx3Q5DR78ELZ8JELOTE09HR0SRW" hidden="1">#REF!</definedName>
    <definedName name="BEx3Q64T8WR9NDQ31JWIETXSI689" hidden="1">#REF!</definedName>
    <definedName name="BEx3Q7BZ9PUXK2RLIOFSIS9AHU1B" hidden="1">#REF!</definedName>
    <definedName name="BEx3Q7S7VQWJQ9PNZPENW1LB3LTW" hidden="1">#REF!</definedName>
    <definedName name="BEx3Q8J42S9VU6EAN2Y28MR6DF88" hidden="1">#REF!</definedName>
    <definedName name="BEx3QC4KV4DOLOKTQHAIXHXQV6FQ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R9DTJGKEGJ9UOAVMC6E5RL6" hidden="1">#REF!</definedName>
    <definedName name="BEx3QSWT2S5KWG6U2V9711IYDQBM" hidden="1">#REF!</definedName>
    <definedName name="BEx3QTYHUBCOCN1OARV6KDATHMGD" hidden="1">#REF!</definedName>
    <definedName name="BEx3QV0CJH4GZ07P2LTDWHN88O9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NMP3MQ5KQG71M4LWKMDEQ4R" hidden="1">#REF!</definedName>
    <definedName name="BEx3RO2S29XKGLM1YGN1WYCP7OGS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RZ5YLWTN3335OCZQLLQSSC7G" hidden="1">#REF!</definedName>
    <definedName name="BEx3S9IBRUX8MHHRMOEAOFHK6GDG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STL81LILHCAQ2NC8U3FGUEEB" hidden="1">#REF!</definedName>
    <definedName name="BEx3T29ZTULQE0OMSMWUMZDU9ZZ0" hidden="1">#REF!</definedName>
    <definedName name="BEx3T3H4J2RJ2C64LRNP17O1WQOP" hidden="1">#REF!</definedName>
    <definedName name="BEx3T6MJ1QDJ929WMUDVZ0O3UW0Y" hidden="1">#REF!</definedName>
    <definedName name="BEx3TPCSI16OAB2L9M9IULQMQ9J9" hidden="1">#REF!</definedName>
    <definedName name="BEx3TTULG5ZOBUOLD5R5CRYMGFHL" hidden="1">#REF!</definedName>
    <definedName name="BEx3U1N4VFMROIKYKXD3J66VAL6R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AXMCDIXHX8DL29OS99EXIZ9" hidden="1">#REF!</definedName>
    <definedName name="BEx3UG1268CKOSUDF5WS96DMECDL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0EPUORCN1JVYOUJEDYRUSQX" hidden="1">#REF!</definedName>
    <definedName name="BEx57QHGSIUPM8F6Z0MOCC8C0T91" hidden="1">#REF!</definedName>
    <definedName name="BEx5850NLGPDA3L18W2TL724U824" hidden="1">#REF!</definedName>
    <definedName name="BEx587EYSS57E3PI8DT973HLJM9E" hidden="1">#REF!</definedName>
    <definedName name="BEx587KFQ3VKCOCY1SA5F24PQGUI" hidden="1">#REF!</definedName>
    <definedName name="BEx58II6EEB4ARKKAQV16F6YLJO1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5A8I79KE8TW4EB75HR394YZ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6AOQED3DYJ0RERF45I0CV3B" hidden="1">#REF!</definedName>
    <definedName name="BEx5A777UIRLRQFW1VAF4E4TIPSC" hidden="1">#REF!</definedName>
    <definedName name="BEx5A7CIGCOTHJKHGUBDZG91JGPZ" hidden="1">#REF!</definedName>
    <definedName name="BEx5A8UFLT2SWVSG5COFA9B8P376" hidden="1">#REF!</definedName>
    <definedName name="BEx5AD1HOOKGLATI6H0FZHXA6OMY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PXG2NKFYQ53P39ELDM5F11J" hidden="1">#REF!</definedName>
    <definedName name="BEx5AUVDSQ35VO4BD9AKKGBM5S7D" hidden="1">#REF!</definedName>
    <definedName name="BEx5AZTBKI1RBYHMH6KK1YW7M32Q" hidden="1">#REF!</definedName>
    <definedName name="BEx5B2YQLI7PF6JKRB1A5USR45LV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510601A263KHJCJAZ4TYFJY" hidden="1">#REF!</definedName>
    <definedName name="BEx5C80WV41JB6X4JO15KBVTMS44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FYQXX0KR2JBSN6STJ4CDA3C" hidden="1">#REF!</definedName>
    <definedName name="BEx5CGV5B361FYWGC08FOIYCHMH1" hidden="1">#REF!</definedName>
    <definedName name="BEx5CHGPXXY9W5XVFV4ZCXOKFFHU" hidden="1">#REF!</definedName>
    <definedName name="BEx5CHRHOZSTG8K8QIII0FTD8V7H" hidden="1">#REF!</definedName>
    <definedName name="BEx5CINUDCSDCAJSNNV7XVNU8Q79" hidden="1">#REF!</definedName>
    <definedName name="BEx5CKGMBJ6OCQGIYSUOLHD03BFI" hidden="1">#REF!</definedName>
    <definedName name="BEx5CNLUIOYU8EODGA03Z3547I9T" hidden="1">#REF!</definedName>
    <definedName name="BEx5CNRAFBGR15FT4USSS1518KR7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2W8WFEDOIIQM7VVFZ2NWR64" hidden="1">#REF!</definedName>
    <definedName name="BEx5D8L47OF0WHBPFWXGZINZWUBZ" hidden="1">#REF!</definedName>
    <definedName name="BEx5D9S8JGNIX5QB8XPJWUJAEZCB" hidden="1">#REF!</definedName>
    <definedName name="BEx5DAJAHQ2SKUPCKSCR3PYML67L" hidden="1">#REF!</definedName>
    <definedName name="BEx5DC18JM1KJCV44PF18E0LNRKA" hidden="1">#REF!</definedName>
    <definedName name="BEx5DG8AWAVR7RQT1FK03OHV7J85" hidden="1">#REF!</definedName>
    <definedName name="BEx5DJIZBTNS011R9IIG2OQ2L6ZX" hidden="1">#REF!</definedName>
    <definedName name="BEx5DURHUD567966VTTP7U5BSG84" hidden="1">#REF!</definedName>
    <definedName name="BEx5E123OLO9WQUOIRIDJ967KAGK" hidden="1">#REF!</definedName>
    <definedName name="BEx5E2UU5NES6W779W2OZTZOB4O7" hidden="1">#REF!</definedName>
    <definedName name="BEx5E3B3GUUTCR6HNKI1BA2V87SE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3VB4AYXRI4IUEIXX69V5S1R" hidden="1">#REF!</definedName>
    <definedName name="BEx5F6V72QTCK7O39Y59R0EVM6CW" hidden="1">#REF!</definedName>
    <definedName name="BEx5F8NXC40CN865FQ81KAQI0K6F" hidden="1">#REF!</definedName>
    <definedName name="BEx5FBNRXOUX4KADS4O0FI42PPPI" hidden="1">#REF!</definedName>
    <definedName name="BEx5FGLQVACD5F5YZG4DGSCHCGO2" hidden="1">#REF!</definedName>
    <definedName name="BEx5FIUQV0DN0SPCJE5LKE6FCFF6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TN65AYJEUKJ6MBXPC90BKIN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T5OREJ2W373LR0D5AUTNEYO" hidden="1">#REF!</definedName>
    <definedName name="BEx5GUCTYC7QCWGWU5BTO7Y7HDZX" hidden="1">#REF!</definedName>
    <definedName name="BEx5GWB35D3TBNF0M2LARETMXNOR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E4XRF9BUY04MENWY9CHHN5H" hidden="1">#REF!</definedName>
    <definedName name="BEx5HE4Z7P60LC6MEHP6XY49HFCD" hidden="1">#REF!</definedName>
    <definedName name="BEx5HFHMABAT0H9KKS754X4T304E" hidden="1">#REF!</definedName>
    <definedName name="BEx5HGDZ7MX1S3KNXLRL9WU565V4" hidden="1">#REF!</definedName>
    <definedName name="BEx5HIC009UEASL0FBVZ30VJG2MR" hidden="1">#REF!</definedName>
    <definedName name="BEx5HJZ9FAVNZSSBTAYRPZDYM9NU" hidden="1">#REF!</definedName>
    <definedName name="BEx5HVTJOZXXBJOY9GE0LHXHKVD9" hidden="1">#REF!</definedName>
    <definedName name="BEx5HZ9JMKHNLFWLVUB1WP5B39BL" hidden="1">#REF!</definedName>
    <definedName name="BEx5HZKBFJFIM323XBQIWWSW9R0D" hidden="1">#REF!</definedName>
    <definedName name="BEx5I0GQKG6B8XOAA7Q78MVZCATZ" hidden="1">#REF!</definedName>
    <definedName name="BEx5I1IJUEE9OS6R27VXT4L9SN1C" hidden="1">#REF!</definedName>
    <definedName name="BEx5I244LQHZTF3XI66J8705R9XX" hidden="1">#REF!</definedName>
    <definedName name="BEx5I6GHMLPSYMP7J6YHII9X17CL" hidden="1">#REF!</definedName>
    <definedName name="BEx5I8K0GW5PYESD2TX4RW941D2W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EULNG3BGAQJP6LC7IXKBT40" hidden="1">#REF!</definedName>
    <definedName name="BEx5IH3EY0NIYV24CUFBULY0OGBS" hidden="1">#REF!</definedName>
    <definedName name="BEx5ISMXIDCF25N86D2XK3BJDSEH" hidden="1">#REF!</definedName>
    <definedName name="BEx5IWTZPQ59HAMEH63VDHKVAD7Z" hidden="1">#REF!</definedName>
    <definedName name="BEx5J0FFP1KS4NGY20AEJI8VREEA" hidden="1">#REF!</definedName>
    <definedName name="BEx5JF3ZXLDIS8VNKDCY7ZI7H1CI" hidden="1">#REF!</definedName>
    <definedName name="BEx5JH27F61QP48JL37Z3JMAHTAJ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SNFE990T6R5XWBHZ3MB2Y" hidden="1">#REF!</definedName>
    <definedName name="BEx5JNCT8Z7XSSPD5EMNAJELCU2V" hidden="1">#REF!</definedName>
    <definedName name="BEx5JQCNT9Y4RM306CHC8IPY3HBZ" hidden="1">#REF!</definedName>
    <definedName name="BEx5JQCOJB2R8XOSCUE6CZX8HRCZ" hidden="1">#REF!</definedName>
    <definedName name="BEx5JWCI2FPON2RSPY6KLCPCBUU7" hidden="1">#REF!</definedName>
    <definedName name="BEx5JWNA1DQZ6HQGEGQ4YVPW2033" hidden="1">#REF!</definedName>
    <definedName name="BEx5K08PYKE6JOKBYIB006TX619P" hidden="1">#REF!</definedName>
    <definedName name="BEx5K51DSERT1TR7B4A29R41W4NX" hidden="1">#REF!</definedName>
    <definedName name="BEx5K98G7G44LTC1ZZ44RG2GXL0Y" hidden="1">#REF!</definedName>
    <definedName name="BEx5KBXK044SJBDGWEU64I1I1ABM" hidden="1">#REF!</definedName>
    <definedName name="BEx5KEBUKTBEHCNUE57UG5PVO4P6" hidden="1">#REF!</definedName>
    <definedName name="BEx5KFOD03QIQO6J0U2NMONAMFXR" hidden="1">#REF!</definedName>
    <definedName name="BEx5KM9OLWUTSX4ZDTDEDFI7UQJ8" hidden="1">#REF!</definedName>
    <definedName name="BEx5KYER580I4T7WTLMUN7NLNP5K" hidden="1">#REF!</definedName>
    <definedName name="BEx5L07H996YILYE3BLWDKC2SVHI" hidden="1">#REF!</definedName>
    <definedName name="BEx5LF70FXFXCDEMI4QL9YUTQXF0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LU6BJ3GPYKLNEXVO7HZLG8MX" hidden="1">#REF!</definedName>
    <definedName name="BEx5LYIUF12M3XS39ZZXMES056JZ" hidden="1">#REF!</definedName>
    <definedName name="BEx5MB9BR71LZDG7XXQ2EO58JC5F" hidden="1">#REF!</definedName>
    <definedName name="BEx5MCGGWFB0UKF8S4BVONVWUBA8" hidden="1">#REF!</definedName>
    <definedName name="BEx5MJY8MZMDZ54SVN7ZW0EPEHE9" hidden="1">#REF!</definedName>
    <definedName name="BEx5MLQZM68YQSKARVWTTPINFQ2C" hidden="1">#REF!</definedName>
    <definedName name="BEx5MVXTKNBXHNWTL43C670E4KXC" hidden="1">#REF!</definedName>
    <definedName name="BEx5MYMXDYESBW3F1Z188TBOWDGZ" hidden="1">#REF!</definedName>
    <definedName name="BEx5MZOKQA372FUSLJAW6MIC8HYA" hidden="1">#REF!</definedName>
    <definedName name="BEx5N0VQUXG35W0761M2S0GC5WLC" hidden="1">#REF!</definedName>
    <definedName name="BEx5N22X5RJV5PZAFTH6MQUVA26M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CK45O4SLHM96UEEURY44ZQ" hidden="1">#REF!</definedName>
    <definedName name="BEx5NZSSQ6PY99ZX2D7Q9IGOR34W" hidden="1">#REF!</definedName>
    <definedName name="BEx5O0UIJ26064G9WAUDUB7UG3KP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J4OXQ7DME13URF630J52PVS" hidden="1">#REF!</definedName>
    <definedName name="BEx5OP9Y43F99O2IT69MKCCXGL61" hidden="1">#REF!</definedName>
    <definedName name="BEx5P6YEGF2X7FU17WQXPTLQWHSC" hidden="1">#REF!</definedName>
    <definedName name="BEx5P9Y9RDXNUAJ6CZ2LHMM8IM7T" hidden="1">#REF!</definedName>
    <definedName name="BEx5PAJTE6LRLH8AX6XYG2DICYO6" hidden="1">#REF!</definedName>
    <definedName name="BEx5PAUNOCBB2S6LVUQ7YV2TNXZQ" hidden="1">#REF!</definedName>
    <definedName name="BEx5PCSUWBDIHW1YNW84T3Q7YF61" hidden="1">#REF!</definedName>
    <definedName name="BEx5PHWB2C0D5QLP3BZIP3UO7DIZ" hidden="1">#REF!</definedName>
    <definedName name="BEx5PJP02W68K2E46L5C5YBSNU6T" hidden="1">#REF!</definedName>
    <definedName name="BEx5PK54SWQ571ZPN600GDQTZJ6U" hidden="1">#REF!</definedName>
    <definedName name="BEx5PLCA8DOMAU315YCS5275L2HS" hidden="1">#REF!</definedName>
    <definedName name="BEx5PRXMZ5M65Z732WNNGV564C2J" hidden="1">#REF!</definedName>
    <definedName name="BEx5QPSW4IPLH50WSR87HRER05RF" hidden="1">#REF!</definedName>
    <definedName name="BEx5QUW9YGWJWP7JKCSK81HKHIPD" hidden="1">#REF!</definedName>
    <definedName name="BEx5RBZAXNZPTP4IP9TMM5U1MYEL" hidden="1">#REF!</definedName>
    <definedName name="BEx73V0EP8EMNRC3EZJJKKVKWQVB" hidden="1">#REF!</definedName>
    <definedName name="BEx741WJHIJVXUX131SBXTVW8D71" hidden="1">#REF!</definedName>
    <definedName name="BEx742I5EVU64SEHXMK7Y7VTFELV" hidden="1">#REF!</definedName>
    <definedName name="BEx746ZYIKE51H4ERBMVAH9BYRV3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3D8JMWDI5IGM2IZH29JI4VF" hidden="1">#REF!</definedName>
    <definedName name="BEx755GRRD9BL27YHLH5QWIYLWB7" hidden="1">#REF!</definedName>
    <definedName name="BEx757V3FYUYVAE0ZUCR9NLXL7XI" hidden="1">#REF!</definedName>
    <definedName name="BEx759D1D5SXS5ELLZVBI0SXYUNF" hidden="1">#REF!</definedName>
    <definedName name="BEx75AK7DBURUEAO9LQ7ONJ81WVO" hidden="1">#REF!</definedName>
    <definedName name="BEx75GJZSZHUDN6OOAGQYFUDA2LP" hidden="1">#REF!</definedName>
    <definedName name="BEx75HGCCV5K4UCJWYV8EV9AG5YT" hidden="1">#REF!</definedName>
    <definedName name="BEx75JUOYR1M0U97CFIB2YH5TZ61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5YOOXB7RATBAPJ9WSCF4TOAK" hidden="1">#REF!</definedName>
    <definedName name="BEx76UR5Y3HHNCL1W4AE5NA2HROV" hidden="1">#REF!</definedName>
    <definedName name="BEx76Y77HHO2NRVDB7E0UT7J0CX7" hidden="1">#REF!</definedName>
    <definedName name="BEx76ZZXRPM1Q8E5FUJAT7QYR2PU" hidden="1">#REF!</definedName>
    <definedName name="BEx7741OUGLA0WJQLQRUJSL4DE00" hidden="1">#REF!</definedName>
    <definedName name="BEx774N83DXLJZ54Q42PWIJZ2DN1" hidden="1">#REF!</definedName>
    <definedName name="BEx775ZP5TCHZ8NTV8CVOR7O3UDW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UKG7ELRZNU1N6D04KDF8EWY" hidden="1">#REF!</definedName>
    <definedName name="BEx77VBI9XOPFHKEWU5EHQ9J675Y" hidden="1">#REF!</definedName>
    <definedName name="BEx77X492PX5THD956QE48BKP3YD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5YGEL0IJEGIWOER6G80EKTW" hidden="1">#REF!</definedName>
    <definedName name="BEx787GG89N4SZMJPNB0AIGWGUXG" hidden="1">#REF!</definedName>
    <definedName name="BEx7881ZZBWHRAX6W2GY19J8MGEQ" hidden="1">#REF!</definedName>
    <definedName name="BEx78AAZJH7PAA9GVA7Y1EHHPP22" hidden="1">#REF!</definedName>
    <definedName name="BEx78HHRIWDLHQX2LG0HWFRYEL1T" hidden="1">#REF!</definedName>
    <definedName name="BEx78QC5N4370E09TPPPJRMD613F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0TSVH4C7RKHGX3PL14Y59AA" hidden="1">#REF!</definedName>
    <definedName name="BEx790TTA739SX0N8JT6K00EZE8G" hidden="1">#REF!</definedName>
    <definedName name="BEx79JK3E6JO8MX4O35A5G8NZCC8" hidden="1">#REF!</definedName>
    <definedName name="BEx79L7CUHOHTTKK8YZ69A00V2XQ" hidden="1">#REF!</definedName>
    <definedName name="BEx79M3VS7O031MMOEX10EEI3ZG1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TG41HLZTOGV7JQMG0SKU6L2" hidden="1">#REF!</definedName>
    <definedName name="BEx79YE23XNNGOUXXK8APKCBQJH9" hidden="1">#REF!</definedName>
    <definedName name="BEx79YJJLBELICW9F9FRYSCQ101L" hidden="1">#REF!</definedName>
    <definedName name="BEx79YUC7B0V77FSBGIRCY1BR4VK" hidden="1">#REF!</definedName>
    <definedName name="BEx79ZAG1BDKZ4R5CQJBKJLJK8QI" hidden="1">#REF!</definedName>
    <definedName name="BEx7A06T3RC2891FUX05G3QPRAUE" hidden="1">#REF!</definedName>
    <definedName name="BEx7A3XRHYIO8K8Y3F9SW3XNZEPZ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SD1I654MEDCO6GGWA95PXSC" hidden="1">#REF!</definedName>
    <definedName name="BEx7ATEW1ZUBPW8NGW37RKUEL1GP" hidden="1">#REF!</definedName>
    <definedName name="BEx7AULUJS4GVRDMC6VWVCL1IUMI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8E72TDECFAR2OK5LJ9PGYQW" hidden="1">#REF!</definedName>
    <definedName name="BEx7BGSBL5L9KSE7OWVR3KX8CEL8" hidden="1">#REF!</definedName>
    <definedName name="BEx7BMHANIE17LZ1AG4NLY1MMOSB" hidden="1">#REF!</definedName>
    <definedName name="BEx7BPXFZXJ79FQ0E8AQE21PGVHA" hidden="1">#REF!</definedName>
    <definedName name="BEx7BSMLTZWZ9EPJ3USN2NP47RUP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BYFF88PKOKLOMZY6S2S88GX" hidden="1">#REF!</definedName>
    <definedName name="BEx7CC3QJU3DDBBUFZ0C3RXLECOG" hidden="1">#REF!</definedName>
    <definedName name="BEx7CCPC6R1KQQZ2JQU6EFI1G0RM" hidden="1">#REF!</definedName>
    <definedName name="BEx7CHCNOGKDJLXNDQKZW5HQ68XB" hidden="1">#REF!</definedName>
    <definedName name="BEx7CIJST9GLS2QD383UK7VUDTGL" hidden="1">#REF!</definedName>
    <definedName name="BEx7CKNDA0JU52FB3S12BOFIAZHF" hidden="1">#REF!</definedName>
    <definedName name="BEx7CO8T2XKC7GHDSYNAWTZ9L7YR" hidden="1">#REF!</definedName>
    <definedName name="BEx7CQXWSEC2YJW6UM5B1HVLLXZK" hidden="1">#REF!</definedName>
    <definedName name="BEx7CW1CF00DO8A36UNC2X7K65C2" hidden="1">#REF!</definedName>
    <definedName name="BEx7CW6NFRL2P4XWP0MWHIYA97KF" hidden="1">#REF!</definedName>
    <definedName name="BEx7D3Z73S56STHHRUM4CFBA10R4" hidden="1">#REF!</definedName>
    <definedName name="BEx7D5RWKRS4W71J4NZ6ZSFHPKFT" hidden="1">#REF!</definedName>
    <definedName name="BEx7D7KNLVKG0CQM3U7FEWO7QATC" hidden="1">#REF!</definedName>
    <definedName name="BEx7D8H1TPOX1UN17QZYEV7Q58GA" hidden="1">#REF!</definedName>
    <definedName name="BEx7DBGY3OABNGF8AI9MJV3LSCOD" hidden="1">#REF!</definedName>
    <definedName name="BEx7DFTGAN6VTL5MMAV06O8X4DWD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OYHQ1WII63JEBPCBSY77GXB" hidden="1">#REF!</definedName>
    <definedName name="BEx7DUNHQZ1VF68UUR9FPLM22XIN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BFNSYU1JHY3XR5TYUBDOG5S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UB9CFVG3ZDUIYUESQU6ZNQG" hidden="1">#REF!</definedName>
    <definedName name="BEx7EWK9GUVV6FXWYIGH0TAI4V2O" hidden="1">#REF!</definedName>
    <definedName name="BEx7EYYLHMBYQTH6I377FCQS7CSX" hidden="1">#REF!</definedName>
    <definedName name="BEx7EZ3XQ4LU9BGT3Q0U61I2C5IV" hidden="1">#REF!</definedName>
    <definedName name="BEx7F0WOEN72YU1Z7TUFRN6CU3B7" hidden="1">#REF!</definedName>
    <definedName name="BEx7FCLG1RYI2SNOU1Y2GQZNZSWA" hidden="1">#REF!</definedName>
    <definedName name="BEx7FEZWCMUVH5O9DK5A90TBY2NS" hidden="1">#REF!</definedName>
    <definedName name="BEx7FN32ZGWOAA4TTH79KINTDWR9" hidden="1">#REF!</definedName>
    <definedName name="BEx7G4MDDPPCYXQGCIDJKDUPSFZO" hidden="1">#REF!</definedName>
    <definedName name="BEx7G82CKM3NIY1PHNFK28M09PCH" hidden="1">#REF!</definedName>
    <definedName name="BEx7GC9EJ7Z0SH5GYZGIR8SGT5H3" hidden="1">#REF!</definedName>
    <definedName name="BEx7GL93REICB553OY1NNH4EQFR6" hidden="1">#REF!</definedName>
    <definedName name="BEx7GP017GOLHLMK3JY24VSS0Q38" hidden="1">#REF!</definedName>
    <definedName name="BEx7GR3ENYWRXXS5IT0UMEGOLGUH" hidden="1">#REF!</definedName>
    <definedName name="BEx7GSAL6P7TASL8MB63RFST1LJL" hidden="1">#REF!</definedName>
    <definedName name="BEx7GTY03CPDKIJ5UMJZLTIIIDRN" hidden="1">#REF!</definedName>
    <definedName name="BEx7GXZQWAC23UHV54M1WCZW579W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N0L522E9FEZ5SS7X2B83KUV" hidden="1">#REF!</definedName>
    <definedName name="BEx7HQ5T9FZ42QWS09UO4DT42Y0R" hidden="1">#REF!</definedName>
    <definedName name="BEx7HRCZE3CVGON1HV07MT5MNDZ3" hidden="1">#REF!</definedName>
    <definedName name="BEx7HTWRH8PHG93YHUC19Y0P9P63" hidden="1">#REF!</definedName>
    <definedName name="BEx7HUNNVBJZU3RKHWPWWMGB21PO" hidden="1">#REF!</definedName>
    <definedName name="BEx7HWGE2CANG5M17X4C8YNC3N8F" hidden="1">#REF!</definedName>
    <definedName name="BEx7I1PB34HDX08XPOPGSOTXA2GZ" hidden="1">#REF!</definedName>
    <definedName name="BEx7I8FZ96C5JAHXS18ZV0912LZP" hidden="1">#REF!</definedName>
    <definedName name="BEx7I9CD59Z37DPCZBKGPBZSFHZ1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BJY7E8LFQ7J26DFYKVS84FI" hidden="1">#REF!</definedName>
    <definedName name="BEx7JFG78A0Z9CMRENJD8ZVKHDY9" hidden="1">#REF!</definedName>
    <definedName name="BEx7JH3HGBPI07OHZ5LFYK0UFZQR" hidden="1">#REF!</definedName>
    <definedName name="BEx7JIASIR56R4V94XCHGPA9Y8KP" hidden="1">#REF!</definedName>
    <definedName name="BEx7JILF4K0Z6ITHTS23VO551YZB" hidden="1">#REF!</definedName>
    <definedName name="BEx7JIQXEJ3FWGKI5AESSV7RJ3RF" hidden="1">#REF!</definedName>
    <definedName name="BEx7JV194190CNM6WWGQ3UBJ3CHH" hidden="1">#REF!</definedName>
    <definedName name="BEx7JVC1XHPLA0S6TI7HYRP2VNX2" hidden="1">#REF!</definedName>
    <definedName name="BEx7K7GZ607XQOGB81A1HINBTGOZ" hidden="1">#REF!</definedName>
    <definedName name="BEx7K9KGK8EHIP6TVBYQ9H25D0HD" hidden="1">#REF!</definedName>
    <definedName name="BEx7KBD9MQK90A0Z7F8XM6HLXR1N" hidden="1">#REF!</definedName>
    <definedName name="BEx7KCV5VC0B3CIAJ9SRWFYNAZBR" hidden="1">#REF!</definedName>
    <definedName name="BEx7KEYOORQ4JN9YL02T50ZSHV6W" hidden="1">#REF!</definedName>
    <definedName name="BEx7KEYPBDXSNROH8M6CDCBN6B50" hidden="1">#REF!</definedName>
    <definedName name="BEx7KHNSPJMA0ICFDUS3ZU8HX3CM" hidden="1">#REF!</definedName>
    <definedName name="BEx7KIK5W97TBS170S6YG6KJ9N87" hidden="1">#REF!</definedName>
    <definedName name="BEx7KNCU0RNFL4LUCZRFT61KH2R0" hidden="1">#REF!</definedName>
    <definedName name="BEx7KOURYDXN99C3JM1W3IX0B7TV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KYQS3ZGZHR5WXOEJIGL9PTZ1" hidden="1">#REF!</definedName>
    <definedName name="BEx7L21IQVP1N1TTQLRMANSSLSLE" hidden="1">#REF!</definedName>
    <definedName name="BEx7L3DYHIGMWOPD1EM9Q9WUC1JB" hidden="1">#REF!</definedName>
    <definedName name="BEx7L5C6U8MP6IZ67BD649WQYJEK" hidden="1">#REF!</definedName>
    <definedName name="BEx7L5C7S5YXBT0E01K3ILU91UBO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LNX540FVVCO7NY0PUOK30FBO" hidden="1">#REF!</definedName>
    <definedName name="BEx7LUTCERHFMV83BSJURMBBNR4A" hidden="1">#REF!</definedName>
    <definedName name="BEx7MAUI1JJFDIJGDW4RWY5384LY" hidden="1">#REF!</definedName>
    <definedName name="BEx7MFN3G49M55FOCC3EXNUFYN1W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8YO182JWI6TD7XJGSP78ICGGQ" hidden="1">#REF!</definedName>
    <definedName name="BEx8ZPSPXX0CT214E7WDHQAAOHDZ" hidden="1">#REF!</definedName>
    <definedName name="BEx904S75BPRYMHF0083JF7ES4NG" hidden="1">#REF!</definedName>
    <definedName name="BEx90EDHZZSPSHIXJNL8H1GP3TGD" hidden="1">#REF!</definedName>
    <definedName name="BEx90HDD4RWF7JZGA8GCGG7D63MG" hidden="1">#REF!</definedName>
    <definedName name="BEx90UK4SF58B2B0P4FUVF6820RJ" hidden="1">#REF!</definedName>
    <definedName name="BEx90V5PEMWALVXWRBGFR6NMOB8H" hidden="1">#REF!</definedName>
    <definedName name="BEx90VGH5H09ON2QXYC9WIIEU98T" hidden="1">#REF!</definedName>
    <definedName name="BEx911ASJYNWUD17QXI6IBZV6VM1" hidden="1">#REF!</definedName>
    <definedName name="BEx9121UXSUYZ1D90OR4WJWQZ2E6" hidden="1">#REF!</definedName>
    <definedName name="BEx9175B70QXYAU5A8DJPGZQ46L9" hidden="1">#REF!</definedName>
    <definedName name="BEx91ALAODJ593U52NP2J88W0PCI" hidden="1">#REF!</definedName>
    <definedName name="BEx91AQQRTV87AO27VWHSFZAD4ZR" hidden="1">#REF!</definedName>
    <definedName name="BEx91D52YZQONKZEGOJ2UKFMDRWA" hidden="1">#REF!</definedName>
    <definedName name="BEx91FZHOSR65MTY2AK9MK9G67OU" hidden="1">#REF!</definedName>
    <definedName name="BEx91L8FLL5CWLA2CDHKCOMGVDZN" hidden="1">#REF!</definedName>
    <definedName name="BEx91LU0BUTBO56S61SDSLPFBKLC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1WBFDIEMG7969EPEGT2GXHTR" hidden="1">#REF!</definedName>
    <definedName name="BEx91ZGSRMK85TGNJ3AHN0E5308O" hidden="1">#REF!</definedName>
    <definedName name="BEx921PNZ46VORG2VRMWREWIC0SE" hidden="1">#REF!</definedName>
    <definedName name="BEx923YMXPQ3Q9X6SM2U1NJKN9K1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RRN5UMENX8GHXO1RNPJ5L" hidden="1">#REF!</definedName>
    <definedName name="BEx92NG0FT4WPLILX6H6BBSFH4MJ" hidden="1">#REF!</definedName>
    <definedName name="BEx92PUBDIXAU1FW5ZAXECMAU0LN" hidden="1">#REF!</definedName>
    <definedName name="BEx92S8MHFFIVRQ2YSHZNQGOFUHD" hidden="1">#REF!</definedName>
    <definedName name="BEx92XC0Q3OMYD3XEPAYP1TOPB6B" hidden="1">#REF!</definedName>
    <definedName name="BEx92YZAO4CWG5P3EIX4GSKD36E1" hidden="1">#REF!</definedName>
    <definedName name="BEx93B9OULL2YGC896XXYAAJSTRK" hidden="1">#REF!</definedName>
    <definedName name="BEx93F5ZLKO1Q8FJROVQHO7XWBQ3" hidden="1">#REF!</definedName>
    <definedName name="BEx93FRKF99NRT3LH99UTIH7AAYF" hidden="1">#REF!</definedName>
    <definedName name="BEx93LWNNZXWTVSR8GW2QP0HPMUK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3551YGOD0189766UN7U9FFV" hidden="1">#REF!</definedName>
    <definedName name="BEx946FTO3DGA9MUL1TXG1G408SD" hidden="1">#REF!</definedName>
    <definedName name="BEx946QL2JZASW2I1ZLKYL6P0VLQ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8962I0N8ZWFG32TL1I6AEZ" hidden="1">#REF!</definedName>
    <definedName name="BEx94HZ5LURYM9ST744ALV6ZCKYP" hidden="1">#REF!</definedName>
    <definedName name="BEx94IQ75E90YUMWJ9N591LR7DQQ" hidden="1">#REF!</definedName>
    <definedName name="BEx94IVHL1D9WBZ6M88QZWX28819" hidden="1">#REF!</definedName>
    <definedName name="BEx94L9TBK45AUQSX1IUZ86U1GPQ" hidden="1">#REF!</definedName>
    <definedName name="BEx94MRRQVZH12ZA5H94AN74740W" hidden="1">#REF!</definedName>
    <definedName name="BEx94N7W5T3U7UOE97D6OVIBUCXS" hidden="1">#REF!</definedName>
    <definedName name="BEx951LSTCJRAH3YVN6HLA80NVR7" hidden="1">#REF!</definedName>
    <definedName name="BEx953PAWYUF3IP30262PIX915PF" hidden="1">#REF!</definedName>
    <definedName name="BEx953PB6S6ECMD8N0JSW0CBG0DA" hidden="1">#REF!</definedName>
    <definedName name="BEx955NIAWX5OLAHMTV6QFUZPR30" hidden="1">#REF!</definedName>
    <definedName name="BEx957R251U4CZ4HN3PI37T4DNK1" hidden="1">#REF!</definedName>
    <definedName name="BEx9581TYVI2M5TT4ISDAJV4W7Z6" hidden="1">#REF!</definedName>
    <definedName name="BEx95B1R1FENFM72BON4QHV943LP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UTPDYFUL0X326PPU0VZSZ6H" hidden="1">#REF!</definedName>
    <definedName name="BEx9602K2GHNBUEUVT9ONRQU1GMD" hidden="1">#REF!</definedName>
    <definedName name="BEx962BL3Y4LA53EBYI64ZYMZE8U" hidden="1">#REF!</definedName>
    <definedName name="BEx9649NGP8K37CEBN5N1BTTTUDM" hidden="1">#REF!</definedName>
    <definedName name="BEx96D9CIWPJ9Y8T7N96YOG86MRS" hidden="1">#REF!</definedName>
    <definedName name="BEx96EGI1SJ8BENRY44EI5RNU3NI" hidden="1">#REF!</definedName>
    <definedName name="BEx96FCVJLKF12SHGPRYNP6GF58D" hidden="1">#REF!</definedName>
    <definedName name="BEx96KR21O7H9R29TN0S45Y3QPUK" hidden="1">#REF!</definedName>
    <definedName name="BEx96QLDFISNSRK1JQD6ACJBJ6Y3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488WBOTERGNFAKKPANM97I9" hidden="1">#REF!</definedName>
    <definedName name="BEx978KSD61YJH3S9DGO050R2EHA" hidden="1">#REF!</definedName>
    <definedName name="BEx97C67PNM3FII6LUZRDDDC2WD1" hidden="1">#REF!</definedName>
    <definedName name="BEx97H9O1NAKAPK4MX4PKO34ICL5" hidden="1">#REF!</definedName>
    <definedName name="BEx97HVA5F2I0D6ID81KCUDEQOIH" hidden="1">#REF!</definedName>
    <definedName name="BEx97I62AZ7Z12WIM9I67B4J73GI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XGBGOWEXFNI0KUL7W7F7HPZ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7N5DGJXXO9DO3EM8BYUC66N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39DPV8AAOSZX9NVXMWQX1JI" hidden="1">#REF!</definedName>
    <definedName name="BEx9952469XMFGSPXL7CMXHPJF90" hidden="1">#REF!</definedName>
    <definedName name="BEx99B77I7TUSHRR4HIZ9FU2EIUT" hidden="1">#REF!</definedName>
    <definedName name="BEx99HN9EEXKMB5P8MNDTIAZJYKH" hidden="1">#REF!</definedName>
    <definedName name="BEx99LZMQSYVSNR1TVWOK124SAK8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9D8DKBLW23EHW1DI6VGFQMX" hidden="1">#REF!</definedName>
    <definedName name="BEx9A9IPZ7Q5LAU244IW3D54581W" hidden="1">#REF!</definedName>
    <definedName name="BEx9AI7GM2MPAK3KK5JYCTK6OQ4G" hidden="1">#REF!</definedName>
    <definedName name="BEx9ANLOC3MINK60H8YO35N9N8OU" hidden="1">#REF!</definedName>
    <definedName name="BEx9AT5E3ZSHKSOL35O38L8HF9TH" hidden="1">#REF!</definedName>
    <definedName name="BEx9AV8W1FAWF5BHATYEN47X12JN" hidden="1">#REF!</definedName>
    <definedName name="BEx9AWAKROG8OPHLIN27UE9VEK3S" hidden="1">#REF!</definedName>
    <definedName name="BEx9AYJKKSC4BVK8S0PMOMZAW6TS" hidden="1">#REF!</definedName>
    <definedName name="BEx9AYOW029MPT2IN7MNHDCKDL57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9S41OHBL3W2POZHDGL8R2E6" hidden="1">#REF!</definedName>
    <definedName name="BEx9BAJ5WYEQ623HUT9NNCMP3RUG" hidden="1">#REF!</definedName>
    <definedName name="BEx9BC14VP9ZD5XY7X1CWPZPK2XS" hidden="1">#REF!</definedName>
    <definedName name="BEx9BDDL36UZKW3I0VF3QBMH2UOA" hidden="1">#REF!</definedName>
    <definedName name="BEx9BDTTP7X4QMTMWU7MD68SSZXG" hidden="1">#REF!</definedName>
    <definedName name="BEx9BFH4QHZH651NAU85RYCE6IF7" hidden="1">#REF!</definedName>
    <definedName name="BEx9BFRWP0N9ZMLDQV4JHWZU3GG4" hidden="1">#REF!</definedName>
    <definedName name="BEx9BHVF6XKRXYF5JK3585DQ9UH2" hidden="1">#REF!</definedName>
    <definedName name="BEx9BMTIJJ6Z4F8WM9KABU44PPEA" hidden="1">#REF!</definedName>
    <definedName name="BEx9BPNYJFCNVYLE7Q978G0UWHU8" hidden="1">#REF!</definedName>
    <definedName name="BEx9BPNYSLMRGZX11QQ1EYVHQFZ1" hidden="1">#REF!</definedName>
    <definedName name="BEx9BQ4249EYOPW35MZNR7LW1QJC" hidden="1">#REF!</definedName>
    <definedName name="BEx9BW3VI9QJ6SLM8D5W447KX9ZQ" hidden="1">#REF!</definedName>
    <definedName name="BEx9BYSYW7QCPXS2NAVLFAU5Y2Z2" hidden="1">#REF!</definedName>
    <definedName name="BEx9C590HJ2O31IWJB73C1HR74AI" hidden="1">#REF!</definedName>
    <definedName name="BEx9CBJLEWPEYIF6BN2BZQ2QQOEX" hidden="1">#REF!</definedName>
    <definedName name="BEx9CCQRMYYOGIOYTOM73VKDIPS1" hidden="1">#REF!</definedName>
    <definedName name="BEx9CHDX8C1YRNRJV2H9WF03WK3W" hidden="1">#REF!</definedName>
    <definedName name="BEx9D0F4TBAP5H8YM0NNX0YSZME5" hidden="1">#REF!</definedName>
    <definedName name="BEx9D1BC9FT19KY0INAABNDBAMR1" hidden="1">#REF!</definedName>
    <definedName name="BEx9DE2057HPLBCGERC5H9JH62SM" hidden="1">#REF!</definedName>
    <definedName name="BEx9DIJTYPFWQ7F1ECLU6Q16VJWS" hidden="1">#REF!</definedName>
    <definedName name="BEx9DN6ZMF18Q39MPMXSDJTZQNJ3" hidden="1">#REF!</definedName>
    <definedName name="BEx9DPW3VQ6LNJ205GXB1UYFGDPI" hidden="1">#REF!</definedName>
    <definedName name="BEx9DR8R60TJTDQ03US6HDAVMJ0E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8RTACZLWT4KWD697LMMZ4LQ" hidden="1">#REF!</definedName>
    <definedName name="BEx9E92NE49RWBZDB124F9N9WPYJ" hidden="1">#REF!</definedName>
    <definedName name="BEx9EBGY6I0FHGMWQH1MYMODNA7A" hidden="1">#REF!</definedName>
    <definedName name="BEx9ECISQJFCU2CYITIBE5MXBPSN" hidden="1">#REF!</definedName>
    <definedName name="BEx9EG9KBJ77M8LEOR9ITOKN5KXY" hidden="1">#REF!</definedName>
    <definedName name="BEx9EID433WKVXBVN7NRVR4SG00F" hidden="1">#REF!</definedName>
    <definedName name="BEx9EITDNHOEE6WCWV7N8J4LFIH1" hidden="1">#REF!</definedName>
    <definedName name="BEx9EKWX5GPW12H3OHVR6SYJ71YV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EZG41LT6OYE7KOOOM1OTCEAE" hidden="1">#REF!</definedName>
    <definedName name="BEx9F0Y2ESUNE3U7TQDLMPE9BO67" hidden="1">#REF!</definedName>
    <definedName name="BEx9F5W18ZGFOKGRE8PR6T1MO6GT" hidden="1">#REF!</definedName>
    <definedName name="BEx9F78N4HY0XFGBQ4UJRD52L1EI" hidden="1">#REF!</definedName>
    <definedName name="BEx9FEVQDR2V9IZ420K0FKTX2CDY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NOPB6OZ2RH3FCDNJR38RJOS" hidden="1">#REF!</definedName>
    <definedName name="BEx9GQ8GQV5AKOGHAG8Y47G0MX1S" hidden="1">#REF!</definedName>
    <definedName name="BEx9GUQALUWCD30UKUQGSWW8KBQ7" hidden="1">#REF!</definedName>
    <definedName name="BEx9GXQ7L7KDDCRG9GHBO65XM0ER" hidden="1">#REF!</definedName>
    <definedName name="BEx9GY6BVFQGCLMOWVT6PIC9WP5X" hidden="1">#REF!</definedName>
    <definedName name="BEx9GYBRUMF8KY5OE947IGH0LXCK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9F0GXQX6ZE618AQQ4KUUAVM" hidden="1">#REF!</definedName>
    <definedName name="BEx9HG07ZOX1YRYMCAKS8AE6DJ5M" hidden="1">#REF!</definedName>
    <definedName name="BEx9HHIC615TSVG5W69MK6U3OLZS" hidden="1">#REF!</definedName>
    <definedName name="BEx9I8XIG7E5NB48QQHXP23FIN60" hidden="1">#REF!</definedName>
    <definedName name="BEx9ILD7RAIWWWFINXCA2BVEZBPL" hidden="1">#REF!</definedName>
    <definedName name="BEx9IQRF01ATLVK0YE60ARKQJ68L" hidden="1">#REF!</definedName>
    <definedName name="BEx9IS9D79BEONLKLEUL0I1JVAXT" hidden="1">#REF!</definedName>
    <definedName name="BEx9IT0FJLPSOYS8J44DJNFQW3N2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XIAIX8IEGAMGTBT4621M2V3" hidden="1">#REF!</definedName>
    <definedName name="BEx9IZR39NHDGOM97H4E6F81RTQW" hidden="1">#REF!</definedName>
    <definedName name="BEx9J31S2TUZNW2PE32HHYHGM0NE" hidden="1">#REF!</definedName>
    <definedName name="BEx9J3I21I9VTO3HWNI0JOKHWNNE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9JP88CGRJAVU90V5TY9R6TBDY" hidden="1">#REF!</definedName>
    <definedName name="BEx9JX0SH4HTEZKSA951E4YMGCBH" hidden="1">#REF!</definedName>
    <definedName name="BEx9KCB1LRQQB0SN702CX8A3JLXW" hidden="1">#REF!</definedName>
    <definedName name="BEx9KF03OZJFZT1MSQ8U39LEVIBV" hidden="1">#REF!</definedName>
    <definedName name="BEx9KLAPORTH1R1J5LR89Q1BUALO" hidden="1">#REF!</definedName>
    <definedName name="BEx9KOLF1SJLMKS40VZGJT8H0VG3" hidden="1">#REF!</definedName>
    <definedName name="BExAVEFRS4HE83A4S6H4AYGGE4WU" hidden="1">#REF!</definedName>
    <definedName name="BExAW1IL59RO92ZFCJF08DRT2BKK" hidden="1">#REF!</definedName>
    <definedName name="BExAW4IIW5D0MDY6TJ3G4FOLPYIR" hidden="1">#REF!</definedName>
    <definedName name="BExAWRLBI73873Q5Y9XPXF2XM5V8" hidden="1">#REF!</definedName>
    <definedName name="BExAWUL78J0P1U8W0WI2P5JU66GH" hidden="1">#REF!</definedName>
    <definedName name="BExAX410NB4F2XOB84OR2197H8M5" hidden="1">#REF!</definedName>
    <definedName name="BExAX76D15G6LRYQ7953TDC52YHP" hidden="1">#REF!</definedName>
    <definedName name="BExAX8TNG8LQ5Q4904SAYQIPGBSV" hidden="1">#REF!</definedName>
    <definedName name="BExAXAH11Y7KA65FVD43Z0RO88EW" hidden="1">#REF!</definedName>
    <definedName name="BExAXKNWWX005KYH9LP3EYV62G94" hidden="1">#REF!</definedName>
    <definedName name="BExAXTSWCF3U4OGY3N1E2A4ZY4YT" hidden="1">#REF!</definedName>
    <definedName name="BExAY0EAT2LXR5MFGM0DLIB45PLO" hidden="1">#REF!</definedName>
    <definedName name="BExAY3JMVLUMV6WDX4PV4SISPFW6" hidden="1">#REF!</definedName>
    <definedName name="BExAYE6LNIEBR9DSNI5JGNITGKIT" hidden="1">#REF!</definedName>
    <definedName name="BExAYEHDKJACNP4S8GB2Z6XCO55C" hidden="1">#REF!</definedName>
    <definedName name="BExAYHMLXGGO25P8HYB2S75DEB4F" hidden="1">#REF!</definedName>
    <definedName name="BExAYKXAUWGDOPG952TEJ2UKZKWN" hidden="1">#REF!</definedName>
    <definedName name="BExAYO2NQO1HFZRYC0USMSP6MF5Y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62UHQDAK431ZYNDNPCRQVY" hidden="1">#REF!</definedName>
    <definedName name="BExAYTGVRD3DLKO75RFPMBKCIWB8" hidden="1">#REF!</definedName>
    <definedName name="BExAYVPOWTBJ5S2XLBM3XN23PHJY" hidden="1">#REF!</definedName>
    <definedName name="BExAYW0H00ZHXPMVOG2Z7FT4O6U5" hidden="1">#REF!</definedName>
    <definedName name="BExAYY9H9COOT46HJLPVDLTO12UL" hidden="1">#REF!</definedName>
    <definedName name="BExAZ20B25A9YQ9N2B3CA31GLXDJ" hidden="1">#REF!</definedName>
    <definedName name="BExAZB5GRV51WB20YMLQ5MRI5A4C" hidden="1">#REF!</definedName>
    <definedName name="BExAZCNEGB4JYHC8CZ51KTN890US" hidden="1">#REF!</definedName>
    <definedName name="BExAZFCI302YFYRDJYQDWQQL0Q0O" hidden="1">#REF!</definedName>
    <definedName name="BExAZHQO5XB8RHG5HU0GNEHSP3Y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AZXRZ3I15XVR0QBTY3N8E9O60" hidden="1">#REF!</definedName>
    <definedName name="BExB000TV79FAU7B0DPW33BLDS22" hidden="1">#REF!</definedName>
    <definedName name="BExB012NJ8GASTNNPBRRFTLHIOC9" hidden="1">#REF!</definedName>
    <definedName name="BExB03BK1O0ASWQUETV3XYVJ5D4O" hidden="1">#REF!</definedName>
    <definedName name="BExB072HHXVMUC0VYNGG48GRSH5Q" hidden="1">#REF!</definedName>
    <definedName name="BExB0DT5JIFXP03BLKT4UD31E8NV" hidden="1">#REF!</definedName>
    <definedName name="BExB0FRDEYDEUEAB1W8KD6D965XA" hidden="1">#REF!</definedName>
    <definedName name="BExB0KPCN7YJORQAYUCF4YKIKPMC" hidden="1">#REF!</definedName>
    <definedName name="BExB0M1XTK298GD18M2KWKOFCKAC" hidden="1">#REF!</definedName>
    <definedName name="BExB0WE4PI3NOBXXVO9CTEN4DIU2" hidden="1">#REF!</definedName>
    <definedName name="BExB0WJM7B8LO4Z6W312WICEPTRY" hidden="1">#REF!</definedName>
    <definedName name="BExB10QNIVITUYS55OAEKK3VLJFE" hidden="1">#REF!</definedName>
    <definedName name="BExB15DU3NPHLNGXZX7N3MGS1FH9" hidden="1">#REF!</definedName>
    <definedName name="BExB15ZDRY4CIJ911DONP0KCY9KU" hidden="1">#REF!</definedName>
    <definedName name="BExB16VQY0O0RLZYJFU3OFEONVTE" hidden="1">#REF!</definedName>
    <definedName name="BExB1D6AW6UXBLBRQJJW8Z3L0YP2" hidden="1">#REF!</definedName>
    <definedName name="BExB1FKNY2UO4W5FUGFHJOA2WFGG" hidden="1">#REF!</definedName>
    <definedName name="BExB1GMD0PIDGTFBGQOPRWQSP9I4" hidden="1">#REF!</definedName>
    <definedName name="BExB1KYUSQOZMALDX6Z879S3JH7E" hidden="1">#REF!</definedName>
    <definedName name="BExB1OEZRI8LRUQHURQPWQW3CMOO" hidden="1">#REF!</definedName>
    <definedName name="BExB1Q29OO6LNFNT1EQLA3KYE7MX" hidden="1">#REF!</definedName>
    <definedName name="BExB1TNRV5EBWZEHYLHI76T0FVA7" hidden="1">#REF!</definedName>
    <definedName name="BExB1U3VHH7J1DD37E2LJ7JDN4PF" hidden="1">#REF!</definedName>
    <definedName name="BExB1UEODHUD2H6NQKFKZBHTD94C" hidden="1">#REF!</definedName>
    <definedName name="BExB1WI6M8I0EEP1ANUQZCFY24EV" hidden="1">#REF!</definedName>
    <definedName name="BExB203OWC9QZA3BYOKQ18L4FUJE" hidden="1">#REF!</definedName>
    <definedName name="BExB2276TK2JZ40X8HUA7S6U84TN" hidden="1">#REF!</definedName>
    <definedName name="BExB25CKHP9FP5HCWUJA57FNV8L0" hidden="1">#REF!</definedName>
    <definedName name="BExB25SO8XR83C6UWS411E0JKYTF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2YF04K11TVRRL314ZPETBWXC" hidden="1">#REF!</definedName>
    <definedName name="BExB30IP1DNKNQ6PZ5ERUGR5MK4Z" hidden="1">#REF!</definedName>
    <definedName name="BExB3HAXJX6R634TVSQS4WZLVFFO" hidden="1">#REF!</definedName>
    <definedName name="BExB41OFGGZ6TGOP8L1BT4PP6OUL" hidden="1">#REF!</definedName>
    <definedName name="BExB42A1M5UAZ8HZ5FY2K8LN3MNZ" hidden="1">#REF!</definedName>
    <definedName name="BExB4312R6Z1A6RXYQQ2D6IVR6JM" hidden="1">#REF!</definedName>
    <definedName name="BExB442RX0T3L6HUL6X5T21CENW6" hidden="1">#REF!</definedName>
    <definedName name="BExB48VDK4TNL7ODYOPF6SLMHIAX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EV7864QAYZVWL6IA508WJ1L" hidden="1">#REF!</definedName>
    <definedName name="BExB4QPALVY9CPGH53QMNBFDF55T" hidden="1">#REF!</definedName>
    <definedName name="BExB4WZVAQB9665XA9XQHZYALRFD" hidden="1">#REF!</definedName>
    <definedName name="BExB4Z3EZBGYYI33U0KQ8NEIH8PY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TYXEQ2IHJ2VTKPLC93R6ES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K2O5QNLF5EPC9PDERS2EX2K" hidden="1">#REF!</definedName>
    <definedName name="BExB5MBOCI601SEXYKOMAY579IFC" hidden="1">#REF!</definedName>
    <definedName name="BExB5QYVEZWFE5DQVHAM760EV05X" hidden="1">#REF!</definedName>
    <definedName name="BExB5U9IRH14EMOE0YGIE3WIVLFS" hidden="1">#REF!</definedName>
    <definedName name="BExB5V0LO371I1THYMD6T4YHMIJ9" hidden="1">#REF!</definedName>
    <definedName name="BExB5VWYMOV6BAIH7XUBBVPU7MMD" hidden="1">#REF!</definedName>
    <definedName name="BExB610DZWIJP1B72U9QM42COH2B" hidden="1">#REF!</definedName>
    <definedName name="BExB64AWTBJNTKOF491QGO89C8SP" hidden="1">#REF!</definedName>
    <definedName name="BExB67AT91KSAQYEVFKA6NHP926N" hidden="1">#REF!</definedName>
    <definedName name="BExB69JSL2ZWEX1DPB2RMPZC1D5P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6LOQ5Z09C290QV19GS7WQ6SG" hidden="1">#REF!</definedName>
    <definedName name="BExB6WXFAW2354A6G1T5TORK3C9L" hidden="1">#REF!</definedName>
    <definedName name="BExB6ZRUERZTP9XEOOOB0RS1KPT6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MZWI46Q9KPOU9DAP644TX17" hidden="1">#REF!</definedName>
    <definedName name="BExB7SUG3IYN0I15YFNFA5P9DD2G" hidden="1">#REF!</definedName>
    <definedName name="BExB7VZMC27UEPR7O42OLLZ7GBD4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J2G7CEKAF7BPSV4U0WDYVF2" hidden="1">#REF!</definedName>
    <definedName name="BExB8QPH8DC5BESEVPSMBCWVN6PO" hidden="1">#REF!</definedName>
    <definedName name="BExB8U5N0D85YR8APKN3PPKG0FWP" hidden="1">#REF!</definedName>
    <definedName name="BExB98JIU8YFXRZ410ZWG7J71E0N" hidden="1">#REF!</definedName>
    <definedName name="BExB9BZJJRRM8BIE9K1O1PV5IIOB" hidden="1">#REF!</definedName>
    <definedName name="BExB9DHI5I2TJ2LXYPM98EE81L27" hidden="1">#REF!</definedName>
    <definedName name="BExB9IA4DITGW3H8VRCM41RW3J89" hidden="1">#REF!</definedName>
    <definedName name="BExB9Q2MZZHBGW8QQKVEYIMJBPIE" hidden="1">#REF!</definedName>
    <definedName name="BExB9QISFTHGC4CGZ1NFZ3YHHOOS" hidden="1">#REF!</definedName>
    <definedName name="BExB9QIWT45DXGH5OQSJT4SLVELE" hidden="1">#REF!</definedName>
    <definedName name="BExB9SRRSA9OI20WHFR27U753V0B" hidden="1">#REF!</definedName>
    <definedName name="BExB9WD8JZB3O7V2Y4WGPVJZKJWO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7GGA2RQ070YAJSGJDUUY7KP" hidden="1">#REF!</definedName>
    <definedName name="BExBA8I5D4R8R2PYQ1K16TWGTOEP" hidden="1">#REF!</definedName>
    <definedName name="BExBA93PE0DGUUTA7LLSIGBIXWE5" hidden="1">#REF!</definedName>
    <definedName name="BExBAFP90RJ0F1HU8XFKM36IIGZ3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1VJV4GSMWXGNNQX1FZ75LT3" hidden="1">#REF!</definedName>
    <definedName name="BExBB6O6NMMGIYBC501JGYI79R36" hidden="1">#REF!</definedName>
    <definedName name="BExBBEGO4WTFP0RIP04HBLLPRRHW" hidden="1">#REF!</definedName>
    <definedName name="BExBBFYN9F2RTY6X2ZF4MQUXJJ3G" hidden="1">#REF!</definedName>
    <definedName name="BExBBTG649R9I0CT042JLL8LXV18" hidden="1">#REF!</definedName>
    <definedName name="BExBBUCJQRR74Q7GPWDEZXYK2KJL" hidden="1">#REF!</definedName>
    <definedName name="BExBBUHUCLNLU2F6S2734JOBBYYH" hidden="1">#REF!</definedName>
    <definedName name="BExBBV8XVMD9CKZY711T0BN7H3PM" hidden="1">#REF!</definedName>
    <definedName name="BExBBV8XWH2QV4W7F5JFPIPSNVTV" hidden="1">#REF!</definedName>
    <definedName name="BExBBY3HT8G01NHDM6Z4HZS7PLJI" hidden="1">#REF!</definedName>
    <definedName name="BExBC78HXWXHO3XAB6E8NVTBGLJS" hidden="1">#REF!</definedName>
    <definedName name="BExBCA8EXHBI1L8JPM3LCUY9ASN2" hidden="1">#REF!</definedName>
    <definedName name="BExBCCMOTN6SVC6CO7FNOM2FB41R" hidden="1">#REF!</definedName>
    <definedName name="BExBCKKJTIRKC1RZJRTK65HHLX4W" hidden="1">#REF!</definedName>
    <definedName name="BExBCLMEPAN3XXX174TU8SS0627Q" hidden="1">#REF!</definedName>
    <definedName name="BExBCO60SWD6B8K1ZFI97K5LKHSM" hidden="1">#REF!</definedName>
    <definedName name="BExBCRBEYR2KZ8FAQFZ2NHY13WIY" hidden="1">#REF!</definedName>
    <definedName name="BExBCWK47RIRCCURZBXN69EY0TQG" hidden="1">#REF!</definedName>
    <definedName name="BExBCXGJ8MB9UAW0OC2AN4Z36L9A" hidden="1">#REF!</definedName>
    <definedName name="BExBCZK2VXEIGW9GRUVW2RQMSJQH" hidden="1">#REF!</definedName>
    <definedName name="BExBD4I559NXSV6J07Q343TKYMVJ" hidden="1">#REF!</definedName>
    <definedName name="BExBD8E9TPIL2EEGJG9ZFXL6Z2AP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C9ATLQZF86W1M3APSM4HEOH" hidden="1">#REF!</definedName>
    <definedName name="BExBEECU3WAM94DQOCJ8IR77QL3H" hidden="1">#REF!</definedName>
    <definedName name="BExBEKSVVTRE4FZUXF3TQ41ITWOV" hidden="1">#REF!</definedName>
    <definedName name="BExBEM5C6QAPRO31HQKO7WG3CSYX" hidden="1">#REF!</definedName>
    <definedName name="BExBEMASP4B6ZLTHM9PKG1QGLDM6" hidden="1">#REF!</definedName>
    <definedName name="BExBEYFQHWJO3UXO7EUKLT5ODJI9" hidden="1">#REF!</definedName>
    <definedName name="BExBEYFQJE9YK12A6JBMRFKEC7RN" hidden="1">#REF!</definedName>
    <definedName name="BExBF2MRNX32WEM4OU4Q2Z58L6HJ" hidden="1">#REF!</definedName>
    <definedName name="BExBF5BVMK6WH845TCPO7U42YHPW" hidden="1">#REF!</definedName>
    <definedName name="BExBG1ED81J2O4A2S5F5Y3BPHMCR" hidden="1">#REF!</definedName>
    <definedName name="BExCR4QBB9NQICLS70YZOTMFT0SL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HL0GIFO11ZPR1JA2VCBI79F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D79N081PU2Z4NXN9OYLH88D" hidden="1">#REF!</definedName>
    <definedName name="BExCTW8G3VCZ55S09HTUGXKB1P2M" hidden="1">#REF!</definedName>
    <definedName name="BExCTXVQCCG0O8HSR1PLMLBXVG55" hidden="1">#REF!</definedName>
    <definedName name="BExCTYS2KX0QANOLT8LGZ9WV3S3T" hidden="1">#REF!</definedName>
    <definedName name="BExCTYS3ESDQA3WUYO14MI7UZ5JS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283WMO1GPJUNY1OPZUOO8B7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UYW5N99LGRQ1XX6ZTTHMBJDR" hidden="1">#REF!</definedName>
    <definedName name="BExCV08SO5WMWKZL6CYM9I2LXWKI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I1H953HD5SUIO2VXSVR1MRX" hidden="1">#REF!</definedName>
    <definedName name="BExCWPDPESGZS07QGBLSBWDNVJLZ" hidden="1">#REF!</definedName>
    <definedName name="BExCWS8C0UJGH9OEGPTKA3U8035Y" hidden="1">#REF!</definedName>
    <definedName name="BExCWTVKHIVCRHF8GC39KI58YM5K" hidden="1">#REF!</definedName>
    <definedName name="BExCX1IMM0V8WIX1BD9DCNG9GDET" hidden="1">#REF!</definedName>
    <definedName name="BExCX2F54DU5CH0FBJRS7A939SRD" hidden="1">#REF!</definedName>
    <definedName name="BExCX2KGRZBRVLZNM8SUSIE6A0RL" hidden="1">#REF!</definedName>
    <definedName name="BExCX3BDABRRCY9YYR592UJ0IWC7" hidden="1">#REF!</definedName>
    <definedName name="BExCX3X451T70LZ1VF95L7W4Y4TM" hidden="1">#REF!</definedName>
    <definedName name="BExCX4NZ2N1OUGXM7EV0U7VULJMM" hidden="1">#REF!</definedName>
    <definedName name="BExCXCGJLDRBYW08P91GM4EE3HEU" hidden="1">#REF!</definedName>
    <definedName name="BExCXHJXW6S3663DAXQJX150ZSQ0" hidden="1">#REF!</definedName>
    <definedName name="BExCXILMURGYMAH6N5LF5DV6K3GM" hidden="1">#REF!</definedName>
    <definedName name="BExCXL5F7AUU39DFEML38V4P2HWG" hidden="1">#REF!</definedName>
    <definedName name="BExCXLG8T4X5B89RY8BLAOS0XSUD" hidden="1">#REF!</definedName>
    <definedName name="BExCXN3HAVNV8JF363A5OSIPZ40A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B2N42CNW9AHNZOE49ULJOOQ" hidden="1">#REF!</definedName>
    <definedName name="BExCYC4H126Y3FO9D5OT3QMMVVU4" hidden="1">#REF!</definedName>
    <definedName name="BExCYCF4WQJAKL6PXRKKW2WVNPOI" hidden="1">#REF!</definedName>
    <definedName name="BExCYJBB52X8B3AREHCC1L5QNPX7" hidden="1">#REF!</definedName>
    <definedName name="BExCYNID2U2MFQ7ANL6GIE1J8HA7" hidden="1">#REF!</definedName>
    <definedName name="BExCYPRC5HJE6N2XQTHCT6NXGP8N" hidden="1">#REF!</definedName>
    <definedName name="BExCYTSXROGODRJB261IIJR88ERO" hidden="1">#REF!</definedName>
    <definedName name="BExCYUK0I3UEXZNFDW71G6Z6D8XR" hidden="1">#REF!</definedName>
    <definedName name="BExCYXJVS809XQNLIMBO1O2OP42Y" hidden="1">#REF!</definedName>
    <definedName name="BExCZ0P280FON8U4OP2UIXW6CVKW" hidden="1">#REF!</definedName>
    <definedName name="BExCZ271RVR5A2VJZ6ZRA01DASNM" hidden="1">#REF!</definedName>
    <definedName name="BExCZES7G8J0VI594O2EVUV6AVO8" hidden="1">#REF!</definedName>
    <definedName name="BExCZES7RZ0L091MU52ELWUJEV6Z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SF1U7ETRY9X676MCA1IR9WX" hidden="1">#REF!</definedName>
    <definedName name="BExCZUD9FEOJBKDJ51Z3JON9LKJ8" hidden="1">#REF!</definedName>
    <definedName name="BExD01EQ95LGBIGQT6TB81UD0RHH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POQ6YBWBVNB6OIQPORS8WYN" hidden="1">#REF!</definedName>
    <definedName name="BExD0RMWSB4TRECEHTH6NN4K9DFZ" hidden="1">#REF!</definedName>
    <definedName name="BExD0U6KG10QGVDI1XSHK0J10A2V" hidden="1">#REF!</definedName>
    <definedName name="BExD0UXKIV77H8D6SOGPNH0ZTQX9" hidden="1">#REF!</definedName>
    <definedName name="BExD11OB3RBUDO41R0D5JV46FF8M" hidden="1">#REF!</definedName>
    <definedName name="BExD13RUIBGRXDL4QDZ305UKUR12" hidden="1">#REF!</definedName>
    <definedName name="BExD14DETV5R4OOTMAXD5NAKWRO3" hidden="1">#REF!</definedName>
    <definedName name="BExD1HK4F9AYY35RSNJ1XDSSR8PF" hidden="1">#REF!</definedName>
    <definedName name="BExD1OAU9OXQAZA4D70HP72CU6GB" hidden="1">#REF!</definedName>
    <definedName name="BExD1Y1JV61416YA1XRQHKWPZIE7" hidden="1">#REF!</definedName>
    <definedName name="BExD26VSITQ0VCMAUH19XQXYVQX6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XK21H6ZRY3JJIPR874MIHU0" hidden="1">#REF!</definedName>
    <definedName name="BExD2YAXOO7A29XE2019WT3R60TV" hidden="1">#REF!</definedName>
    <definedName name="BExD321VYE2C44AJWB3WHTN4Q956" hidden="1">#REF!</definedName>
    <definedName name="BExD32Y94VYP83ZH09ETCX7NS2YJ" hidden="1">#REF!</definedName>
    <definedName name="BExD363H2VGFIQUCE6LS4AC5J0ZT" hidden="1">#REF!</definedName>
    <definedName name="BExD38CHBZG4SQRG5280ADHNBPEO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HSAHSXFDB9JYXXGZ3US350L" hidden="1">#REF!</definedName>
    <definedName name="BExD3IJ5IT335SOSNV9L85WKAOSI" hidden="1">#REF!</definedName>
    <definedName name="BExD3KBVUY57GMMQTOFEU6S6G1AY" hidden="1">#REF!</definedName>
    <definedName name="BExD3MFEZ9LJHA1VMUETAUDR4NR0" hidden="1">#REF!</definedName>
    <definedName name="BExD3MFGQUM81J7SN1Q9JVFNCZB6" hidden="1">#REF!</definedName>
    <definedName name="BExD3NBYK8VG7B0Q707VW3EQ94DI" hidden="1">#REF!</definedName>
    <definedName name="BExD3NMR7AW2Z6V8SC79VQR37NA6" hidden="1">#REF!</definedName>
    <definedName name="BExD3QH7GL0U32ZWLTRM5XPW26BD" hidden="1">#REF!</definedName>
    <definedName name="BExD3QXA2UQ2W4N7NYLUEOG40BZB" hidden="1">#REF!</definedName>
    <definedName name="BExD3U2N041TEJ7GCN005UTPHNXY" hidden="1">#REF!</definedName>
    <definedName name="BExD3WRRPFB049KTJBBT5LZJMKJZ" hidden="1">#REF!</definedName>
    <definedName name="BExD40O0CFTNJFOFMMM1KH0P7BUI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ICLNTLPE1WXZ2V29UBVAAUK" hidden="1">#REF!</definedName>
    <definedName name="BExD4ISONYM62FWZD5C19JW4ETFX" hidden="1">#REF!</definedName>
    <definedName name="BExD4JJSS3QDBLABCJCHD45SRNPI" hidden="1">#REF!</definedName>
    <definedName name="BExD4R1I0MKF033I5LPUYIMTZ6E8" hidden="1">#REF!</definedName>
    <definedName name="BExD4VDVZUGOQX08F8JX6RFRBJXF" hidden="1">#REF!</definedName>
    <definedName name="BExD50MT3M6XZLNUP9JL93EG6D9R" hidden="1">#REF!</definedName>
    <definedName name="BExD589TZY66ZG1LQIGKF5AQV5NG" hidden="1">#REF!</definedName>
    <definedName name="BExD5EV7KDSVF1CJT38M4IBPFLPY" hidden="1">#REF!</definedName>
    <definedName name="BExD5FRK547OESJRYAW574DZEZ7J" hidden="1">#REF!</definedName>
    <definedName name="BExD5FRKHPEKFRE10XMEYHD2QHD8" hidden="1">#REF!</definedName>
    <definedName name="BExD5I5X2YA2YNCTCDSMEL4CWF4N" hidden="1">#REF!</definedName>
    <definedName name="BExD5IRH8IUKZ0NQW9MQLUFESQRQ" hidden="1">#REF!</definedName>
    <definedName name="BExD5JTBFJP7RKFQ2LA5B5C9VQD8" hidden="1">#REF!</definedName>
    <definedName name="BExD5MCXFB5D6RG12P8W1S4A4FC7" hidden="1">#REF!</definedName>
    <definedName name="BExD5QUSRFJWRQ1ZM50WYLCF74DF" hidden="1">#REF!</definedName>
    <definedName name="BExD5SSUIF6AJQHBHK8PNMFBPRYB" hidden="1">#REF!</definedName>
    <definedName name="BExD5WEGMEML5FK3KE3X21E985WP" hidden="1">#REF!</definedName>
    <definedName name="BExD5WUKY4K5PVRQ514RI561J9JJ" hidden="1">#REF!</definedName>
    <definedName name="BExD623C9LRX18BE0W2V6SZLQUXX" hidden="1">#REF!</definedName>
    <definedName name="BExD64XXKXLKTTIVI9WLUKTFILIG" hidden="1">#REF!</definedName>
    <definedName name="BExD6B30BR2PJUKN85ZN7NQF10MP" hidden="1">#REF!</definedName>
    <definedName name="BExD6CKXPQP9YFPY6VGN2FPEF3BL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6NYXUKL7BNDO59TXMN8WW1R5" hidden="1">#REF!</definedName>
    <definedName name="BExD6OVCLM2CWCS8U8O0J180BBQS" hidden="1">#REF!</definedName>
    <definedName name="BExD6VM0O907D6L6VG01HAHG4GI7" hidden="1">#REF!</definedName>
    <definedName name="BExD71LTOE015TV5RSAHM8NT8GVW" hidden="1">#REF!</definedName>
    <definedName name="BExD73USXVADC7EHGHVTQNCT06ZA" hidden="1">#REF!</definedName>
    <definedName name="BExD745NE030HQRSCSYFEWGQKXF6" hidden="1">#REF!</definedName>
    <definedName name="BExD78I005ARN7EW6AIY2MI5SQ5F" hidden="1">#REF!</definedName>
    <definedName name="BExD7GAIGULTB3YHM1OS9RBQOTEC" hidden="1">#REF!</definedName>
    <definedName name="BExD7H1LLCYIWJUZ74I7LZ9C1RAY" hidden="1">#REF!</definedName>
    <definedName name="BExD7IE1DHIS52UFDCTSKPJQNRD5" hidden="1">#REF!</definedName>
    <definedName name="BExD7IUB07R9YUH79F89W7RKUGS2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7PA8MYGLH9WDDDU5U3PGBKK0" hidden="1">#REF!</definedName>
    <definedName name="BExD7WBP5LWYKKR14V5L0VOVBIDQ" hidden="1">#REF!</definedName>
    <definedName name="BExD832KJ5SZK9R9N7QQ8DCEVVRD" hidden="1">#REF!</definedName>
    <definedName name="BExD87KDID0X73BBEEIQF0YI5TX4" hidden="1">#REF!</definedName>
    <definedName name="BExD8A9IIK0Q9VMKVUC5WUDQKAIN" hidden="1">#REF!</definedName>
    <definedName name="BExD8E0FPV8TOUDQMGQ136EKTYMC" hidden="1">#REF!</definedName>
    <definedName name="BExD8FIDL51V9O4QFG570UX6JYNA" hidden="1">#REF!</definedName>
    <definedName name="BExD8H5O087KQVWIVPUUID5VMGMS" hidden="1">#REF!</definedName>
    <definedName name="BExD8HAXYSVL4WVSA33S4DE9C0ZH" hidden="1">#REF!</definedName>
    <definedName name="BExD8NWC7ZIWIEHFCS000HSS1YG8" hidden="1">#REF!</definedName>
    <definedName name="BExD8OCLZMFN5K3VZYI4Q4ITVKUA" hidden="1">#REF!</definedName>
    <definedName name="BExD8S8V86RD91NYM96CPO18YIZ6" hidden="1">#REF!</definedName>
    <definedName name="BExD91OO0S00OMTJLR7DF1LWVRF7" hidden="1">#REF!</definedName>
    <definedName name="BExD93C1R6LC0631ECHVFYH0R0PD" hidden="1">#REF!</definedName>
    <definedName name="BExD942YWZZ97U9ZVFQQT6EE6GUC" hidden="1">#REF!</definedName>
    <definedName name="BExD97TXIO0COVNN4OH3DEJ33YLM" hidden="1">#REF!</definedName>
    <definedName name="BExD99RZ1RFIMK6O1ZHSPJ68X9Y5" hidden="1">#REF!</definedName>
    <definedName name="BExD9BF88OKDD5LBIMIAIW4UCQPZ" hidden="1">#REF!</definedName>
    <definedName name="BExD9E4C8E36NSY3C7D4CJJY4KX6" hidden="1">#REF!</definedName>
    <definedName name="BExD9EF4IFISG4LZ0C33RXCMHSHD" hidden="1">#REF!</definedName>
    <definedName name="BExD9FH023P5XR9RW8LDGMN4EKS8" hidden="1">#REF!</definedName>
    <definedName name="BExD9GDCOBVOKJHBQL05CY43AFL0" hidden="1">#REF!</definedName>
    <definedName name="BExD9I63G9DIKZ4PUUAQY3UAM79U" hidden="1">#REF!</definedName>
    <definedName name="BExD9IWZCMORWAX5YNN41SQLL9LE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N9IY60OEH26O2HJZUYMM4UK" hidden="1">#REF!</definedName>
    <definedName name="BExD9PNSYT7GASEGUVL48MUQ02WO" hidden="1">#REF!</definedName>
    <definedName name="BExD9PT57BGK0K5AO795HID3PUYY" hidden="1">#REF!</definedName>
    <definedName name="BExD9TK2MIWFH5SKUYU9ZKF4NPHQ" hidden="1">#REF!</definedName>
    <definedName name="BExD9WJZNL2N9HDZZG2NBUS2H3XV" hidden="1">#REF!</definedName>
    <definedName name="BExDA1HXGUS0HCCQHRURDMR5TENX" hidden="1">#REF!</definedName>
    <definedName name="BExDA3LFR35GN3XAKJD8QS73BRQV" hidden="1">#REF!</definedName>
    <definedName name="BExDA6LD9061UULVKUUI4QP8SK13" hidden="1">#REF!</definedName>
    <definedName name="BExDA9W1TUYU8OPTA5TBOXVEK1VG" hidden="1">#REF!</definedName>
    <definedName name="BExDAA6U025WR2YATBX0SJY47R06" hidden="1">#REF!</definedName>
    <definedName name="BExDAEZHG18WNGP9839OJL2W25K9" hidden="1">#REF!</definedName>
    <definedName name="BExDAGMVMNLQ6QXASB9R6D8DIT12" hidden="1">#REF!</definedName>
    <definedName name="BExDAI4U31UU1DAFJYBPGOFZRX9A" hidden="1">#REF!</definedName>
    <definedName name="BExDAYBHU9ADLXI8VRC7F608RVGM" hidden="1">#REF!</definedName>
    <definedName name="BExDB4GKYY0ZBDF51PMIIDI0LAGW" hidden="1">#REF!</definedName>
    <definedName name="BExDB8YEUSGXCQU6VWLYPQTYXXZA" hidden="1">#REF!</definedName>
    <definedName name="BExDBDR1XR0FV0CYUCB2OJ7CJCZU" hidden="1">#REF!</definedName>
    <definedName name="BExDC50X0R7O9XL63DC5XHNDVZVB" hidden="1">#REF!</definedName>
    <definedName name="BExDC7F818VN0S18ID7XRCRVYPJ4" hidden="1">#REF!</definedName>
    <definedName name="BExDC8BM1TTCE7SJP204ZYD0RT8J" hidden="1">#REF!</definedName>
    <definedName name="BExDCL7K96PC9VZYB70ZW3QPVIJE" hidden="1">#REF!</definedName>
    <definedName name="BExDCP3UZ3C2O4C1F7KMU0Z9U32N" hidden="1">#REF!</definedName>
    <definedName name="BExENM55XCQR5SQUWEES5UMWNEAB" hidden="1">#REF!</definedName>
    <definedName name="BExENMQS3GYIYQQT2JFRH20N319I" hidden="1">#REF!</definedName>
    <definedName name="BExENTMW82HYHMUEJHV9IJ7Z5D1J" hidden="1">#REF!</definedName>
    <definedName name="BExEO0J2HHA5NXMIENA3CI1410GA" hidden="1">#REF!</definedName>
    <definedName name="BExEO7Q1NZ3OTD9N4GQ9T34GMDZB" hidden="1">#REF!</definedName>
    <definedName name="BExEOBX3WECDMYCV9RLN49APTXMM" hidden="1">#REF!</definedName>
    <definedName name="BExEOL7KL6ALJDX01633IXWQZXUS" hidden="1">#REF!</definedName>
    <definedName name="BExEOTLOTWUS4HH4UA2J0RQOC14P" hidden="1">#REF!</definedName>
    <definedName name="BExEP4E4F36662JDI0TOD85OP7X9" hidden="1">#REF!</definedName>
    <definedName name="BExEP7OT64R2I534N8RGPAWI38L3" hidden="1">#REF!</definedName>
    <definedName name="BExEPBVVQAG2CCKWLJQXK2QNGIJX" hidden="1">#REF!</definedName>
    <definedName name="BExEPI6GMDZLXILIQQLK35BOGKPI" hidden="1">#REF!</definedName>
    <definedName name="BExEPN9VIYI0FVL0HLZQXJFO6TT0" hidden="1">#REF!</definedName>
    <definedName name="BExEPUBCM3DB6AJW49XRG6S44GHM" hidden="1">#REF!</definedName>
    <definedName name="BExEPW9JTN23WUH3U3EPIASXLBUK" hidden="1">#REF!</definedName>
    <definedName name="BExEPXWTGKBR2JDQJZ1N7RPFO1DX" hidden="1">#REF!</definedName>
    <definedName name="BExEPYT6VDSMR8MU2341Q5GM2Y9V" hidden="1">#REF!</definedName>
    <definedName name="BExEPZ9F8NWO4KWXZ43G5BUYHI6Y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6AXQD9BYEMN1NRDFFBAP95M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FLE6LZ1056G95ZTSY0LDL09" hidden="1">#REF!</definedName>
    <definedName name="BExEQJHNHISPG280ZMCOLAOVO8IB" hidden="1">#REF!</definedName>
    <definedName name="BExEQPBZ73W31JXDMNKIAHG0V65F" hidden="1">#REF!</definedName>
    <definedName name="BExEQTZAP8R69U31W4LKGTKKGKQE" hidden="1">#REF!</definedName>
    <definedName name="BExEQY6CYIOM6H0KEQYA2OY5Z7ZN" hidden="1">#REF!</definedName>
    <definedName name="BExEQYRXG94SDD3J38SIOBL4OD1D" hidden="1">#REF!</definedName>
    <definedName name="BExER2O72H1F9WV6S1J04C15PXX7" hidden="1">#REF!</definedName>
    <definedName name="BExER8TAGC3H0T9G80M8W95PN70X" hidden="1">#REF!</definedName>
    <definedName name="BExERRUIKIOATPZ9U4HQ0V52RJAU" hidden="1">#REF!</definedName>
    <definedName name="BExERSANFNM1O7T65PC5MJ301YET" hidden="1">#REF!</definedName>
    <definedName name="BExERTHTHQRA2XQ2WBOH79H09JW7" hidden="1">#REF!</definedName>
    <definedName name="BExERWCEBKQRYWRQLYJ4UCMMKTHG" hidden="1">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L2G9NZA2803FLFLT9UI7XT2" hidden="1">#REF!</definedName>
    <definedName name="BExESMKD95A649M0WRSG6CXXP326" hidden="1">#REF!</definedName>
    <definedName name="BExESP9I6CQVWZVPIOSMBIM11YX7" hidden="1">#REF!</definedName>
    <definedName name="BExESR27ZXJG5VMY4PR9D940VS7T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TYYU1YO4QTK82LQWCBBZA6XF" hidden="1">#REF!</definedName>
    <definedName name="BExETZEYF6D4RX4U6S3SWYULG345" hidden="1">#REF!</definedName>
    <definedName name="BExEU12DHDKA8LYDG6GJ2JO6BGY6" hidden="1">#REF!</definedName>
    <definedName name="BExEU7T26F0VVUXKK90JBNNO702W" hidden="1">#REF!</definedName>
    <definedName name="BExEUAI5LUSWODJ3XPLG319SCDRR" hidden="1">#REF!</definedName>
    <definedName name="BExEUBJZUL2TW5Z89XJW7SFASXUE" hidden="1">#REF!</definedName>
    <definedName name="BExEUFATLVWX5MW235QEQ6F5WTXD" hidden="1">#REF!</definedName>
    <definedName name="BExEUJ1M45ZXA0X9KLE7VULBE1YN" hidden="1">#REF!</definedName>
    <definedName name="BExEUNE4T242Y59C6MS28MXEUGCP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DBI0ELL97JSCWRY0M5KGMXP" hidden="1">#REF!</definedName>
    <definedName name="BExEVET98G3FU6QBF9LHYWSAMV0O" hidden="1">#REF!</definedName>
    <definedName name="BExEVGGPMVAV1EO36CW1YZXQNMOF" hidden="1">#REF!</definedName>
    <definedName name="BExEVIK9OWEBL0T07M4848IAX9K3" hidden="1">#REF!</definedName>
    <definedName name="BExEVNCUT0PDUYNJH7G6BSEWZOT2" hidden="1">#REF!</definedName>
    <definedName name="BExEVNYFH5LLE6EXC3AP6YJ6SP9Q" hidden="1">#REF!</definedName>
    <definedName name="BExEVOPBQYT9BB64HB4QMGRJMU0B" hidden="1">#REF!</definedName>
    <definedName name="BExEVPGF4V5J0WQRZKUM8F9TTKZJ" hidden="1">#REF!</definedName>
    <definedName name="BExEVPWH8S9GER9M14SPIT6XZ8SG" hidden="1">#REF!</definedName>
    <definedName name="BExEVREG7QS5DLYK77HS4BB8CZ3S" hidden="1">#REF!</definedName>
    <definedName name="BExEVUZXZXCLJP35CZFQUONYQIWN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GH495KDB4210RKO5S3RXA" hidden="1">#REF!</definedName>
    <definedName name="BExEW0JL1GFFCXMDGW54CI7Y8FZN" hidden="1">#REF!</definedName>
    <definedName name="BExEW3ZN54BG9LMKO249827Y9UJG" hidden="1">#REF!</definedName>
    <definedName name="BExEW68M9WL8214QH9C7VCK7BN08" hidden="1">#REF!</definedName>
    <definedName name="BExEW8HFKH6F47KIHYBDRUEFZ2ZZ" hidden="1">#REF!</definedName>
    <definedName name="BExEWB19A38J5MN39763KB74FW2H" hidden="1">#REF!</definedName>
    <definedName name="BExEWGKRFC15US5T3XLBDJRVUKY7" hidden="1">#REF!</definedName>
    <definedName name="BExEWGQ8LEOH4VNK6H6UNV884FO6" hidden="1">#REF!</definedName>
    <definedName name="BExEWLO75K95C6IRKHXSP7VP81T4" hidden="1">#REF!</definedName>
    <definedName name="BExEWM9SETK9OBFJSE5WEMPFT1L4" hidden="1">#REF!</definedName>
    <definedName name="BExEWNBGQS1U2LW3W84T4LSJ9K00" hidden="1">#REF!</definedName>
    <definedName name="BExEWO2IZA8H7KYN7VJKIHVMDOOH" hidden="1">#REF!</definedName>
    <definedName name="BExEWO7STL7HNZSTY8VQBPTX1WK6" hidden="1">#REF!</definedName>
    <definedName name="BExEWQ0M1N3KMKTDJ73H10QSG4W1" hidden="1">#REF!</definedName>
    <definedName name="BExEWXYKWW5AYWMKZ6SDKS35TR82" hidden="1">#REF!</definedName>
    <definedName name="BExEX0YH5KP6FP8DCGDSZD32D0CA" hidden="1">#REF!</definedName>
    <definedName name="BExEX205Y6AT74T3Z2RZXSXQX0X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QVPU2RR2JFZKFI9MR751O0F" hidden="1">#REF!</definedName>
    <definedName name="BExEXRBZ0DI9E2UFLLKYWGN66B61" hidden="1">#REF!</definedName>
    <definedName name="BExEXVTNGY20ILPN6L36UKJLNP9D" hidden="1">#REF!</definedName>
    <definedName name="BExEY0RQ161E25AMGYJV5BY84KHT" hidden="1">#REF!</definedName>
    <definedName name="BExEY1810JMMA2LOXMWQUCC75581" hidden="1">#REF!</definedName>
    <definedName name="BExEY72C2NRQAOVP8QI2TQO14DZU" hidden="1">#REF!</definedName>
    <definedName name="BExEYG7CDYDEJWQ526HVJWJM8RSC" hidden="1">#REF!</definedName>
    <definedName name="BExEYKJW0K4Z2UW96SZ42GTIUCJC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0L1GQ2HEHBHOJP2HMQGHS22" hidden="1">#REF!</definedName>
    <definedName name="BExEZ1S6VZCG01ZPLBSS9Z1SBOJ2" hidden="1">#REF!</definedName>
    <definedName name="BExEZ2DS1M3IT4G26HALIO8EL66N" hidden="1">#REF!</definedName>
    <definedName name="BExEZ9Q21ENFWES1N1OLCDP3VAZ2" hidden="1">#REF!</definedName>
    <definedName name="BExEZGBFNJR8DLPN0V11AU22L6WY" hidden="1">#REF!</definedName>
    <definedName name="BExEZWYC4MI23TNIKW5KX9UYANSN" hidden="1">#REF!</definedName>
    <definedName name="BExF015CQ5OAWJ1I4UEHPGHFBU7Z" hidden="1">#REF!</definedName>
    <definedName name="BExF02Y3V3QEPO2XLDSK47APK9XJ" hidden="1">#REF!</definedName>
    <definedName name="BExF03E7Q6I0V4DK9RZ23MO5ABZZ" hidden="1">#REF!</definedName>
    <definedName name="BExF09OS91RT7N7IW8JLMZ121ZP3" hidden="1">#REF!</definedName>
    <definedName name="BExF0F309BGZ539FT2BECJAA05ZS" hidden="1">#REF!</definedName>
    <definedName name="BExF0LOEHV42P2DV7QL8O7HOQ3N9" hidden="1">#REF!</definedName>
    <definedName name="BExF0WRM9VO25RLSO03ZOCE8H7K5" hidden="1">#REF!</definedName>
    <definedName name="BExF0Y43PQZ5QVJAD7MKQZOHZGPD" hidden="1">#REF!</definedName>
    <definedName name="BExF0ZRI7W4RSLIDLHTSM0AWXO3S" hidden="1">#REF!</definedName>
    <definedName name="BExF143VQGXJDKVTLALWSNLNUEMW" hidden="1">#REF!</definedName>
    <definedName name="BExF19CT3MMZZ2T5EWMDNG3UOJ01" hidden="1">#REF!</definedName>
    <definedName name="BExF1FCK08HF6FENDS40B02YHOJE" hidden="1">#REF!</definedName>
    <definedName name="BExF1HG37R5APAYCYVE1WJW1NFSF" hidden="1">#REF!</definedName>
    <definedName name="BExF1HLEZEKZRXB61IQZ1C42V5LQ" hidden="1">#REF!</definedName>
    <definedName name="BExF1LHNR42XK3IOESWXG8GU8YXD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SJA7E4IYLRCC1SQSXLWSLLV" hidden="1">#REF!</definedName>
    <definedName name="BExF1US4ZIQYSU5LBFYNRA9N0K2O" hidden="1">#REF!</definedName>
    <definedName name="BExF1UXFXASY2DQR89QPIPXDUDHK" hidden="1">#REF!</definedName>
    <definedName name="BExF1V2X94UBDHLH8Q56ISL43WU0" hidden="1">#REF!</definedName>
    <definedName name="BExF25F9DYEGSZ79PSWJT9J3V33M" hidden="1">#REF!</definedName>
    <definedName name="BExF27YW511HCZOOC1YMON6YY6P8" hidden="1">#REF!</definedName>
    <definedName name="BExF2CWZN6E87RGTBMD4YQI2QT7R" hidden="1">#REF!</definedName>
    <definedName name="BExF2DYO1WQ7GMXSTAQRDBW1NSFG" hidden="1">#REF!</definedName>
    <definedName name="BExF2EV1QYVQ1M83VYLB8EL7K1QG" hidden="1">#REF!</definedName>
    <definedName name="BExF2F5U3S85F01MSPEQD98QJ9F9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2Y1LEHD0IUA94OGD54PD38UG" hidden="1">#REF!</definedName>
    <definedName name="BExF31N3YM4F37EOOY8M8VI1KXN8" hidden="1">#REF!</definedName>
    <definedName name="BExF31XOLD6JKDFSXXCZIQ2ZHOBL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2BTDFRG1O927AIEQ6T5BXJ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BN6UE28HOSUP6BNBBTD150Y" hidden="1">#REF!</definedName>
    <definedName name="BExF4F36O4CMXL8LZEAIWO1VEK5C" hidden="1">#REF!</definedName>
    <definedName name="BExF4GADEJ76N1PAC55RWCYJERZT" hidden="1">#REF!</definedName>
    <definedName name="BExF4HXSWB50BKYPWA0HTT8W56H6" hidden="1">#REF!</definedName>
    <definedName name="BExF4KHF04IWW4LQ95FHQPFE4Y9K" hidden="1">#REF!</definedName>
    <definedName name="BExF4LJ8SN13DXWU48N1LYZR5XLX" hidden="1">#REF!</definedName>
    <definedName name="BExF4LU2NV3A47BCWPM3EZXUEH37" hidden="1">#REF!</definedName>
    <definedName name="BExF4MVQM5Y0QRDLDFSKWWTF709C" hidden="1">#REF!</definedName>
    <definedName name="BExF4ODP4HD22WR72BNCYIJRIKQ2" hidden="1">#REF!</definedName>
    <definedName name="BExF4PA35HP2HO6TUYTMPZSQEFIT" hidden="1">#REF!</definedName>
    <definedName name="BExF4PVMZYV36E8HOYY06J81AMBI" hidden="1">#REF!</definedName>
    <definedName name="BExF4SF9NEX1FZE9N8EXT89PM54D" hidden="1">#REF!</definedName>
    <definedName name="BExF50YUDH2IP41PCAY6B8R7JQNZ" hidden="1">#REF!</definedName>
    <definedName name="BExF52GTGP8MHGII4KJ8TJGR8W8U" hidden="1">#REF!</definedName>
    <definedName name="BExF52RM4TOASSJPLFSY6TUO0J0D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NLCIPI5LNC0FUVUFEE2V46B" hidden="1">#REF!</definedName>
    <definedName name="BExF5U6RRIZ497GAEWFZSYF2GVBM" hidden="1">#REF!</definedName>
    <definedName name="BExF5XBXZF7LLPA2BJHC5466B2OE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H43NXI9S04W9SGMOZSP30ZK" hidden="1">#REF!</definedName>
    <definedName name="BExF6IB8K74Z0AFT05GPOKKZW7C9" hidden="1">#REF!</definedName>
    <definedName name="BExF6LLX17PIG1R73A8RIJJPVHN7" hidden="1">#REF!</definedName>
    <definedName name="BExF6NUXJI11W2IAZNAM1QWC0459" hidden="1">#REF!</definedName>
    <definedName name="BExF6RR76KNVIXGJOVFO8GDILKGZ" hidden="1">#REF!</definedName>
    <definedName name="BExF6RR7K0LEOSURLQLS3RPS5J59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FVPATSUH1MALNI3ZWXFRN05" hidden="1">#REF!</definedName>
    <definedName name="BExF7GXJ645Y74LDIQLAN87J4NVV" hidden="1">#REF!</definedName>
    <definedName name="BExF7K88K7ASGV6RAOAGH52G04VR" hidden="1">#REF!</definedName>
    <definedName name="BExF7MH13GPW1GULZ46LLPFWOIOK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F980OC11TA72MTAYS1UNQCCGG" hidden="1">#REF!</definedName>
    <definedName name="BExGKG574V74RTA89XDMPDDRUDRF" hidden="1">#REF!</definedName>
    <definedName name="BExGL97US0Y3KXXASUTVR26XLT70" hidden="1">#REF!</definedName>
    <definedName name="BExGLC7R4C33RO0PID97ZPPVCW4M" hidden="1">#REF!</definedName>
    <definedName name="BExGLDEVX6TZSOXFCKTM0HYDZ3B5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1E2FC8ATBG9FNY3NSPX6N9E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X4C7O7BTDNLKQI6EKOQ5" hidden="1">#REF!</definedName>
    <definedName name="BExGMP2F175LGL6QVSJGP6GKYHHA" hidden="1">#REF!</definedName>
    <definedName name="BExGMPIIP8GKML2VVA8OEFL43NCS" hidden="1">#REF!</definedName>
    <definedName name="BExGMVNNX105XUL68JKB052RLO3Z" hidden="1">#REF!</definedName>
    <definedName name="BExGMY7FDZJUHVA7TNKSZQELBV9Y" hidden="1">#REF!</definedName>
    <definedName name="BExGMZ3SRIXLXMWBVOXXV3M4U4YL" hidden="1">#REF!</definedName>
    <definedName name="BExGMZ3UBN48IXU1ZEFYECEMZ1IM" hidden="1">#REF!</definedName>
    <definedName name="BExGMZEL56Z9UXQISWFWBWJ7ASAZ" hidden="1">#REF!</definedName>
    <definedName name="BExGN4I0QATXNZCLZJM1KH1OIJQH" hidden="1">#REF!</definedName>
    <definedName name="BExGN9FZ2RWCMSY1YOBJKZMNIM9R" hidden="1">#REF!</definedName>
    <definedName name="BExGNB3E6GV30ZVRU82RUTSQAE9N" hidden="1">#REF!</definedName>
    <definedName name="BExGNDSIMTHOCXXG6QOGR6DA8SGG" hidden="1">#REF!</definedName>
    <definedName name="BExGNN2YQ9BDAZXT2GLCSAPXKIM7" hidden="1">#REF!</definedName>
    <definedName name="BExGNR4KQYL6JAKDM51R0O7E8Q3G" hidden="1">#REF!</definedName>
    <definedName name="BExGNSH6G2MORODGJRSEWC7EXNNQ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T6UXUX5FVTAYL9SOBZ1D0II" hidden="1">#REF!</definedName>
    <definedName name="BExGOU38PWNSO642PBHAKRAOUN4H" hidden="1">#REF!</definedName>
    <definedName name="BExGOXJDHUDPDT8I8IVGVW9J0R5Q" hidden="1">#REF!</definedName>
    <definedName name="BExGOYVTWDGYWVEPQ0VFY2A6MQZQ" hidden="1">#REF!</definedName>
    <definedName name="BExGP79Y9DMFWUHYBXABR398TVI3" hidden="1">#REF!</definedName>
    <definedName name="BExGPC2LP51RU6PO1EX6WBY3J63J" hidden="1">#REF!</definedName>
    <definedName name="BExGPHGT5KDOCMV2EFS4OVKTWBRD" hidden="1">#REF!</definedName>
    <definedName name="BExGPID72Y4Y619LWASUQZKZHJNC" hidden="1">#REF!</definedName>
    <definedName name="BExGPLYOG6ZJ1W3MHJGDLRHWL4ZW" hidden="1">#REF!</definedName>
    <definedName name="BExGPNB4FSE6V8XCJ3FG3Q11ODRA" hidden="1">#REF!</definedName>
    <definedName name="BExGPPENQIANVGLVQJ77DK5JPRTB" hidden="1">#REF!</definedName>
    <definedName name="BExGPPUWEO5RK1KUODOJ143C01PU" hidden="1">#REF!</definedName>
    <definedName name="BExGPRI6A4NKCO5KMKADQT156VZX" hidden="1">#REF!</definedName>
    <definedName name="BExGPV3MODSRAPJJ2B9H4GHZO0O0" hidden="1">#REF!</definedName>
    <definedName name="BExGQ1ZU4967P72AHF4V1D0FOL5C" hidden="1">#REF!</definedName>
    <definedName name="BExGQ36ZOMR9GV8T05M605MMOY3Y" hidden="1">#REF!</definedName>
    <definedName name="BExGQ4E5CUORMMTNU2L536ZYWERD" hidden="1">#REF!</definedName>
    <definedName name="BExGQ61DTJ0SBFMDFBAK3XZ9O0ZO" hidden="1">#REF!</definedName>
    <definedName name="BExGQ6HOI0TWPF4PB5XPS53WJ5U5" hidden="1">#REF!</definedName>
    <definedName name="BExGQ6SG9XEOD0VMBAR22YPZWSTA" hidden="1">#REF!</definedName>
    <definedName name="BExGQBQKFRD5XMJK0TKWJSZCESOI" hidden="1">#REF!</definedName>
    <definedName name="BExGQGDPRQGJ2BRJ0JDD62B6DF8W" hidden="1">#REF!</definedName>
    <definedName name="BExGQGJ1A7LNZUS8QSMOG8UNGLMK" hidden="1">#REF!</definedName>
    <definedName name="BExGQIMKPU643H4QEEVWDND633TL" hidden="1">#REF!</definedName>
    <definedName name="BExGQPO7ENFEQC0NC6MC9OZR2LHY" hidden="1">#REF!</definedName>
    <definedName name="BExGQX0H4EZMXBJTKJJE4ICJWN5O" hidden="1">#REF!</definedName>
    <definedName name="BExGR1NRVVQJJUO83P2A5B5B1BN2" hidden="1">#REF!</definedName>
    <definedName name="BExGR3GJU249G6JBP6CD5EOMJ758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CAQYO0LJEJY91Q5UDE80YTC" hidden="1">#REF!</definedName>
    <definedName name="BExGRDNEEIE3TYMHFUKCSC6E529B" hidden="1">#REF!</definedName>
    <definedName name="BExGRG6ZCAJ8ACUAIBN5DL7AX8T8" hidden="1">#REF!</definedName>
    <definedName name="BExGRIAI2J11TU9QA8UZ6M5QAMWS" hidden="1">#REF!</definedName>
    <definedName name="BExGrid1">#REF!</definedName>
    <definedName name="BExGRMXV8U1Q3A2D1SKEP8KIQUR1" hidden="1">#REF!</definedName>
    <definedName name="BExGRTU0RSDUFKXAQ7X0N5KAB0E4" hidden="1">#REF!</definedName>
    <definedName name="BExGRUKVVKDL8483WI70VN2QZDGD" hidden="1">#REF!</definedName>
    <definedName name="BExGRWOFC1NZJTMZKHN6T2TJBDK4" hidden="1">#REF!</definedName>
    <definedName name="BExGS2IQR6DBE2E68G5GIPY1ESDW" hidden="1">#REF!</definedName>
    <definedName name="BExGS2IWR5DUNJ1U9PAKIV8CMBNI" hidden="1">#REF!</definedName>
    <definedName name="BExGS40QS45XTXMNX83NMG9H2VBS" hidden="1">#REF!</definedName>
    <definedName name="BExGS69P9FFTEOPDS0MWFKF45G47" hidden="1">#REF!</definedName>
    <definedName name="BExGS6F1JFHM5MUJ1RFO50WP6D05" hidden="1">#REF!</definedName>
    <definedName name="BExGS7WZ6DQ4JVOTNFB3JPFLNP5R" hidden="1">#REF!</definedName>
    <definedName name="BExGSA5YB5ZGE4NHDVCZ55TQAJTL" hidden="1">#REF!</definedName>
    <definedName name="BExGSCEUCQQVDEEKWJ677QTGUVTE" hidden="1">#REF!</definedName>
    <definedName name="BExGSHI7Q1SGI2VWHDSGVHNRAI21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1ADDX1Y82IWZID3H48FZ1AW" hidden="1">#REF!</definedName>
    <definedName name="BExGT4VU0X4EVRIX9GEL1QR8T7TL" hidden="1">#REF!</definedName>
    <definedName name="BExGT5S5NQ7E09P6NAWLS2C2NS4D" hidden="1">#REF!</definedName>
    <definedName name="BExGT9DPEQY0DQIVW0751W0XFG7Z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T5TE8FW6QOHOCF8HME6ND8E" hidden="1">#REF!</definedName>
    <definedName name="BExGTTB44JNJWTODLJYMOKUTVBBT" hidden="1">#REF!</definedName>
    <definedName name="BExGTVUW6UAZ0MGB43DW3S6VSBHE" hidden="1">#REF!</definedName>
    <definedName name="BExGTZ046J7VMUG4YPKFN2K8TWB7" hidden="1">#REF!</definedName>
    <definedName name="BExGU1946GY9FGTUT265XU1Q2N8K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TPYOC0TA6VRHQ8AV86SA8ZK" hidden="1">#REF!</definedName>
    <definedName name="BExGUU0S17HDCL6G3XFN6NNUIWTG" hidden="1">#REF!</definedName>
    <definedName name="BExGUVDDHSAB7LFSINORG31ER7IM" hidden="1">#REF!</definedName>
    <definedName name="BExGUVIP60TA4B7X2PFGMBFUSKGX" hidden="1">#REF!</definedName>
    <definedName name="BExGUVYY35B5KCQXWI85S32NICVS" hidden="1">#REF!</definedName>
    <definedName name="BExGUZKF06F209XL1IZWVJEQ82EE" hidden="1">#REF!</definedName>
    <definedName name="BExGV2EVT380QHD4AP2RL9MR8L5L" hidden="1">#REF!</definedName>
    <definedName name="BExGV3M62POMS9YM9ZL6WQ3IQVNY" hidden="1">#REF!</definedName>
    <definedName name="BExGV89CFLNJJM2ZZ1Q9OX3H4O6E" hidden="1">#REF!</definedName>
    <definedName name="BExGVCLPTP54JCJGGKO60LHYG17P" hidden="1">#REF!</definedName>
    <definedName name="BExGVILIWTP3QMI3Y9LYCCNTTW1C" hidden="1">#REF!</definedName>
    <definedName name="BExGVLLEO0DCL9F9I1UUEZ0DTOWG" hidden="1">#REF!</definedName>
    <definedName name="BExGVU4Z7O33FSLFNLKZVH4NFOHF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NYZ1KL9CQYS1160H90BHDO" hidden="1">#REF!</definedName>
    <definedName name="BExGWEO0JDG84NYLEAV5NSOAGMJZ" hidden="1">#REF!</definedName>
    <definedName name="BExGWKIAZ30UJC6QB85U6J5QCAZY" hidden="1">#REF!</definedName>
    <definedName name="BExGWLEOC70Z8QAJTPT2PDHTNM4L" hidden="1">#REF!</definedName>
    <definedName name="BExGWNCXLCRTLBVMTXYJ5PHQI6SS" hidden="1">#REF!</definedName>
    <definedName name="BExGWOUUKMDP7WHG7NUS7RW7T0QR" hidden="1">#REF!</definedName>
    <definedName name="BExGX4FWKN8EE9B7AI2UG5IANOZ2" hidden="1">#REF!</definedName>
    <definedName name="BExGX5MWALK0MLF4AP30J0JFKKOJ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FDNH1JU09NBG0SWBKO8DH67" hidden="1">#REF!</definedName>
    <definedName name="BExGXGKT5OTRWUQMWT5LPS3I12I4" hidden="1">#REF!</definedName>
    <definedName name="BExGXJ9W5JU7TT9S0BKL5Y6VVB39" hidden="1">#REF!</definedName>
    <definedName name="BExGXK69O7K2L5KBBXTQAD71G9DR" hidden="1">#REF!</definedName>
    <definedName name="BExGXN65Y66LFW4B9S5QNB90YU29" hidden="1">#REF!</definedName>
    <definedName name="BExGXPKI3MMALXYIMEG0A96MZH9I" hidden="1">#REF!</definedName>
    <definedName name="BExGXPPTR83WOOBNH7ZH05YCLKU7" hidden="1">#REF!</definedName>
    <definedName name="BExGXRO13OGF3LI5ZNMJDMJJV9EF" hidden="1">#REF!</definedName>
    <definedName name="BExGXT5YK0L11GFYUARLHO0XHJYE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91SY4U3GFZ0ZWA0DT4TIGAU" hidden="1">#REF!</definedName>
    <definedName name="BExGYC718HTZ80PNKYPVIYGRJVF6" hidden="1">#REF!</definedName>
    <definedName name="BExGYCNATXZY2FID93B17YWIPPRD" hidden="1">#REF!</definedName>
    <definedName name="BExGYFXZUDJJJ3PMTYZEPZNBRYZF" hidden="1">#REF!</definedName>
    <definedName name="BExGYGJJJ3BBCQAOA51WHP01HN73" hidden="1">#REF!</definedName>
    <definedName name="BExGYHW0NV738IDKSTG66SKUS71E" hidden="1">#REF!</definedName>
    <definedName name="BExGYOS6TV2C72PLRFU8RP1I58GY" hidden="1">#REF!</definedName>
    <definedName name="BExGYX6BBZM3NOGUVAFGCJ4YMAI6" hidden="1">#REF!</definedName>
    <definedName name="BExGYX6CDYVP4ONDN2ZTEFWDYYIL" hidden="1">#REF!</definedName>
    <definedName name="BExGZ12LNDX7TX7O666802J8RMV8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RALDC2HQQOWT76HVJW95HCY" hidden="1">#REF!</definedName>
    <definedName name="BExGZRLEIYE5FL4S27XX840NH9E9" hidden="1">#REF!</definedName>
    <definedName name="BExGZUW1MOJ278FRY476NPV39R3X" hidden="1">#REF!</definedName>
    <definedName name="BExH00L21GZX5YJJGVMOAWBERLP5" hidden="1">#REF!</definedName>
    <definedName name="BExH02ZD6VAY1KQLAQYBBI6WWIZB" hidden="1">#REF!</definedName>
    <definedName name="BExH064LFB6OFAV2UDX6EKOS0DGI" hidden="1">#REF!</definedName>
    <definedName name="BExH076GT7YATMJITZYTWVGYG263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BHJYYFWYMCV9ROY5A6KVW4Q" hidden="1">#REF!</definedName>
    <definedName name="BExH1C349FP1M08ZWELO8HJZCAOO" hidden="1">#REF!</definedName>
    <definedName name="BExH1FDTQXR9QQ31WDB7OPXU7MPT" hidden="1">#REF!</definedName>
    <definedName name="BExH1FOMEUIJNIDJAUY0ZQFBJSY9" hidden="1">#REF!</definedName>
    <definedName name="BExH1HS4GJMS781BM60OXKAL89TW" hidden="1">#REF!</definedName>
    <definedName name="BExH1JFFHEBFX9BWJMNIA3N66R3Z" hidden="1">#REF!</definedName>
    <definedName name="BExH1XO0GP87K0P7ES2ATRZ9QNZ7" hidden="1">#REF!</definedName>
    <definedName name="BExH1XYSV80225XTP2R7GUDW55R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9I4EWG8WJYXBCZI50JDU2CB" hidden="1">#REF!</definedName>
    <definedName name="BExH2GJQR4JALNB314RY0LDI49VH" hidden="1">#REF!</definedName>
    <definedName name="BExH2ISKR37KXHP6IUHQUOKLI8K5" hidden="1">#REF!</definedName>
    <definedName name="BExH2JZR49T7644JFVE7B3N7RZM9" hidden="1">#REF!</definedName>
    <definedName name="BExH2P35YHUJ2XTT4PPC3D2MBOU7" hidden="1">#REF!</definedName>
    <definedName name="BExH2UHF0QTJG107MULYB16WBJM9" hidden="1">#REF!</definedName>
    <definedName name="BExH2WKWS79MEV50F2MANUOMWJHH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8KGK951GFVSVV5RAXDWUVQD" hidden="1">#REF!</definedName>
    <definedName name="BExH39GUY2C2VOI2VBFDZO0UB2SX" hidden="1">#REF!</definedName>
    <definedName name="BExH3DD5CVKH9NSOZRYB3L76RNBX" hidden="1">#REF!</definedName>
    <definedName name="BExH3E9HZ3QJCDZW7WI7YACFQCHE" hidden="1">#REF!</definedName>
    <definedName name="BExH3EPQUB2W1CNABAL8WH7NCMOQ" hidden="1">#REF!</definedName>
    <definedName name="BExH3IRB6764RQ5HBYRLH6XCT29X" hidden="1">#REF!</definedName>
    <definedName name="BExH3LGFTDLVN80VFISNSQCHCN2V" hidden="1">#REF!</definedName>
    <definedName name="BExH3RR0ELCYSKMVU0A3KUO8DNH4" hidden="1">#REF!</definedName>
    <definedName name="BExIFVY2BJ9GM6VLICORWMZWML20" hidden="1">#REF!</definedName>
    <definedName name="BExIG2U8V6RSB47SXLCQG3Q68YRO" hidden="1">#REF!</definedName>
    <definedName name="BExIGHIYAOWRNME9D9JCSXP41Z6S" hidden="1">#REF!</definedName>
    <definedName name="BExIGIFB6Y4SNLIDHU3OQMP93FXS" hidden="1">#REF!</definedName>
    <definedName name="BExIGJBO8R13LV7CZ7C1YCP974NN" hidden="1">#REF!</definedName>
    <definedName name="BExIGWT86FPOEYTI8GXCGU5Y3KGK" hidden="1">#REF!</definedName>
    <definedName name="BExIH7G6KOOQ2HPPRTU1DWXQBLQG" hidden="1">#REF!</definedName>
    <definedName name="BExIHBHXA7E7VUTBVHXXXCH3A5CL" hidden="1">#REF!</definedName>
    <definedName name="BExIHCE9UAQI4CD7P9O2IVPLFXJU" hidden="1">#REF!</definedName>
    <definedName name="BExIHCEAD2OYNLD4FJ9V6NPYUFMO" hidden="1">#REF!</definedName>
    <definedName name="BExIHG52WUK3GDU6N3JOT503N8ZW" hidden="1">#REF!</definedName>
    <definedName name="BExIHIOVW05HF4ZBDP60CPK5KCBS" hidden="1">#REF!</definedName>
    <definedName name="BExIHPQCQTGEW8QOJVIQ4VX0P6DX" hidden="1">#REF!</definedName>
    <definedName name="BExIHQS6X78V8GV4ZN5RD3R8PM6M" hidden="1">#REF!</definedName>
    <definedName name="BExII1KN91Q7DLW0UB7W2TJ5ACT9" hidden="1">#REF!</definedName>
    <definedName name="BExII50LI8I0CDOOZEMIVHVA2V95" hidden="1">#REF!</definedName>
    <definedName name="BExIIAPL8WY9CN7Z68EHRUXW76DM" hidden="1">#REF!</definedName>
    <definedName name="BExIIL1YCQ9FNP0AQPE41NAGW37H" hidden="1">#REF!</definedName>
    <definedName name="BExIIWAHJLEARYKCBMZTTB4P6PLA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G2KEJELQ5WPRPRJCDCWN063" hidden="1">#REF!</definedName>
    <definedName name="BExIJLGSDYDX88M4WBG8R4W6F2JX" hidden="1">#REF!</definedName>
    <definedName name="BExIJOWT6OEJZN2Y4V1N79I46IQW" hidden="1">#REF!</definedName>
    <definedName name="BExIJPYNZ1DTZOKB7HRDE0AWB74I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E8FHLEAP3TT4CVXHMKA609Q" hidden="1">#REF!</definedName>
    <definedName name="BExIKHTXPZR5A8OHB6HDP6QWDHAD" hidden="1">#REF!</definedName>
    <definedName name="BExIKM6GFB7JEOXLF5FKH8NDBPSC" hidden="1">#REF!</definedName>
    <definedName name="BExIKMMJOETSAXJYY1SIKM58LMA2" hidden="1">#REF!</definedName>
    <definedName name="BExIKP0WCUW0V6DG8ITEP31DQC0G" hidden="1">#REF!</definedName>
    <definedName name="BExIKRF6AQ6VOO9KCIWSM6FY8M7D" hidden="1">#REF!</definedName>
    <definedName name="BExIKTYZESFT3LC0ASFMFKSE0D1X" hidden="1">#REF!</definedName>
    <definedName name="BExIKU4ALJ4LCCH6XMXPOWNTJPC8" hidden="1">#REF!</definedName>
    <definedName name="BExIKVBG8GWQ51D7EUR288DMVDMF" hidden="1">#REF!</definedName>
    <definedName name="BExIKXVA6M8K0PTRYAGXS666L335" hidden="1">#REF!</definedName>
    <definedName name="BExIL09L90ZBE1W79R76U9DAK46O" hidden="1">#REF!</definedName>
    <definedName name="BExIL0PMZ2SXK9R6MLP43KBU1J2P" hidden="1">#REF!</definedName>
    <definedName name="BExIL8I5VZVAWRYFCHAPT7QW4YMS" hidden="1">#REF!</definedName>
    <definedName name="BExIL8I835MY6765Z2XER4D948CI" hidden="1">#REF!</definedName>
    <definedName name="BExILAAXRTRAD18K74M6MGUEEPUM" hidden="1">#REF!</definedName>
    <definedName name="BExILESSWWN482RAJI10ZSIQLXUE" hidden="1">#REF!</definedName>
    <definedName name="BExILG5F338C0FFLMVOKMKF8X5ZP" hidden="1">#REF!</definedName>
    <definedName name="BExILGQTQM0HOD0BJI90YO7GOIN3" hidden="1">#REF!</definedName>
    <definedName name="BExILIE8G0B7P22NXQX2M4ZWYPBB" hidden="1">#REF!</definedName>
    <definedName name="BExILM583NM368UDR4URROF2XJRF" hidden="1">#REF!</definedName>
    <definedName name="BExILQSEK66CJV2NB2Z7RTV5BUJO" hidden="1">#REF!</definedName>
    <definedName name="BExILT6ONDIUKD3EOL0XM03GQ0BX" hidden="1">#REF!</definedName>
    <definedName name="BExILYA2U4M6MAPXH7FKJHGHMTOM" hidden="1">#REF!</definedName>
    <definedName name="BExIM5BJX1T1A0HJC3IJSDALUB2K" hidden="1">#REF!</definedName>
    <definedName name="BExIM62M845RFZX092IU0G4SXH0B" hidden="1">#REF!</definedName>
    <definedName name="BExIM62NNBOTIUVZO60TRRRBWST4" hidden="1">#REF!</definedName>
    <definedName name="BExIM8GYPQG4N33HLQS8APXZT732" hidden="1">#REF!</definedName>
    <definedName name="BExIM8MAFW3EEIHPKZ7SBD041AMT" hidden="1">#REF!</definedName>
    <definedName name="BExIM9DBUB7ZGF4B20FVUO9QGOX2" hidden="1">#REF!</definedName>
    <definedName name="BExIMC2EX5RJES0QIS7O5NIY66I3" hidden="1">#REF!</definedName>
    <definedName name="BExIMERJIMQQLG1GGZOEYP62I138" hidden="1">#REF!</definedName>
    <definedName name="BExIMGK9Z94TFPWWZFMD10HV0IF6" hidden="1">#REF!</definedName>
    <definedName name="BExIMPEGKG18TELVC33T4OQTNBWC" hidden="1">#REF!</definedName>
    <definedName name="BExIMVJR97ZVIN1M6ZHRX2GATMAQ" hidden="1">#REF!</definedName>
    <definedName name="BExIMZAKJ0Z2FZLKFDPGOI3IHQUA" hidden="1">#REF!</definedName>
    <definedName name="BExIN0N1H6Q1Z0LY04XKSYD95GLB" hidden="1">#REF!</definedName>
    <definedName name="BExIN31IX0GELSAY894C9382LBO7" hidden="1">#REF!</definedName>
    <definedName name="BExIN4OR435DL1US13JQPOQK8GD5" hidden="1">#REF!</definedName>
    <definedName name="BExIN7ZGNPZLWQU2WY8QDLD5CLHY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DABW9B6C1QO0IH8CXNOSFN" hidden="1">#REF!</definedName>
    <definedName name="BExINU5QDYVAUB0P2TK9WRMJ1S89" hidden="1">#REF!</definedName>
    <definedName name="BExINZELVWYGU876QUUZCIMXPBQC" hidden="1">#REF!</definedName>
    <definedName name="BExIO9LI2EK7R88LK8FVW7QXV499" hidden="1">#REF!</definedName>
    <definedName name="BExIOA717HM4VBUQBSL7B9BSBA6C" hidden="1">#REF!</definedName>
    <definedName name="BExIOCQUQHKUU1KONGSDOLQTQEIC" hidden="1">#REF!</definedName>
    <definedName name="BExIOD1MX44LG0TALR7X11F5P6X4" hidden="1">#REF!</definedName>
    <definedName name="BExIOFAGYSA73XYWXP6R2URM3I2R" hidden="1">#REF!</definedName>
    <definedName name="BExIOFL8Y5O61VLKTB4H20IJNWS1" hidden="1">#REF!</definedName>
    <definedName name="BExIOKDWA2TMJSRQ0U8G3GENT8RM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OVH55CQOY6QKNC1S1GYTDO60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JR2KOLIMM2JSZYOOPGOWFUV" hidden="1">#REF!</definedName>
    <definedName name="BExIPKNFUDPDKOSH5GHDVNA8D66S" hidden="1">#REF!</definedName>
    <definedName name="BExIPL90YQCQ9D5KYCMYXDUTYDZ5" hidden="1">#REF!</definedName>
    <definedName name="BExIPPAM3FFEG7TRD4F47RGJR7C2" hidden="1">#REF!</definedName>
    <definedName name="BExIPSW2RX8C37ZVE94ZH74W0VQ2" hidden="1">#REF!</definedName>
    <definedName name="BExIPTSFS0PEWA0PD6ZTAKMVHSBL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AVGNL6U7W80PP9ND2XH851X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GPS6ZIEHXUVMS1IGXRGZXL1" hidden="1">#REF!</definedName>
    <definedName name="BExIQOIBPGETWWT06YF4OWC5V517" hidden="1">#REF!</definedName>
    <definedName name="BExIQX1XBB31HZTYEEVOBSE3C5A6" hidden="1">#REF!</definedName>
    <definedName name="BExIQXSS2X9TBSOISYGOO39519QI" hidden="1">#REF!</definedName>
    <definedName name="BExIQXST5BVJWTYVRR1QQ8TKUORA" hidden="1">#REF!</definedName>
    <definedName name="BExIQYP5T1TPAQYW7QU1Q98BKX7W" hidden="1">#REF!</definedName>
    <definedName name="BExIQZWBPDMGC6BD81VX30QW7OM2" hidden="1">#REF!</definedName>
    <definedName name="BExIR2ALYRP9FW99DK2084J7IIDC" hidden="1">#REF!</definedName>
    <definedName name="BExIR8FQETPTQYW37DBVDWG3J4JW" hidden="1">#REF!</definedName>
    <definedName name="BExIRGJ7DNDDFZKBYFSNZ8PWHPS7" hidden="1">#REF!</definedName>
    <definedName name="BExIRHA3H25M76NSH30SXKC15VMP" hidden="1">#REF!</definedName>
    <definedName name="BExIRI6HCQGF26X3LYIYRQ023BUO" hidden="1">#REF!</definedName>
    <definedName name="BExIRLX96H6KX968N4CGMP6SOK6B" hidden="1">#REF!</definedName>
    <definedName name="BExIRMJ0Q5WGIAZFURMX69L80N2P" hidden="1">#REF!</definedName>
    <definedName name="BExIRRBGTY01OQOI3U5SW59RFDFI" hidden="1">#REF!</definedName>
    <definedName name="BExIRT9P2TX1UKM1E6M26ULBIMCK" hidden="1">#REF!</definedName>
    <definedName name="BExIRVO0SHX15K2BHTSKN0ALQ6IS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FW8AWAXTDWFVNQR7OIZ4IBC" hidden="1">#REF!</definedName>
    <definedName name="BExISM1JLV54A21A164IURMPGUMU" hidden="1">#REF!</definedName>
    <definedName name="BExISRFKJYUZ4AKW44IJF7RF9Y90" hidden="1">#REF!</definedName>
    <definedName name="BExIT1MK8TBAK3SNP36A8FKDQSOK" hidden="1">#REF!</definedName>
    <definedName name="BExITBNYANV2S8KD56GOGCKW393R" hidden="1">#REF!</definedName>
    <definedName name="BExITCPMD0OB54FZ2BIU404END5D" hidden="1">#REF!</definedName>
    <definedName name="BExItemGrid">#REF!</definedName>
    <definedName name="BExIU2MTZ43YIAZ0G4GR91UUOQ37" hidden="1">#REF!</definedName>
    <definedName name="BExIU92WJMW8QY5IZR67SD0MODLQ" hidden="1">#REF!</definedName>
    <definedName name="BExIUAVM8B216X56B595F9E9L5M3" hidden="1">#REF!</definedName>
    <definedName name="BExIUCTVIJ51HIBA8PZIOBXB3650" hidden="1">#REF!</definedName>
    <definedName name="BExIUD4OJGH65NFNQ4VMCE3R4J1X" hidden="1">#REF!</definedName>
    <definedName name="BExIUDFETDN3O10UL8CX1VNRV1ML" hidden="1">#REF!</definedName>
    <definedName name="BExIUQRHIUVJONR13S1J1WQ1YD95" hidden="1">#REF!</definedName>
    <definedName name="BExIUTB5OAAXYW0OFMP0PS40SPOB" hidden="1">#REF!</definedName>
    <definedName name="BExIUUT2MHIOV6R3WHA0DPM1KBKY" hidden="1">#REF!</definedName>
    <definedName name="BExIUYK05BJYGRAGB10BB1SFJERA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6WZMHRBRGIBUVX0CO2RK05" hidden="1">#REF!</definedName>
    <definedName name="BExIVCXWL6H5LD9DHDIA4F5U9TQL" hidden="1">#REF!</definedName>
    <definedName name="BExIVDJHIHMS97DVSXHJHWH64C7C" hidden="1">#REF!</definedName>
    <definedName name="BExIVMOIPSEWSIHIDDLOXESQ28A0" hidden="1">#REF!</definedName>
    <definedName name="BExIVMZA83BN6Z7VTVFWWUVJR4V7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EP9ANMPVALISJK47MLCP411" hidden="1">#REF!</definedName>
    <definedName name="BExIWG1W7XP9DFYYSZAIOSHM0QLQ" hidden="1">#REF!</definedName>
    <definedName name="BExIWH3KUK94B7833DD4TB0Y6KP9" hidden="1">#REF!</definedName>
    <definedName name="BExIWK3HUJYV7QLUWXA4J4TESYNQ" hidden="1">#REF!</definedName>
    <definedName name="BExIWKE8XHTAA7TL2X4MPKJ955OA" hidden="1">#REF!</definedName>
    <definedName name="BExIWKE9MGIDWORBI43AWTUNYFAN" hidden="1">#REF!</definedName>
    <definedName name="BExIWTDYMJ5JVZF7NYDJ6O2XJMBQ" hidden="1">#REF!</definedName>
    <definedName name="BExIWV179EAJIKOAC1HJCGW3NC90" hidden="1">#REF!</definedName>
    <definedName name="BExIWX4W5D7OXIJCXQLST1WV7ZY4" hidden="1">#REF!</definedName>
    <definedName name="BExIWYHDT4QOTDDM1JOKB10POJC1" hidden="1">#REF!</definedName>
    <definedName name="BExIX34PM5DBTRHRQWP6PL6WIX88" hidden="1">#REF!</definedName>
    <definedName name="BExIX5OAP9KSUE5SIZCW9P39Q4WE" hidden="1">#REF!</definedName>
    <definedName name="BExIXBTLWLTQ6JWYYH1PLAL5N7WM" hidden="1">#REF!</definedName>
    <definedName name="BExIXGRJPVJMUDGSG7IHPXPNO69B" hidden="1">#REF!</definedName>
    <definedName name="BExIXM5R87ZL3FHALWZXYCPHGX3E" hidden="1">#REF!</definedName>
    <definedName name="BExIXQNLISH1ZKHPAQGH9W405VSB" hidden="1">#REF!</definedName>
    <definedName name="BExIXS036ZCKT2Z8XZKLZ8PFWQGL" hidden="1">#REF!</definedName>
    <definedName name="BExIXY5CF9PFM0P40AZ4U51TMWV0" hidden="1">#REF!</definedName>
    <definedName name="BExIYEHAWKO6839G6BRBENHZH2Y5" hidden="1">#REF!</definedName>
    <definedName name="BExIYEXJBK8JDWIRSVV4RJSKZVV1" hidden="1">#REF!</definedName>
    <definedName name="BExIYI2RH0K4225XO970K2IQ1E79" hidden="1">#REF!</definedName>
    <definedName name="BExIYIIW121JT2WRL0S8Y2GJSCBU" hidden="1">#REF!</definedName>
    <definedName name="BExIYL86AC80NOZH8II4U353WMEB" hidden="1">#REF!</definedName>
    <definedName name="BExIYMPZ0KS2KOJFQAUQJ77L7701" hidden="1">#REF!</definedName>
    <definedName name="BExIYO2L9QVF0AAE3V3EUO53RYVA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DJPIWG8J5B7ZXTGLCZWG36P" hidden="1">#REF!</definedName>
    <definedName name="BExIZEAKBSQJSQ5FLYVDDCN4GI7Y" hidden="1">#REF!</definedName>
    <definedName name="BExIZKVXYD5O2JBU81F2UFJZLLSI" hidden="1">#REF!</definedName>
    <definedName name="BExIZOHFJAKGIRAWT0D032MGXO55" hidden="1">#REF!</definedName>
    <definedName name="BExIZPZDHC8HGER83WHCZAHOX7LK" hidden="1">#REF!</definedName>
    <definedName name="BExIZTKUV0HEWA1IU8K2P2BYTRT9" hidden="1">#REF!</definedName>
    <definedName name="BExIZUS0W8W6JRKK2LISXQIBUGA8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N91UQ6UKARAKHZ9RDJIQM7D" hidden="1">#REF!</definedName>
    <definedName name="BExJ0PY4DQDHPJ87GWI3796ZI0XY" hidden="1">#REF!</definedName>
    <definedName name="BExJ0YC98G37ML4N8FLP8D95EFRF" hidden="1">#REF!</definedName>
    <definedName name="BExJ1E82WJ9C65GMALR9C4OJ7MIV" hidden="1">#REF!</definedName>
    <definedName name="BExKCDYKAEV45AFXHVHZZ62E5BM3" hidden="1">#REF!</definedName>
    <definedName name="BExKCJNJT74NOWG2OIJ2X8UCWZOS" hidden="1">#REF!</definedName>
    <definedName name="BExKDD0YF1342F604ALOJTCUUQLV" hidden="1">#REF!</definedName>
    <definedName name="BExKDETOQJ5DB3GVIQES7AFZB8SC" hidden="1">#REF!</definedName>
    <definedName name="BExKDKO0W4AGQO1V7K6Q4VM750FT" hidden="1">#REF!</definedName>
    <definedName name="BExKDLF10G7W77J87QWH3ZGLUCLW" hidden="1">#REF!</definedName>
    <definedName name="BExKDMM8W1KWVX9CKB5LQ2267H69" hidden="1">#REF!</definedName>
    <definedName name="BExKEDW3A3243UMBB7ITIUTNUBE5" hidden="1">#REF!</definedName>
    <definedName name="BExKEFE0I3MT6ZLC4T1L9465HKTN" hidden="1">#REF!</definedName>
    <definedName name="BExKEK6O5BVJP4VY02FY7JNAZ6BT" hidden="1">#REF!</definedName>
    <definedName name="BExKEK6OU2WCPRQGYAXP5RVELMPM" hidden="1">#REF!</definedName>
    <definedName name="BExKEKXK6E6QX339ELPXDIRZSJE0" hidden="1">#REF!</definedName>
    <definedName name="BExKEOOIBMP7N8033EY2CJYCBX6H" hidden="1">#REF!</definedName>
    <definedName name="BExKEUDIK0R2SBUFYQSACY9X8XGH" hidden="1">#REF!</definedName>
    <definedName name="BExKEUDJCED2HZ34KEII31JXV9X2" hidden="1">#REF!</definedName>
    <definedName name="BExKEW0RR5LA3VC46A2BEOOMQE56" hidden="1">#REF!</definedName>
    <definedName name="BExKEX2MFVYBQQ27AH8JW9PB7QEZ" hidden="1">#REF!</definedName>
    <definedName name="BExKEXDEND9BYXFCCIWGBXWETC2U" hidden="1">#REF!</definedName>
    <definedName name="BExKF0NX4U3VU6QNQPRIFGNJLV5V" hidden="1">#REF!</definedName>
    <definedName name="BExKF0YUTATDPGU0TBQV45J7ZA29" hidden="1">#REF!</definedName>
    <definedName name="BExKF3282C7FGFF2K725YDXBSZA9" hidden="1">#REF!</definedName>
    <definedName name="BExKFA3VI1CZK21SM0N3LZWT9LA1" hidden="1">#REF!</definedName>
    <definedName name="BExKFA3VMQC7HKIU9S33J0ACOAPJ" hidden="1">#REF!</definedName>
    <definedName name="BExKFBWN7W67N0RK7F8CVUL4EMET" hidden="1">#REF!</definedName>
    <definedName name="BExKFI76NPSPA1KT1UVG3VB19BOQ" hidden="1">#REF!</definedName>
    <definedName name="BExKFINBFV5J2NFRCL4YUO3YF0ZE" hidden="1">#REF!</definedName>
    <definedName name="BExKFISRBFACTAMJSALEYMY66F6X" hidden="1">#REF!</definedName>
    <definedName name="BExKFJ3K6L7LZJIC125FNZC276YH" hidden="1">#REF!</definedName>
    <definedName name="BExKFLXZG8JXV7EX5CEIOK77F9DN" hidden="1">#REF!</definedName>
    <definedName name="BExKFOSK5DJ151C4E8544UWMYTOC" hidden="1">#REF!</definedName>
    <definedName name="BExKFUSD3LG0C3YFSPL22W290S9V" hidden="1">#REF!</definedName>
    <definedName name="BExKFY3282XV6CJ9881P6XEGSO2Y" hidden="1">#REF!</definedName>
    <definedName name="BExKFYJC4EVEV54F82K6VKP7Q3OU" hidden="1">#REF!</definedName>
    <definedName name="BExKG4IYHBKQQ8J8FN10GB2IKO33" hidden="1">#REF!</definedName>
    <definedName name="BExKG4Z7JS3WRERB5D981AU7X0LG" hidden="1">#REF!</definedName>
    <definedName name="BExKG90SC3NEF0Q20I4HFJ9Y1ADS" hidden="1">#REF!</definedName>
    <definedName name="BExKGA7XLDUFQ1MCILH3HBMODVIA" hidden="1">#REF!</definedName>
    <definedName name="BExKGBVDVJDNE8GGVB5VCH09VALD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AIO5LK8F3QF7OTA8YUMYYC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B32YD15O1IN2HY57BCMS5DV" hidden="1">#REF!</definedName>
    <definedName name="BExKHCFKOWFHO2WW0N7Y5XDXEWAO" hidden="1">#REF!</definedName>
    <definedName name="BExKHFVOLGZOATNHEYVT8CKQ2XLO" hidden="1">#REF!</definedName>
    <definedName name="BExKHIVLONZ46HLMR50DEXKEUNEP" hidden="1">#REF!</definedName>
    <definedName name="BExKHJH83QTBFY9212FVN8M62NDU" hidden="1">#REF!</definedName>
    <definedName name="BExKHKDK2PRBCUJS8TEDP8K3VODQ" hidden="1">#REF!</definedName>
    <definedName name="BExKHPM9XA0ADDK7TUR0N38EXWEP" hidden="1">#REF!</definedName>
    <definedName name="BExKHQO48CSI8JDJWWVD0SQXDTLU" hidden="1">#REF!</definedName>
    <definedName name="BExKHR47ZLBCLTWT6MYRJAK03YA8" hidden="1">#REF!</definedName>
    <definedName name="BExKI4076KXCDE5KXL79KT36OKLO" hidden="1">#REF!</definedName>
    <definedName name="BExKI7LO70WYISR7Q0Y1ZDWO9M3B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1KML7AD423JKN2CKKWYDV4R" hidden="1">#REF!</definedName>
    <definedName name="BExKJ449HLYX2DJ9UF0H9GTPSQ73" hidden="1">#REF!</definedName>
    <definedName name="BExKJ79NX2BDWB0UEMY21WQMPNFC" hidden="1">#REF!</definedName>
    <definedName name="BExKJ80JUACXL6W7I0ZRHRJIJ2AA" hidden="1">#REF!</definedName>
    <definedName name="BExKJ9D6KQNP2HVN89WLSGR0DMU0" hidden="1">#REF!</definedName>
    <definedName name="BExKJELX2RUC8UEC56IZPYYZXHA7" hidden="1">#REF!</definedName>
    <definedName name="BExKJINMXS61G2TZEXCJAWVV4F57" hidden="1">#REF!</definedName>
    <definedName name="BExKJJEJM3PF8FXX6BUE1B94ULJ6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JVZPDVE4SHJHSVSN3TS92L3I" hidden="1">#REF!</definedName>
    <definedName name="BExKJWQL3U9FCGGSUIKJZ2TIWMKJ" hidden="1">#REF!</definedName>
    <definedName name="BExKK8VP5RS3D0UXZVKA37C4SYBP" hidden="1">#REF!</definedName>
    <definedName name="BExKKBFAPYJA8JYM524BTN1NCXP3" hidden="1">#REF!</definedName>
    <definedName name="BExKKIM9FT729GTU9P6M1M08IQX2" hidden="1">#REF!</definedName>
    <definedName name="BExKKIM9NPF6B3SPMPIQB27HQME4" hidden="1">#REF!</definedName>
    <definedName name="BExKKIX1BCBQ4R3K41QD8NTV0OV0" hidden="1">#REF!</definedName>
    <definedName name="BExKKO5XPQ06W1L2N6TWVMNH0MWU" hidden="1">#REF!</definedName>
    <definedName name="BExKKQ3ZWADYV03YHMXDOAMU90EB" hidden="1">#REF!</definedName>
    <definedName name="BExKKUGD2HMJWQEYZ8H3X1BMXFS9" hidden="1">#REF!</definedName>
    <definedName name="BExKKX053I7IM4ZUL5ZR0XWDIMS4" hidden="1">#REF!</definedName>
    <definedName name="BExKKX05KCZZZPKOR1NE5A8RGVT4" hidden="1">#REF!</definedName>
    <definedName name="BExKL5UJB4TE71EZQ4J5QQ2KGVLX" hidden="1">#REF!</definedName>
    <definedName name="BExKLD6S9L66QYREYHBE5J44OK7X" hidden="1">#REF!</definedName>
    <definedName name="BExKLEZK32L28GYJWVO63BZ5E1JD" hidden="1">#REF!</definedName>
    <definedName name="BExKLG17HBDPUN2XYP37GI9B5W11" hidden="1">#REF!</definedName>
    <definedName name="BExKLLKVVHT06LA55JB2FC871DC5" hidden="1">#REF!</definedName>
    <definedName name="BExKMQC4BXXYI0EGZAZ73W6VKXZU" hidden="1">#REF!</definedName>
    <definedName name="BExKMTSB4UPNXX1BMM9QA0DOGYSF" hidden="1">#REF!</definedName>
    <definedName name="BExKMUZHFH4YCD96MWVIQ352178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RNDHFR7F06LQS6VM7V8V5B3" hidden="1">#REF!</definedName>
    <definedName name="BExKNS3NDRNOZ89YR232R3PH4POX" hidden="1">#REF!</definedName>
    <definedName name="BExKNTAS4WY1GW462RTO71PSC14G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1E3O8ZIOKD5RF4H91V814CH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0GCZ532TJOOLGJX5XD9J8SB" hidden="1">#REF!</definedName>
    <definedName name="BExKPEZP0QTKOTLIMMIFSVTHQEEK" hidden="1">#REF!</definedName>
    <definedName name="BExKPKOPCC2FL9DR9RBDFR8YZ71V" hidden="1">#REF!</definedName>
    <definedName name="BExKPLQJX0HJ8OTXBXH9IC9J2V0W" hidden="1">#REF!</definedName>
    <definedName name="BExKPN8C7GN36ZJZHLOB74LU6KT0" hidden="1">#REF!</definedName>
    <definedName name="BExKPOVRECTZF9PLZ7AZ95UGMP3R" hidden="1">#REF!</definedName>
    <definedName name="BExKPP6KZRJLHDNJIAI8VYSNOWBY" hidden="1">#REF!</definedName>
    <definedName name="BExKPTOETH6SQT68Z3TR2L8RQT0L" hidden="1">#REF!</definedName>
    <definedName name="BExKPX9VZ1J5021Q98K60HMPJU58" hidden="1">#REF!</definedName>
    <definedName name="BExKPYX4OOI8OZHBGMZXL16Y4V3U" hidden="1">#REF!</definedName>
    <definedName name="BExKQ3EZ6I4WAIZLTYKU0YP6IDUV" hidden="1">#REF!</definedName>
    <definedName name="BExKQ4GSJ87G440JEX4NHEC197TT" hidden="1">#REF!</definedName>
    <definedName name="BExKQBNMK9G1MP222OTV6RVXCX6P" hidden="1">#REF!</definedName>
    <definedName name="BExKQJGAAWNM3NT19E9I0CQDBTU0" hidden="1">#REF!</definedName>
    <definedName name="BExKQKSRD4CXQOP1SFK6HXGJDBZU" hidden="1">#REF!</definedName>
    <definedName name="BExKQLP6MIEQ4PBWY06MVWYO1XND" hidden="1">#REF!</definedName>
    <definedName name="BExKQM5GJ1ZN5REKFE7YVBQ0KXWF" hidden="1">#REF!</definedName>
    <definedName name="BExKQOEA7HV9U5DH9C8JXFD62EKH" hidden="1">#REF!</definedName>
    <definedName name="BExKQPLFQ61F07I46BK111U5VCZB" hidden="1">#REF!</definedName>
    <definedName name="BExKQQ71278061G7ZFYGPWOMOMY2" hidden="1">#REF!</definedName>
    <definedName name="BExKQQXX2ESPKH93JTERAG4B1FMM" hidden="1">#REF!</definedName>
    <definedName name="BExKQR3EBOO17SSJ0K91CQ0ZLL2C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8H5I1323IZX9UHTUUHOC51U" hidden="1">#REF!</definedName>
    <definedName name="BExKR8RZSEHW184G0Z56B4EGNU72" hidden="1">#REF!</definedName>
    <definedName name="BExKRG9PMH434GF6G8AEEXLXBKBU" hidden="1">#REF!</definedName>
    <definedName name="BExKRIO0IWSH3LKUNMYB9B5RI3BX" hidden="1">#REF!</definedName>
    <definedName name="BExKRVUSQ6PA7ZYQSTEQL3X7PB9P" hidden="1">#REF!</definedName>
    <definedName name="BExKRY3KZ7F7RB2KH8HXSQ85IEQO" hidden="1">#REF!</definedName>
    <definedName name="BExKS4E6A0Y9LC2C8G9XIPA5BS85" hidden="1">#REF!</definedName>
    <definedName name="BExKS4JI2BFD0MHNY62GHK3I7DW3" hidden="1">#REF!</definedName>
    <definedName name="BExKSA37DZTCK6H13HPIKR0ZFVL8" hidden="1">#REF!</definedName>
    <definedName name="BExKSADZLH2IPMEZ7XHVAMPOQPOV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O0UPH2MEBC6KNABGBKGHH0R" hidden="1">#REF!</definedName>
    <definedName name="BExKSOMJQ1WUD2AV2V74UXC552FV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GCD2O5QTNX2YOZH7R6A4TFN" hidden="1">#REF!</definedName>
    <definedName name="BExKTL568SZ4T6DRRRP292YHMOYJ" hidden="1">#REF!</definedName>
    <definedName name="BExKTPXNERZK3CQWZATG1A2UCM1C" hidden="1">#REF!</definedName>
    <definedName name="BExKTQZGN8GI3XGSEXMPCCA3S19H" hidden="1">#REF!</definedName>
    <definedName name="BExKTUKYYU0F6TUW1RXV24LRAZFE" hidden="1">#REF!</definedName>
    <definedName name="BExKTXKUNVWFSNXCFJR9QSODSDL4" hidden="1">#REF!</definedName>
    <definedName name="BExKTZTVPDIQNR9JV3LMDDFXLVPW" hidden="1">#REF!</definedName>
    <definedName name="BExKU04MYI3JUTTKLE70YOZFH27N" hidden="1">#REF!</definedName>
    <definedName name="BExKU3FBLHQBIUTN6XEZW5GC9OG1" hidden="1">#REF!</definedName>
    <definedName name="BExKU7X0MRAYQTQ2PWD2W8UI9S3J" hidden="1">#REF!</definedName>
    <definedName name="BExKU82I99FEUIZLODXJDOJC96CQ" hidden="1">#REF!</definedName>
    <definedName name="BExKUDM0DFSCM3D91SH0XLXJSL18" hidden="1">#REF!</definedName>
    <definedName name="BExKUI9CQXUY6FBSKHR4HS7SCIE6" hidden="1">#REF!</definedName>
    <definedName name="BExKUJRA08HVRLGWATE26EN5JB6V" hidden="1">#REF!</definedName>
    <definedName name="BExKULEKJLA77AUQPDUHSM94Y76Z" hidden="1">#REF!</definedName>
    <definedName name="BExKUQCMWRT4AJ2M8681TZLPD6QN" hidden="1">#REF!</definedName>
    <definedName name="BExKV08R85MKI3MAX9E2HERNQUNL" hidden="1">#REF!</definedName>
    <definedName name="BExKV4AAUNNJL5JWD7PX6BFKVS6O" hidden="1">#REF!</definedName>
    <definedName name="BExKV7VS00BDC79GWKW9YHN6W7JP" hidden="1">#REF!</definedName>
    <definedName name="BExKV8HC97GZX0XYXBKQ01EF96J5" hidden="1">#REF!</definedName>
    <definedName name="BExKV9DQAUTKG8M7A3S8UQ0L6K3V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VYUUOPF3812Z7TSSG3ENVFO2" hidden="1">#REF!</definedName>
    <definedName name="BExKVZR7T2I0N99Z3RY6N1DEQRPK" hidden="1">#REF!</definedName>
    <definedName name="BExKW0CSH7DA02YSNV64PSEIXB2P" hidden="1">#REF!</definedName>
    <definedName name="BExKW0YDHAE2PCOZ946I9HCFKGLJ" hidden="1">#REF!</definedName>
    <definedName name="BExKWDUCRWLRP2VTT8MD7A9AG98W" hidden="1">#REF!</definedName>
    <definedName name="BExM9NUG3Q31X01AI9ZJCZIX25CS" hidden="1">#REF!</definedName>
    <definedName name="BExM9OG182RP30MY23PG49LVPZ1C" hidden="1">#REF!</definedName>
    <definedName name="BExMA0FM36BH44WQP12WDAPIT7G5" hidden="1">#REF!</definedName>
    <definedName name="BExMA64MW1S18NH8DCKPCCEI5KCB" hidden="1">#REF!</definedName>
    <definedName name="BExMAB81VE52NFBSMRTFMBCRA1BU" hidden="1">#REF!</definedName>
    <definedName name="BExMALEWFUEM8Y686IT03ECURUBR" hidden="1">#REF!</definedName>
    <definedName name="BExMAQ7K3ABDSF9VJTP8GK5RQ31Z" hidden="1">#REF!</definedName>
    <definedName name="BExMAR3XSK6RSFLHP7ZX1EWGHASI" hidden="1">#REF!</definedName>
    <definedName name="BExMASWNQMB9IH0WZAPOLZSO6D92" hidden="1">#REF!</definedName>
    <definedName name="BExMATNJDLMENTC4V0YHQMX9R5BQ" hidden="1">#REF!</definedName>
    <definedName name="BExMAUEKRLD96MP4X13GUKLFMZJ4" hidden="1">#REF!</definedName>
    <definedName name="BExMAXJS82ZJ8RS22VLE0V0LDUII" hidden="1">#REF!</definedName>
    <definedName name="BExMAYQY9BFEZX7TF6IG8Y052FIT" hidden="1">#REF!</definedName>
    <definedName name="BExMB0EDNW4WB86C3U0AVGXIOZQJ" hidden="1">#REF!</definedName>
    <definedName name="BExMB1AQXSY712X6XJ9CQL8Y7ZEE" hidden="1">#REF!</definedName>
    <definedName name="BExMB1LIGBJ30XEBHEXMIVG531TK" hidden="1">#REF!</definedName>
    <definedName name="BExMB2N99OFVLSZ97PR6U3EHGDA0" hidden="1">#REF!</definedName>
    <definedName name="BExMB4QRS0R3MTB4CMUHFZ84LNZQ" hidden="1">#REF!</definedName>
    <definedName name="BExMB8HPSRZKGC47JDZWH2927VCN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NXARMUQAZLLWRAY8RC5IXOS" hidden="1">#REF!</definedName>
    <definedName name="BExMBO2SAQ2TM0B9TDXEKDI6XJVT" hidden="1">#REF!</definedName>
    <definedName name="BExMBUIOTCOLVX5GXV0VA4BA5I13" hidden="1">#REF!</definedName>
    <definedName name="BExMBW5YKR8SP4G7IM2OVKKIB1YR" hidden="1">#REF!</definedName>
    <definedName name="BExMBY9LYBFJTGC1Z576D53RKF58" hidden="1">#REF!</definedName>
    <definedName name="BExMBYPQDG9AYDQ5E8IECVFREPO6" hidden="1">#REF!</definedName>
    <definedName name="BExMC0YPXT7XSPNP14H87R6TZSI7" hidden="1">#REF!</definedName>
    <definedName name="BExMC2LYIJJDXTRJMTUWO8YDC02J" hidden="1">#REF!</definedName>
    <definedName name="BExMC3CW6PISSWL0QQT18ATE1E89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EG3PC4CUZFFSEDBDP72LP7J" hidden="1">#REF!</definedName>
    <definedName name="BExMCFSQFSEMPY5IXDIRKZDASDBR" hidden="1">#REF!</definedName>
    <definedName name="BExMCMZOEYWVOOJ98TBHTTCS7XB8" hidden="1">#REF!</definedName>
    <definedName name="BExMCOXPO1BVK4N6SU5DUH7UTMDK" hidden="1">#REF!</definedName>
    <definedName name="BExMCPU44MEKN56Z6MV0XT7WTYLI" hidden="1">#REF!</definedName>
    <definedName name="BExMCS8EF2W3FS9QADNKREYSI8P0" hidden="1">#REF!</definedName>
    <definedName name="BExMCUS7GSOM96J0HJ7EH0FFM2AC" hidden="1">#REF!</definedName>
    <definedName name="BExMCXMMI4GA39TEU5W3I3P6HLAZ" hidden="1">#REF!</definedName>
    <definedName name="BExMCYTT6TVDWMJXO1NZANRTVNAN" hidden="1">#REF!</definedName>
    <definedName name="BExMD2Q1OQ0OL5NCTT06XU9K0QZL" hidden="1">#REF!</definedName>
    <definedName name="BExMD5F6IAV108XYJLXUO9HD0IT6" hidden="1">#REF!</definedName>
    <definedName name="BExMD5VFTIC7C1RQ51392XOYNFGG" hidden="1">#REF!</definedName>
    <definedName name="BExMDANV66W9T3XAXID40XFJ0J93" hidden="1">#REF!</definedName>
    <definedName name="BExMDF0EDUXFLV5HR12H33E5XN3Q" hidden="1">#REF!</definedName>
    <definedName name="BExMDFGPFL0F6ODLZSXPZGYEHSKI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Q3NH8R4K3FM14IBEEM1URKJ" hidden="1">#REF!</definedName>
    <definedName name="BExMDUWB7VWHFFR266QXO46BNV2S" hidden="1">#REF!</definedName>
    <definedName name="BExMDYSIXTTKLKFAK7320NT47OKG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BTTILM7C8UYI01Y3QDO8PPY" hidden="1">#REF!</definedName>
    <definedName name="BExMEG0V2P5DQ2RFBKATM79MYCZR" hidden="1">#REF!</definedName>
    <definedName name="BExMEOV9YFRY5C3GDLU60GIX10BY" hidden="1">#REF!</definedName>
    <definedName name="BExMESB8V3GGHNTOAA7I2WUXJ06V" hidden="1">#REF!</definedName>
    <definedName name="BExMEY09ESM4H2YGKEQQRYUD114R" hidden="1">#REF!</definedName>
    <definedName name="BExMF1LPEBP2ABBMICYEBL1EVLHV" hidden="1">#REF!</definedName>
    <definedName name="BExMF33OG242M0PV1UAKZSG5QU6Y" hidden="1">#REF!</definedName>
    <definedName name="BExMF4G4IUPQY1Y5GEY5N3E04CL6" hidden="1">#REF!</definedName>
    <definedName name="BExMF9UIGYMOAQK0ELUWP0S0HZZY" hidden="1">#REF!</definedName>
    <definedName name="BExMFB1JBGEIBKUGVMOFLV73PWLJ" hidden="1">#REF!</definedName>
    <definedName name="BExMFDFYTAMUVDB6BOZ5MMKSNGPY" hidden="1">#REF!</definedName>
    <definedName name="BExMFDLBSWFMRDYJ2DZETI3EXKN2" hidden="1">#REF!</definedName>
    <definedName name="BExMFEHOPDAV0VT9PIJLZ14O25HW" hidden="1">#REF!</definedName>
    <definedName name="BExMFLDTMRTCHKA37LQW67BG8D5C" hidden="1">#REF!</definedName>
    <definedName name="BExMFSKRWEQIYG64V3N4E2DPZKRR" hidden="1">#REF!</definedName>
    <definedName name="BExMFV9QP5T77D3T6ITAJLMTVR7T" hidden="1">#REF!</definedName>
    <definedName name="BExMFY9TB9BR4F0NQFLRDFEHFO54" hidden="1">#REF!</definedName>
    <definedName name="BExMG9NSK30KD01QX0UBN2VNRTG4" hidden="1">#REF!</definedName>
    <definedName name="BExMGF1UWYV2LIXYICX9ZSFXTOUW" hidden="1">#REF!</definedName>
    <definedName name="BExMGG3PFIHPHX7NXB7HDFI3N12L" hidden="1">#REF!</definedName>
    <definedName name="BExMGHWGB2KYPLNSF0T3I9RYIMLF" hidden="1">#REF!</definedName>
    <definedName name="BExMGJZYN0EZRXVYF39CJBAP7MT6" hidden="1">#REF!</definedName>
    <definedName name="BExMGOXVY58GA3X2LXE50HVN0V30" hidden="1">#REF!</definedName>
    <definedName name="BExMGUMXH9GPAH4HEPDV6WHYR0BB" hidden="1">#REF!</definedName>
    <definedName name="BExMH3H9TW5TJCNU5Z1EWXP3BAEP" hidden="1">#REF!</definedName>
    <definedName name="BExMHLRG5ZZSEZOOEAXCAHE7PDLD" hidden="1">#REF!</definedName>
    <definedName name="BExMHOWPB34KPZ76M2KIX2C9R2VB" hidden="1">#REF!</definedName>
    <definedName name="BExMHRWKCGCPLHHV89Z8BXHQMEBY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JS065L6549RX9GDT8ISJTJ8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YRHG4GU3HO13BY3Y3O2YO3O" hidden="1">#REF!</definedName>
    <definedName name="BExMIZT6AN7E6YMW2S87CTCN2UXH" hidden="1">#REF!</definedName>
    <definedName name="BExMJ15T9F3475M0896SG60TN0SR" hidden="1">#REF!</definedName>
    <definedName name="BExMJ7R5JZ82CRDSOOPMGO72QCK8" hidden="1">#REF!</definedName>
    <definedName name="BExMJKHN2BYCK3AQASPQ9S42PJEA" hidden="1">#REF!</definedName>
    <definedName name="BExMJNC8ZFB9DRFOJ961ZAJ8U3A8" hidden="1">#REF!</definedName>
    <definedName name="BExMJTBV8A3D31W2IQHP9RDFPPHQ" hidden="1">#REF!</definedName>
    <definedName name="BExMJV4ME2VNH1FLP0RULOCI8RUD" hidden="1">#REF!</definedName>
    <definedName name="BExMK2RTXN4QJWEUNX002XK8VQP8" hidden="1">#REF!</definedName>
    <definedName name="BExMK7V8ZZ1IHEGZYM9F9DKGXSXS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RCE2EGZ5FYCUC2DBTEYL6YH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0HKV5Z309SAI89PJWB4M1AP" hidden="1">#REF!</definedName>
    <definedName name="BExML3XQNDIMX55ZCHHXKUV3D6E6" hidden="1">#REF!</definedName>
    <definedName name="BExML5QGSWHLI18BGY4CGOTD3UWH" hidden="1">#REF!</definedName>
    <definedName name="BExML789S3N3SC4VZUF2YT8VQSB7" hidden="1">#REF!</definedName>
    <definedName name="BExMLEKOYULB8Q2ULB4TPN0EQ025" hidden="1">#REF!</definedName>
    <definedName name="BExMLO5Z61RE85X8HHX2G4IU3AZW" hidden="1">#REF!</definedName>
    <definedName name="BExMLVI7UORSHM9FMO8S2EI0TMTS" hidden="1">#REF!</definedName>
    <definedName name="BExMM2P6GWV74XFD69AQIK9PAWLJ" hidden="1">#REF!</definedName>
    <definedName name="BExMM53GV7NNC35JULOI7H3H50TP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SBKTJQEF87TT2NI4S7G2E8O" hidden="1">#REF!</definedName>
    <definedName name="BExMMTIXETA5VAKBSOFDD5SRU887" hidden="1">#REF!</definedName>
    <definedName name="BExMMV0P6P5YS3C35G0JYYHI7992" hidden="1">#REF!</definedName>
    <definedName name="BExMN5YMFNOF916SJHGPR8WLUYUM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L8R953N3I2RJLYK9ADO80HW" hidden="1">#REF!</definedName>
    <definedName name="BExMNR38HMPLWAJRQ9MMS3ZAZ9IU" hidden="1">#REF!</definedName>
    <definedName name="BExMNRDZULKJMVY2VKIIRM2M5A1M" hidden="1">#REF!</definedName>
    <definedName name="BExMNRZLB426ZDQV0IR3G1JHWEZ1" hidden="1">#REF!</definedName>
    <definedName name="BExMNS4WD5QKWXMXKJJM801VGO3G" hidden="1">#REF!</definedName>
    <definedName name="BExMO9IOWKTWHO8LQJJQI5P3INWY" hidden="1">#REF!</definedName>
    <definedName name="BExMOI29DOEK5R1A5QZPUDKF7N6T" hidden="1">#REF!</definedName>
    <definedName name="BExMOOCVVDVIPO3AXUQKDRNZ7GV9" hidden="1">#REF!</definedName>
    <definedName name="BExMOPUNWG21UAOA8MNKFBN4D30C" hidden="1">#REF!</definedName>
    <definedName name="BExMP5AD3OY09MGA4CFTPBTSRX6K" hidden="1">#REF!</definedName>
    <definedName name="BExMP8QE8SH0UQ6Q22VAGHPY4Z1C" hidden="1">#REF!</definedName>
    <definedName name="BExMP8QED23QREEM6S8J0516D11M" hidden="1">#REF!</definedName>
    <definedName name="BExMPAJ5AJAXGKGK3F6H3ODS6RF4" hidden="1">#REF!</definedName>
    <definedName name="BExMPD2X55FFBVJ6CBUKNPROIOEU" hidden="1">#REF!</definedName>
    <definedName name="BExMPDDP9UVLZ1YAO42710XNBFXL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0LV6E464O57SUN7GT3Z1RJK" hidden="1">#REF!</definedName>
    <definedName name="BExMQ4I3Q7F0BMPHSFMFW9TZ87UD" hidden="1">#REF!</definedName>
    <definedName name="BExMQ4SWDWI4N16AZ0T5CJ6HH8WC" hidden="1">#REF!</definedName>
    <definedName name="BExMQ600NRKOV8ZH6QE91DIPVV79" hidden="1">#REF!</definedName>
    <definedName name="BExMQ71WHW50GVX45JU951AGPLFQ" hidden="1">#REF!</definedName>
    <definedName name="BExMQGC7IUWTZVEPOAYP6JHY8HHS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1X1WMA33V6NBS3YBWUH1VRJ" hidden="1">#REF!</definedName>
    <definedName name="BExMR52FP123GZGIETKVTRBUPHUB" hidden="1">#REF!</definedName>
    <definedName name="BExMR8YQHA7N77HGHY4Y6R30I3XT" hidden="1">#REF!</definedName>
    <definedName name="BExMRCEPDQ8LTLSFCPXHMGGQQJQO" hidden="1">#REF!</definedName>
    <definedName name="BExMRENOIARWRYOIVPDIEBVNRDO7" hidden="1">#REF!</definedName>
    <definedName name="BExMRMARUYTOVDVGGK9XVXAVVB18" hidden="1">#REF!</definedName>
    <definedName name="BExMRQHUEHGF2FS4LCB0THFELGDI" hidden="1">#REF!</definedName>
    <definedName name="BExMRRJNUMGRSDD5GGKKGEIZ6FTS" hidden="1">#REF!</definedName>
    <definedName name="BExMRTHOXXH73NUKNML7D5J96GZA" hidden="1">#REF!</definedName>
    <definedName name="BExMRU3ACIU0RD2BNWO55LH5U2BR" hidden="1">#REF!</definedName>
    <definedName name="BExMS0332MU9LVYQ13EVZIUEXUWE" hidden="1">#REF!</definedName>
    <definedName name="BExMS08J8800R2VITIRNN8S4MW7V" hidden="1">#REF!</definedName>
    <definedName name="BExMS7VLIHE1YI4HD0JHC89CJXL4" hidden="1">#REF!</definedName>
    <definedName name="BExMSLYPF4KALMWVFKUNT0HA3M2A" hidden="1">#REF!</definedName>
    <definedName name="BExMSQRCC40AP8BDUPL2I2DNC210" hidden="1">#REF!</definedName>
    <definedName name="BExMST5P5GR5R0WHYDMK5MVWLMAW" hidden="1">#REF!</definedName>
    <definedName name="BExMSTGG99BIA8X6ED5RT97Z3SA1" hidden="1">#REF!</definedName>
    <definedName name="BExO456IQCD84TDOUZX2X5ZVX1D8" hidden="1">#REF!</definedName>
    <definedName name="BExO46OG73UFFTNWLIX5Y72ZOYNP" hidden="1">#REF!</definedName>
    <definedName name="BExO4DKM8EQQY75W5PQIEBQKYIWO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BQMHKDLDIYAOJTE7KJPH08U" hidden="1">#REF!</definedName>
    <definedName name="BExO5JJ6D1TYFQGMY9X09QSO75P1" hidden="1">#REF!</definedName>
    <definedName name="BExO5UX5UER0I3DW1Z5LZZDU6U5K" hidden="1">#REF!</definedName>
    <definedName name="BExO5XMAHL7CY3X0B1OPKZ28DCJ5" hidden="1">#REF!</definedName>
    <definedName name="BExO66LZJKY4PTQVREELI6POS4AY" hidden="1">#REF!</definedName>
    <definedName name="BExO6BPE6C54S973K3UTNCVUNK9O" hidden="1">#REF!</definedName>
    <definedName name="BExO6DI57897F4P8JWLQ0BHROI4O" hidden="1">#REF!</definedName>
    <definedName name="BExO6LLHCYTF7CIVHKAO0NMET14Q" hidden="1">#REF!</definedName>
    <definedName name="BExO72DPNEFUAVTUP7UWPT7HUKIQ" hidden="1">#REF!</definedName>
    <definedName name="BExO740X2QKD33QEEVP8R2G89M9L" hidden="1">#REF!</definedName>
    <definedName name="BExO776CA56SMAWNG0XDHBCZHD9H" hidden="1">#REF!</definedName>
    <definedName name="BExO77X6K1TDNL8G68XV7XSOWJ3N" hidden="1">#REF!</definedName>
    <definedName name="BExO78O9BBXWO3TUH6030URVFX6W" hidden="1">#REF!</definedName>
    <definedName name="BExO7B2KPOV2TUR705H7CEKVKTCL" hidden="1">#REF!</definedName>
    <definedName name="BExO7F9HEKI5B74BC43P0KUVJPTE" hidden="1">#REF!</definedName>
    <definedName name="BExO7GBAXP1FZSM1FSAKUFV00ZMN" hidden="1">#REF!</definedName>
    <definedName name="BExO7IEU9WOXKQYOC8YCXLSVGV68" hidden="1">#REF!</definedName>
    <definedName name="BExO7OUQS3XTUQ2LDKGQ8AAQ3OJJ" hidden="1">#REF!</definedName>
    <definedName name="BExO7RUSODZC2NQZMT2AFSMV2ONF" hidden="1">#REF!</definedName>
    <definedName name="BExO833BQZHICJ5Z5HLQQKRETPH8" hidden="1">#REF!</definedName>
    <definedName name="BExO84QKD7K9P6GG27ILLQ798EFJ" hidden="1">#REF!</definedName>
    <definedName name="BExO85HMYXZJ7SONWBKKIAXMCI3C" hidden="1">#REF!</definedName>
    <definedName name="BExO863922O4PBGQMUNEQKGN3K96" hidden="1">#REF!</definedName>
    <definedName name="BExO89OPZBFAJB8Z239J9JFA9D0W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N64AH0UC0E8L4QHEND8C872" hidden="1">#REF!</definedName>
    <definedName name="BExO8UTAGQWDBQZEEF4HUNMLQCVU" hidden="1">#REF!</definedName>
    <definedName name="BExO8XCX29UI7HU3Z40LE4X9HHNN" hidden="1">#REF!</definedName>
    <definedName name="BExO937E20IHMGQOZMECL3VZC7OX" hidden="1">#REF!</definedName>
    <definedName name="BExO94ELF1JL1FZ84YE9RYXKITXM" hidden="1">#REF!</definedName>
    <definedName name="BExO94UTJKQQ7TJTTJRTSR70YVJC" hidden="1">#REF!</definedName>
    <definedName name="BExO96NDZL26OM1MKUOT6RW7GQGV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9VTQNVK2DEZJKQF1LEN7598C" hidden="1">#REF!</definedName>
    <definedName name="BExOAB407VWMWE67YXDZ31IRHT37" hidden="1">#REF!</definedName>
    <definedName name="BExOAD277JE5YZRPZ28XRC8TO2P8" hidden="1">#REF!</definedName>
    <definedName name="BExOADYF9UR1E3Z79J90GAPJ90BI" hidden="1">#REF!</definedName>
    <definedName name="BExOAJI2ZX6A4D020FCZGRLVOE36" hidden="1">#REF!</definedName>
    <definedName name="BExOALLMWM8O4OFV19R3D650WJWI" hidden="1">#REF!</definedName>
    <definedName name="BExOAM1WJK650PAAVL007B0WBUP4" hidden="1">#REF!</definedName>
    <definedName name="BExOAQ3GKCT7YZW1EMVU3EILSZL2" hidden="1">#REF!</definedName>
    <definedName name="BExOAZ35CJ8A7L8IFRLGS45UX9J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0P6TZN868H1TF2VGVUXTMGX" hidden="1">#REF!</definedName>
    <definedName name="BExOC3UEHB1CZNINSQHZANWJYKR8" hidden="1">#REF!</definedName>
    <definedName name="BExOC8SJ0KYEMYEC186Y6OEU795O" hidden="1">#REF!</definedName>
    <definedName name="BExOCBSF3XGO9YJ23LX2H78VOUR7" hidden="1">#REF!</definedName>
    <definedName name="BExOCIZCTIAZBUU3KCEXGVDKH2SE" hidden="1">#REF!</definedName>
    <definedName name="BExOCKXFMOW6WPFEVX1I7R7FNDSS" hidden="1">#REF!</definedName>
    <definedName name="BExOCS9PDY8HNJE2F608J6EIQ3UQ" hidden="1">#REF!</definedName>
    <definedName name="BExOCUO6L8OVMVUILAIVNZXDJBAM" hidden="1">#REF!</definedName>
    <definedName name="BExOCX7SGQHNR9NWGQOUJECIK6OV" hidden="1">#REF!</definedName>
    <definedName name="BExOCYEXOB95DH5NOB0M5NOYX398" hidden="1">#REF!</definedName>
    <definedName name="BExOD2B7H5ACFHD9A8BSCQKGAJDP" hidden="1">#REF!</definedName>
    <definedName name="BExOD4ERMDMFD8X1016N4EXOUR0S" hidden="1">#REF!</definedName>
    <definedName name="BExOD55RS7BQUHRQ6H3USVGKR0P7" hidden="1">#REF!</definedName>
    <definedName name="BExODCCKM4XNVEYH84X9XRLE3XYH" hidden="1">#REF!</definedName>
    <definedName name="BExODEWDDEABM4ZY3XREJIBZ8IVP" hidden="1">#REF!</definedName>
    <definedName name="BExODJZTIZKT44VH1XP6B71XK93X" hidden="1">#REF!</definedName>
    <definedName name="BExODLCA4K60KE4BTJZIV6F5TO8Q" hidden="1">#REF!</definedName>
    <definedName name="BExODNLAA1L7WQ9ZQX6A1ZOXK9VR" hidden="1">#REF!</definedName>
    <definedName name="BExODWVQR51BA72VN28QVZB5CGNE" hidden="1">#REF!</definedName>
    <definedName name="BExODZFEIWV26E8RFU7XQYX1J458" hidden="1">#REF!</definedName>
    <definedName name="BExOE8KJ438WCDBDRH00J07LRH21" hidden="1">#REF!</definedName>
    <definedName name="BExOE9M8SP2RSI3EY3SV3W51N2C7" hidden="1">#REF!</definedName>
    <definedName name="BExOEBKG55EROA2VL360A06LKASE" hidden="1">#REF!</definedName>
    <definedName name="BExOECWWSN4MA6VHI64K039FOQTY" hidden="1">#REF!</definedName>
    <definedName name="BExOEFWTGOPJTDJ87KKJOFGQ0NH5" hidden="1">#REF!</definedName>
    <definedName name="BExOELWLS2OSHR3N6B0HV3SOFHUC" hidden="1">#REF!</definedName>
    <definedName name="BExOERG5LWXYYEN1DY1H2FWRJS9T" hidden="1">#REF!</definedName>
    <definedName name="BExOEV1S6JJVO5PP4BZ20SNGZR7D" hidden="1">#REF!</definedName>
    <definedName name="BExOEXLDP8IMBOGFDJBTLBCQ5NI8" hidden="1">#REF!</definedName>
    <definedName name="BExOEZ8OEKEO7VN0JP20RPEP9TU5" hidden="1">#REF!</definedName>
    <definedName name="BExOFEDNCYI2TPTMQ8SJN3AW4YMF" hidden="1">#REF!</definedName>
    <definedName name="BExOFIQ0HNZTIWOMYXECYHJ6DC2B" hidden="1">#REF!</definedName>
    <definedName name="BExOFVLXVD6RVHSQO8KZOOACSV24" hidden="1">#REF!</definedName>
    <definedName name="BExOFWT4Z0946S9BW1M3TI7KLV0S" hidden="1">#REF!</definedName>
    <definedName name="BExOG2SW3XOGP9VAPQ3THV3VWV12" hidden="1">#REF!</definedName>
    <definedName name="BExOG45J81K4OPA40KW5VQU54KY3" hidden="1">#REF!</definedName>
    <definedName name="BExOG577UGF78T0CL5OPK64AJCKH" hidden="1">#REF!</definedName>
    <definedName name="BExOGBCCD2L4R93B9X3YIE7W71OR" hidden="1">#REF!</definedName>
    <definedName name="BExOGFE2SCL8HHT4DFAXKLUTJZOG" hidden="1">#REF!</definedName>
    <definedName name="BExOGL32SMQH2RLQ71LM4GPGKYME" hidden="1">#REF!</definedName>
    <definedName name="BExOGNMOMMS9J7XWKJADMU64PNPH" hidden="1">#REF!</definedName>
    <definedName name="BExOGOTUKVPLLQQMEUJ9NBDCASR4" hidden="1">#REF!</definedName>
    <definedName name="BExOGQ6I0XRF9HDDBM662171SJY1" hidden="1">#REF!</definedName>
    <definedName name="BExOGQXE3HSSJ0F3C76B7JUTDHSD" hidden="1">#REF!</definedName>
    <definedName name="BExOGT6D0LJ3C22RDW8COECKB1J5" hidden="1">#REF!</definedName>
    <definedName name="BExOGT6EXIK8EP24RRYC4V03TQUM" hidden="1">#REF!</definedName>
    <definedName name="BExOGTMI1HT31M1RGWVRAVHAK7DE" hidden="1">#REF!</definedName>
    <definedName name="BExOGUDK0M1VL54V01APE3GGJO28" hidden="1">#REF!</definedName>
    <definedName name="BExOGX7ZLZV03RM3QNLGYXQGGGS0" hidden="1">#REF!</definedName>
    <definedName name="BExOGXO9JE5XSE9GC3I6O21UEKAO" hidden="1">#REF!</definedName>
    <definedName name="BExOH2638MHWC0NG5NEB9Q2VODBI" hidden="1">#REF!</definedName>
    <definedName name="BExOH9ICZ13C1LAW8OTYTR9S7ZP3" hidden="1">#REF!</definedName>
    <definedName name="BExOHBB30AFO7LDEPSZ5ISDDPMT3" hidden="1">#REF!</definedName>
    <definedName name="BExOHFY8LV7DOMR2RYLIC34EAGKY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SOWKU31RP09J22FXQV3K767" hidden="1">#REF!</definedName>
    <definedName name="BExOHTQPP8LQ98L6PYUI6QW08YID" hidden="1">#REF!</definedName>
    <definedName name="BExOHX6Q6NJI793PGX59O5EKTP4G" hidden="1">#REF!</definedName>
    <definedName name="BExOI486PB12VZXJDHHOGHLEVUXE" hidden="1">#REF!</definedName>
    <definedName name="BExOI5VMTHH7Y8MQQ1N635CHYI0P" hidden="1">#REF!</definedName>
    <definedName name="BExOIEVCP4Y6VDS23AK84MCYYHRT" hidden="1">#REF!</definedName>
    <definedName name="BExOIH9N4AGV62LXCCTF2ZJUWOXW" hidden="1">#REF!</definedName>
    <definedName name="BExOIHPQIXR0NDR5WD01BZKPKEO3" hidden="1">#REF!</definedName>
    <definedName name="BExOIJD6TIO89PFDJZ7THVGA0DVK" hidden="1">#REF!</definedName>
    <definedName name="BExOIK9IJIZ7B13DRNZ0UDALJRQT" hidden="1">#REF!</definedName>
    <definedName name="BExOIM7L0Z3LSII9P7ZTV4KJ8RMA" hidden="1">#REF!</definedName>
    <definedName name="BExOINPIRRL3V9S5BXDPX73O8UHT" hidden="1">#REF!</definedName>
    <definedName name="BExOIW8Z7IML6T82GUWR3OYGNR0B" hidden="1">#REF!</definedName>
    <definedName name="BExOIWJVMJ6MG6JC4SPD1L00OHU1" hidden="1">#REF!</definedName>
    <definedName name="BExOIYCN8Z4JK3OOG86KYUCV0ME8" hidden="1">#REF!</definedName>
    <definedName name="BExOIZP3M850ZP6DHS498873MNSV" hidden="1">#REF!</definedName>
    <definedName name="BExOJ171SDP3IJR6QCWHV3PZXRI3" hidden="1">#REF!</definedName>
    <definedName name="BExOJ3AKP8AR2X4DG9G0TG0FOBSN" hidden="1">#REF!</definedName>
    <definedName name="BExOJ3AKZ9BCBZT3KD8WMSLK6MN2" hidden="1">#REF!</definedName>
    <definedName name="BExOJ7XQK71I4YZDD29AKOOWZ47E" hidden="1">#REF!</definedName>
    <definedName name="BExOJJH99GCT9TV8F55KG5VBB46X" hidden="1">#REF!</definedName>
    <definedName name="BExOJM0W6XGSW5MXPTTX0GNF6SFT" hidden="1">#REF!</definedName>
    <definedName name="BExOJNO9MNYXRUZ8S2U3PBWIV8VW" hidden="1">#REF!</definedName>
    <definedName name="BExOJXEUJJ9SYRJXKYYV2NCCDT2R" hidden="1">#REF!</definedName>
    <definedName name="BExOK0EQYM9JUMAGWOUN7QDH7VMZ" hidden="1">#REF!</definedName>
    <definedName name="BExOK2T3FLGF1RPAHWAN58RW86US" hidden="1">#REF!</definedName>
    <definedName name="BExOK33W57O67VX3UHWZRR9CO8C2" hidden="1">#REF!</definedName>
    <definedName name="BExOK4WM9O7QNG6O57FOASI5QSN1" hidden="1">#REF!</definedName>
    <definedName name="BExOKDLIQQSTPQX59G8TGAIW9FRW" hidden="1">#REF!</definedName>
    <definedName name="BExOKK6V5CW2X2HEWM9PH46M86F4" hidden="1">#REF!</definedName>
    <definedName name="BExOKKHOPWUVRJGQJ5ONR2U40JX8" hidden="1">#REF!</definedName>
    <definedName name="BExOKQ6PQGTJYLZ8NUFI3OSSH582" hidden="1">#REF!</definedName>
    <definedName name="BExOKTXMJP351VXKH8VT6SXUNIMF" hidden="1">#REF!</definedName>
    <definedName name="BExOKU8GMLOCNVORDE329819XN67" hidden="1">#REF!</definedName>
    <definedName name="BExOKZBOYAEDIDTY1XE7A0GAP8FY" hidden="1">#REF!</definedName>
    <definedName name="BExOL0Z3Z7IAMHPB91EO2MF49U57" hidden="1">#REF!</definedName>
    <definedName name="BExOL7KH12VAR0LG741SIOJTLWFD" hidden="1">#REF!</definedName>
    <definedName name="BExOL861090FVH70FNNIZ7G0ZWSE" hidden="1">#REF!</definedName>
    <definedName name="BExOLE0DNREVZWAEPKIB1VSWT5E3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LZW14KW8R9B4RLBUO2D1RZC1" hidden="1">#REF!</definedName>
    <definedName name="BExOM3HIJ3UZPOKJI68KPBJAHPDC" hidden="1">#REF!</definedName>
    <definedName name="BExOM4U4DJXLE6KNP8JSL9MEA8N7" hidden="1">#REF!</definedName>
    <definedName name="BExOM8A4KIGYO4VWVJ7CHJYTLU62" hidden="1">#REF!</definedName>
    <definedName name="BExOMF6A26OXE9R29XVP6RIJMXXM" hidden="1">#REF!</definedName>
    <definedName name="BExOMJTH7NZ6G6ZKSLYBCEKLCSH5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5DIVIX28AZOQI7QIE5SGNC" hidden="1">#REF!</definedName>
    <definedName name="BExON0AX35F2SI0UCVMGWGVIUNI3" hidden="1">#REF!</definedName>
    <definedName name="BExON41U4296DV3DPG6I5EF3OEYF" hidden="1">#REF!</definedName>
    <definedName name="BExON9AKRN4YI29030MSDFIB7JB1" hidden="1">#REF!</definedName>
    <definedName name="BExONB3A7CO4YD8RB41PHC93BQ9M" hidden="1">#REF!</definedName>
    <definedName name="BExONC50RBN5TP24CIPXXOMSZW1E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QTPJZUSH4RN7B8FQV0825H8" hidden="1">#REF!</definedName>
    <definedName name="BExONRQ1BAA4F3TXP2MYQ4YCZ09S" hidden="1">#REF!</definedName>
    <definedName name="BExONYM6XV5AFXN25622VWD3TJT5" hidden="1">#REF!</definedName>
    <definedName name="BExOO1WWIZSGB0YTGKESB45TSVMZ" hidden="1">#REF!</definedName>
    <definedName name="BExOO4B8FPAFYPHCTYTX37P1TQM5" hidden="1">#REF!</definedName>
    <definedName name="BExOO63YJQGP20VPQ1ZQYMZOZZ71" hidden="1">#REF!</definedName>
    <definedName name="BExOOE7AOMC1CLUHEBL9YOYI9P0J" hidden="1">#REF!</definedName>
    <definedName name="BExOOIULUDOJRMYABWV5CCL906X6" hidden="1">#REF!</definedName>
    <definedName name="BExOOLZSIA0AJNT6S8ASF90LSRSP" hidden="1">#REF!</definedName>
    <definedName name="BExOOTN0KTXJCL7E476XBN1CJ553" hidden="1">#REF!</definedName>
    <definedName name="BExOOZXLAJ091DAZ1DICJN5NA1GS" hidden="1">#REF!</definedName>
    <definedName name="BExOP32T06WXGSVZHJB6NR9JKUY1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MB4KUXST4780YV7EUJMTR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1PK0NWJDAFITXRNVJU5HIXPA" hidden="1">#REF!</definedName>
    <definedName name="BExQ1VUM37F4UQWXB5H6QYH093X1" hidden="1">#REF!</definedName>
    <definedName name="BExQ29C73XR33S3668YYSYZAIHTG" hidden="1">#REF!</definedName>
    <definedName name="BExQ2BA6YNEJ6ANPJ1FEJWJOQO0X" hidden="1">#REF!</definedName>
    <definedName name="BExQ2CMVL607S63BBRD7M4U94QMN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PITYXB95M7T8F5GOSXWNV0G" hidden="1">#REF!</definedName>
    <definedName name="BExQ2PO533SQ0L2LBXDBYN4G0M7N" hidden="1">#REF!</definedName>
    <definedName name="BExQ300G8I8TK45A0MVHV15422EU" hidden="1">#REF!</definedName>
    <definedName name="BExQ377DXNRYA956X3ECVLPOGM8I" hidden="1">#REF!</definedName>
    <definedName name="BExQ383ROFEQ885EK0SCZ8EQENF5" hidden="1">#REF!</definedName>
    <definedName name="BExQ39R28MXSG2SEV956F0KZ20AN" hidden="1">#REF!</definedName>
    <definedName name="BExQ3D1P3M5Z3HLMEZ17E0BLEE4U" hidden="1">#REF!</definedName>
    <definedName name="BExQ3NZLM478XPMN41CX9Z8ZU3IT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3UVTIMQVNJXBE5XYAIFQWW5Q" hidden="1">#REF!</definedName>
    <definedName name="BExQ3V14CCTI77N1Q34FDOOW2GNT" hidden="1">#REF!</definedName>
    <definedName name="BExQ42IU9MNDYLODP41DL6YTZMAR" hidden="1">#REF!</definedName>
    <definedName name="BExQ452HF7N1HYPXJXQ8WD6SOWUV" hidden="1">#REF!</definedName>
    <definedName name="BExQ499KBJ5W7A1G293A0K14EVQB" hidden="1">#REF!</definedName>
    <definedName name="BExQ4BTBSHPHVEDRCXC2ROW8PLFC" hidden="1">#REF!</definedName>
    <definedName name="BExQ4CK6TX71CV6ADMGIM2O7OQ0G" hidden="1">#REF!</definedName>
    <definedName name="BExQ4DGKF54SRKQUTUT4B1CZSS62" hidden="1">#REF!</definedName>
    <definedName name="BExQ4I3VZ75DOO0GPKCM6TWUY60J" hidden="1">#REF!</definedName>
    <definedName name="BExQ4PQXV5VZ6AH1FNSVWB40JBBU" hidden="1">#REF!</definedName>
    <definedName name="BExQ4T74LQ5PYTV1MUQUW75A4BDY" hidden="1">#REF!</definedName>
    <definedName name="BExQ4XJHD7EJCNH7S1MJDZJ2MNWG" hidden="1">#REF!</definedName>
    <definedName name="BExQ4YFUGXFWCH26RVZYBQS68B7M" hidden="1">#REF!</definedName>
    <definedName name="BExQ5039ZCEWBUJHU682G4S89J03" hidden="1">#REF!</definedName>
    <definedName name="BExQ56Z9W6YHZHRXOFFI8EFA7CDI" hidden="1">#REF!</definedName>
    <definedName name="BExQ57VSVMG69EYEKQ4XU8IHYSZ2" hidden="1">#REF!</definedName>
    <definedName name="BExQ5F81GMUP2HYL8PYR36JA4SSE" hidden="1">#REF!</definedName>
    <definedName name="BExQ5ITJ44FGR0C5LSYLWN4F6EXM" hidden="1">#REF!</definedName>
    <definedName name="BExQ5KX3Z668H1KUCKZ9J24HUQ1F" hidden="1">#REF!</definedName>
    <definedName name="BExQ5N5X472D0VALKGKBD4JK122Q" hidden="1">#REF!</definedName>
    <definedName name="BExQ5QM2J6DQNQX6R686W86W25LA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LBX5GJ0Z3FTLF87Q0CRB04O" hidden="1">#REF!</definedName>
    <definedName name="BExQ6M2YXJ8AMRJF3QGHC40ADAHZ" hidden="1">#REF!</definedName>
    <definedName name="BExQ6M8B0X44N9TV56ATUVHGDI00" hidden="1">#REF!</definedName>
    <definedName name="BExQ6NQ91IYS1W3RFNG6AQ7LIIUF" hidden="1">#REF!</definedName>
    <definedName name="BExQ6O6H69UOE5ZPHHKNCKJ5BUIZ" hidden="1">#REF!</definedName>
    <definedName name="BExQ6POH065GV0I74XXVD0VUPBJW" hidden="1">#REF!</definedName>
    <definedName name="BExQ6UX7A3H49T1VVFLMS0T1147I" hidden="1">#REF!</definedName>
    <definedName name="BExQ6WV9KPSMXPPLGZ3KK4WNYTHU" hidden="1">#REF!</definedName>
    <definedName name="BExQ70RORJOQFGMVKSBVPLPVXLWK" hidden="1">#REF!</definedName>
    <definedName name="BExQ75423Q21MRG2OCEE6UMGVK7G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QJFGBE77QMME35AFY1563ML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9F70EIJEDGWD4P0O8SYJX5H" hidden="1">#REF!</definedName>
    <definedName name="BExQ8A0RPE3IMIFIZLUE7KD2N21W" hidden="1">#REF!</definedName>
    <definedName name="BExQ8ABK6H1ADV2R2OYT8NFFYG2N" hidden="1">#REF!</definedName>
    <definedName name="BExQ8CKE97L5N1O9SJHCJA52V4TQ" hidden="1">#REF!</definedName>
    <definedName name="BExQ8DM90XJ6GCJIK9LC5O82I2TJ" hidden="1">#REF!</definedName>
    <definedName name="BExQ8G0K46ZORA0QVQTDI7Z8LXGF" hidden="1">#REF!</definedName>
    <definedName name="BExQ8M0C845RYY91K9L9LQBV6FUV" hidden="1">#REF!</definedName>
    <definedName name="BExQ8O3WEU8HNTTGKTW5T0QSKCLP" hidden="1">#REF!</definedName>
    <definedName name="BExQ8PB0O2B4JUYDJ4KOA5HD4DUD" hidden="1">#REF!</definedName>
    <definedName name="BExQ8VGBH3WKYH40LHCCQKG46AWM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H0YTZCIINPRJLWTI4EBVEVY" hidden="1">#REF!</definedName>
    <definedName name="BExQ9H101IC9OVAQGHB34UVSQ7II" hidden="1">#REF!</definedName>
    <definedName name="BExQ9HXBZU84291WZ00OS8EZRF83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TANMJCK7LJ4OQMD6F2Q01L" hidden="1">#REF!</definedName>
    <definedName name="BExQ9ZLYHWABXAA9NJDW8ZS0UQ9P" hidden="1">#REF!</definedName>
    <definedName name="BExQA324HSCK40ENJUT9CS9EC71B" hidden="1">#REF!</definedName>
    <definedName name="BExQA4K2M0S8LB7CML6J4BBMK9U2" hidden="1">#REF!</definedName>
    <definedName name="BExQA506RJXW1LSR4RX14OI31IQH" hidden="1">#REF!</definedName>
    <definedName name="BExQA55GY0STSNBWQCWN8E31ZXCS" hidden="1">#REF!</definedName>
    <definedName name="BExQA9HZIN9XEMHEEVHT99UU9Z82" hidden="1">#REF!</definedName>
    <definedName name="BExQACY5BA6WAZDJM5KADNXUWQKS" hidden="1">#REF!</definedName>
    <definedName name="BExQAELFYH92K8CJL155181UDORO" hidden="1">#REF!</definedName>
    <definedName name="BExQAFHSZ7ROQES0VUT8IU4CG6I5" hidden="1">#REF!</definedName>
    <definedName name="BExQAG8PP8R5NJKNQD1U4QOSD6X5" hidden="1">#REF!</definedName>
    <definedName name="BExQAMJ9G5TP9XK90WG8Y4T5HLHN" hidden="1">#REF!</definedName>
    <definedName name="BExQAVZ88Q29Y2FKNZ8RL2L3H9EZ" hidden="1">#REF!</definedName>
    <definedName name="BExQB42EIJK668914XX6XKEOWX7T" hidden="1">#REF!</definedName>
    <definedName name="BExQB6M6RVPNGCKSI7CZOHAQ329N" hidden="1">#REF!</definedName>
    <definedName name="BExQBDICMZTSA1X73TMHNO4JSFLN" hidden="1">#REF!</definedName>
    <definedName name="BExQBEER6CRCRPSSL61S0OMH57ZA" hidden="1">#REF!</definedName>
    <definedName name="BExQBHUVWL1NTGKF88PBLH0BCBGG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BPSQ8ZQ5UT6PUNKTLWP0M3UM" hidden="1">#REF!</definedName>
    <definedName name="BExQC1SAEWV6W907WXRGI4WQ0K73" hidden="1">#REF!</definedName>
    <definedName name="BExQC5TWT21CGBKD0IHAXTIN2QB8" hidden="1">#REF!</definedName>
    <definedName name="BExQC76IIDSFMF3F6X8WE1VVS7NY" hidden="1">#REF!</definedName>
    <definedName name="BExQC94JL9F5GW4S8DQCAF4WB2DA" hidden="1">#REF!</definedName>
    <definedName name="BExQC9Q658YL8TRPUR8YEQLLECQB" hidden="1">#REF!</definedName>
    <definedName name="BExQCFVEJNXLJ5WHZRLUKQ9WWZQ7" hidden="1">#REF!</definedName>
    <definedName name="BExQCKTD8AT0824LGWREXM1B5D1X" hidden="1">#REF!</definedName>
    <definedName name="BExQCT7HBX0AML3PC3AVYH7BMJ0V" hidden="1">#REF!</definedName>
    <definedName name="BExQCV5J1EVDYEMTPNI4V7UAFVPQ" hidden="1">#REF!</definedName>
    <definedName name="BExQCZI1Z9LVL9W5ARRYIZZ6O1LZ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DRISGAIHJJY2P5W5MTP8DJOE" hidden="1">#REF!</definedName>
    <definedName name="BExQE3CWBI6VPO4FYFRWM8CH0VIR" hidden="1">#REF!</definedName>
    <definedName name="BExQEC7BRIJ30PTU3UPFOIP2HPE3" hidden="1">#REF!</definedName>
    <definedName name="BExQEL1IFOYISKD5KTBRNCCISSE3" hidden="1">#REF!</definedName>
    <definedName name="BExQEMUA4HEFM4OVO8M8MA8PIAW1" hidden="1">#REF!</definedName>
    <definedName name="BExQEQ4XZQFIKUXNU9H7WE7AMZ1U" hidden="1">#REF!</definedName>
    <definedName name="BExQF1DN35PGO5E4FVC4FE3FCO9Z" hidden="1">#REF!</definedName>
    <definedName name="BExQF1OEB07CRAP6ALNNMJNJ3P2D" hidden="1">#REF!</definedName>
    <definedName name="BExQF9X2AQPFJZTCHTU5PTTR0JAH" hidden="1">#REF!</definedName>
    <definedName name="BExQFC0M9KKFMQKPLPEO2RQDB7MM" hidden="1">#REF!</definedName>
    <definedName name="BExQFCGU9U58KLOE55HCWR3NJKDZ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MNKE07EDWU9MK9F58LF3BJH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FWZV8QMHEWNPKAJGBJBMQY05" hidden="1">#REF!</definedName>
    <definedName name="BExQG239MYIW744L94AVY5FYO5K3" hidden="1">#REF!</definedName>
    <definedName name="BExQG8TYRD2G42UA5ZPCRLNKUDMX" hidden="1">#REF!</definedName>
    <definedName name="BExQGEZ9OVZ5ZU8K3D0WWOJFJINS" hidden="1">#REF!</definedName>
    <definedName name="BExQGFFBS61D10IVTIL8ZU448UIV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OOLA97DNCZI6E3HUAWHHTGF" hidden="1">#REF!</definedName>
    <definedName name="BExQHPKXZ1K33V2F90NZIQRZYIAW" hidden="1">#REF!</definedName>
    <definedName name="BExQHQBU92HEP4Z77R90PL1Z3X0J" hidden="1">#REF!</definedName>
    <definedName name="BExQHQMMDZKCCPD4DT8A7ROC3PJP" hidden="1">#REF!</definedName>
    <definedName name="BExQHVF9KD06AG2RXUQJ9X4PVGX4" hidden="1">#REF!</definedName>
    <definedName name="BExQHYKGQTM982NRNIQ72YEWWPC2" hidden="1">#REF!</definedName>
    <definedName name="BExQHYKMI1PTPM1MG0RL70OFIVTV" hidden="1">#REF!</definedName>
    <definedName name="BExQHZBHVN2L4HC7ACTR73T5OCV0" hidden="1">#REF!</definedName>
    <definedName name="BExQI80F9ZVSRLN7KE7PUPZAA5HB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FI6ESOXRXCA2FRCGETJVQTK" hidden="1">#REF!</definedName>
    <definedName name="BExQIMJSZZENQPKFDWQR3FUMV9MS" hidden="1">#REF!</definedName>
    <definedName name="BExQIS8O6R36CI01XRY9ISM99TW9" hidden="1">#REF!</definedName>
    <definedName name="BExQITW2BVOP4NG7WU3WOC0D1IEB" hidden="1">#REF!</definedName>
    <definedName name="BExQITW3RQ87OQ53FU7QUALE9AMQ" hidden="1">#REF!</definedName>
    <definedName name="BExQIVJB9MJ25NDUHTCVMSODJY2C" hidden="1">#REF!</definedName>
    <definedName name="BExQJ42WIGN7OWY415FRENFF5NEV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JNPJ6YTU182QN0TGNIZPXOPL" hidden="1">#REF!</definedName>
    <definedName name="BExQK0WBPJTBLBX9E14L3UJCGDFS" hidden="1">#REF!</definedName>
    <definedName name="BExQK1HV6SQQ7CP8H8IUKI9TYXTD" hidden="1">#REF!</definedName>
    <definedName name="BExQK23GZ9DY9IPVUOV29ZK61DEV" hidden="1">#REF!</definedName>
    <definedName name="BExQK3LE5CSBW1E4H4KHW548FL2R" hidden="1">#REF!</definedName>
    <definedName name="BExQK6W3TGYTUD1PFVZ5ZBXPT2Q6" hidden="1">#REF!</definedName>
    <definedName name="BExQKG6LD6PLNDGNGO9DJXY865BR" hidden="1">#REF!</definedName>
    <definedName name="BExQKYRJI9KBLJ45SOEZHM2VLWT0" hidden="1">#REF!</definedName>
    <definedName name="BExQLE1TOW3A287TQB0AVWENT8O1" hidden="1">#REF!</definedName>
    <definedName name="BExQLIJO45KH439QXJGEGF2MCKDG" hidden="1">#REF!</definedName>
    <definedName name="BExRY9O1LRJU1RAC7LS3RHUHMV7A" hidden="1">#REF!</definedName>
    <definedName name="BExRYOYB4A3E5F6MTROY69LR0PMG" hidden="1">#REF!</definedName>
    <definedName name="BExRYZLA9EW71H4SXQR525S72LLP" hidden="1">#REF!</definedName>
    <definedName name="BExRZ4JDTHCM9MKEZ55JYPVN52PW" hidden="1">#REF!</definedName>
    <definedName name="BExRZ66M8G9FQ0VFP077QSZBSOA5" hidden="1">#REF!</definedName>
    <definedName name="BExRZ6MWAJK1FTGKO54BMWWQ0WXQ" hidden="1">#REF!</definedName>
    <definedName name="BExRZ8FMQQL46I8AQWU17LRNZD5T" hidden="1">#REF!</definedName>
    <definedName name="BExRZ9MTKS05O5NXL3NYN3LRAPTJ" hidden="1">#REF!</definedName>
    <definedName name="BExRZIRRIXRUMZ5GOO95S7460BMP" hidden="1">#REF!</definedName>
    <definedName name="BExRZK9RAHMM0ZLTNSK7A4LDC42D" hidden="1">#REF!</definedName>
    <definedName name="BExRZLBLK2MUZJQLSGJUDTWBES4U" hidden="1">#REF!</definedName>
    <definedName name="BExRZM2HUQJWRZR4V3JEC2X5SXD2" hidden="1">#REF!</definedName>
    <definedName name="BExRZOGSR69INI6GAEPHDWSNK5Q4" hidden="1">#REF!</definedName>
    <definedName name="BExRZUB8ZLPYXN5MLC0ZNIRR2LKR" hidden="1">#REF!</definedName>
    <definedName name="BExRZZPHAYT3YISG9GLN9IHV1QMM" hidden="1">#REF!</definedName>
    <definedName name="BExS04Y9EEAMONCO53CGE4NTBMMM" hidden="1">#REF!</definedName>
    <definedName name="BExS083M0K76CPK8OJVQIQVH62UA" hidden="1">#REF!</definedName>
    <definedName name="BExS0ASQBKRTPDWFK0KUDFOS9LE5" hidden="1">#REF!</definedName>
    <definedName name="BExS0GHQUF6YT0RU3TKDEO8CSJYB" hidden="1">#REF!</definedName>
    <definedName name="BExS0JXOVI1XBLIFJPT4ZBMYE61S" hidden="1">#REF!</definedName>
    <definedName name="BExS0K8IHC45I78DMZBOJ1P13KQA" hidden="1">#REF!</definedName>
    <definedName name="BExS0N8DJRRDW91JBR95OFD40B6C" hidden="1">#REF!</definedName>
    <definedName name="BExS0NDUYT14HEE6ASI4XFFO05O3" hidden="1">#REF!</definedName>
    <definedName name="BExS0SXELTHH918LRO0XXQ56V44H" hidden="1">#REF!</definedName>
    <definedName name="BExS0WZ5U463APXMR75PMVIGB72G" hidden="1">#REF!</definedName>
    <definedName name="BExS109P7SX9HVXUN9NEN36AZ0NO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DRDFL37BTXY31YBJ8XCXSYJ" hidden="1">#REF!</definedName>
    <definedName name="BExS1F95U35XGU98NHFXWHENG5TZ" hidden="1">#REF!</definedName>
    <definedName name="BExS1UE39N6NCND7MAARSBWXS6HU" hidden="1">#REF!</definedName>
    <definedName name="BExS1WHMWY8QTARUSG7EEE1JCOWY" hidden="1">#REF!</definedName>
    <definedName name="BExS1XJD1K65EXPHZZGJWXVQ9GAN" hidden="1">#REF!</definedName>
    <definedName name="BExS22158640MMS52I6U8HLX81UW" hidden="1">#REF!</definedName>
    <definedName name="BExS226HTWL5WVC76MP5A1IBI8WD" hidden="1">#REF!</definedName>
    <definedName name="BExS23TVX41WDFZOB841ZT2DL1ME" hidden="1">#REF!</definedName>
    <definedName name="BExS26OI2QNNAH2WMDD95Z400048" hidden="1">#REF!</definedName>
    <definedName name="BExS2AVE8MO99IRN3RX3ASVGDT43" hidden="1">#REF!</definedName>
    <definedName name="BExS2BMFT8J41FFGLER4YSM970OA" hidden="1">#REF!</definedName>
    <definedName name="BExS2DF6B4ZUF3VZLI4G6LJ3BF38" hidden="1">#REF!</definedName>
    <definedName name="BExS2F7WXB3X1BFQGR77F6E10E61" hidden="1">#REF!</definedName>
    <definedName name="BExS2FIPOMRZE199OA6R648YOX8C" hidden="1">#REF!</definedName>
    <definedName name="BExS2MUYLLBLLDUG677XLD4XRKA4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2G1ZJN473PT8NSI91NFRF4S" hidden="1">#REF!</definedName>
    <definedName name="BExS343G78E4L7MWR3YDHTK29NDC" hidden="1">#REF!</definedName>
    <definedName name="BExS3850C30773VKR9JHXXEWYJP1" hidden="1">#REF!</definedName>
    <definedName name="BExS3FXLE0ZM6ZFYJTB9T9C9I1E5" hidden="1">#REF!</definedName>
    <definedName name="BExS3I6KS78F40ZY8OJEKEH927QO" hidden="1">#REF!</definedName>
    <definedName name="BExS3IBV10JLU9G5H7ZOREWRCHV7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7Y5XSW0I1ABJOSOWLQ8PEB" hidden="1">#REF!</definedName>
    <definedName name="BExS3SDERJ27OER67TIGOVZU13A2" hidden="1">#REF!</definedName>
    <definedName name="BExS3YIIJWF57SKB0YLPBJU38D9H" hidden="1">#REF!</definedName>
    <definedName name="BExS430DA9BFRP2VU6IY98R0TFLJ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JXWDCM40WUC65QIOCOD9EU2" hidden="1">#REF!</definedName>
    <definedName name="BExS4OW0IYWX62A0N3JQUBM0GGLL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87VICBZEUYA2ZBPSTA5AQA8" hidden="1">#REF!</definedName>
    <definedName name="BExS58IN3MR9SW578ETZAF10NRQW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5Z6XR1CMP8OH105DZ02HLGNK" hidden="1">#REF!</definedName>
    <definedName name="BExS5Z6YLC3QVXY1VXIPTTFIZ4RT" hidden="1">#REF!</definedName>
    <definedName name="BExS638IBGPLKT932GW5EHJB63UP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QICDIH7RQCZ8VHXVRYWOD" hidden="1">#REF!</definedName>
    <definedName name="BExS6XNRKR0C3MTA0LV5B60UB908" hidden="1">#REF!</definedName>
    <definedName name="BExS70SYIOCSZPW4CYG7M89XVKXG" hidden="1">#REF!</definedName>
    <definedName name="BExS77ZWH04UM9KH2V8Y0JOPF1ZQ" hidden="1">#REF!</definedName>
    <definedName name="BExS7CN2W8LBLH03OE909R1G64MX" hidden="1">#REF!</definedName>
    <definedName name="BExS7F1EGCVYZ275UB00TKM3U8E5" hidden="1">#REF!</definedName>
    <definedName name="BExS7KVPB7VJZC2XH7Q90VV6HGQ1" hidden="1">#REF!</definedName>
    <definedName name="BExS7KVPV9WPQ52ICHU6MTIM0G8J" hidden="1">#REF!</definedName>
    <definedName name="BExS7SDLL1XFUBWWHGH039MSMGG6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ILM9KGQDNV5T0P834806UPR" hidden="1">#REF!</definedName>
    <definedName name="BExS8IWD4TSS9HH0RXWESNO3VBQF" hidden="1">#REF!</definedName>
    <definedName name="BExS8LWA80QDWX0CWI9RMLTY8QZR" hidden="1">#REF!</definedName>
    <definedName name="BExS8QOXOUJRU3MZUIVWVHEUFY53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2OHSF8S94B635JEZVKCTFQU" hidden="1">#REF!</definedName>
    <definedName name="BExS92ZC3V1WJEZEKB6EFPX5OG4B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ETESEHEVIMPBYD4UFQHECNZ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GA4CVEL87YP4LDV5X0AHEYT" hidden="1">#REF!</definedName>
    <definedName name="BExSAH6ID8OHX379UXVNGFO8J6KQ" hidden="1">#REF!</definedName>
    <definedName name="BExSAHRWYUCII46TLWXLAAD21TBG" hidden="1">#REF!</definedName>
    <definedName name="BExSAMF9EH87R7IHGV4TSG6LTFHQ" hidden="1">#REF!</definedName>
    <definedName name="BExSAQBHIXGQRNIRGCJMBXUPCZQA" hidden="1">#REF!</definedName>
    <definedName name="BExSAQMACLKQUW8GNBAB0NDZIKS6" hidden="1">#REF!</definedName>
    <definedName name="BExSAUTCT4P7JP57NOR9MTX33QJZ" hidden="1">#REF!</definedName>
    <definedName name="BExSAY9CA9TFXQ9M9FBJRGJO9T9E" hidden="1">#REF!</definedName>
    <definedName name="BExSB3YCRMET49UDMKBAZBHUW192" hidden="1">#REF!</definedName>
    <definedName name="BExSB49AWAWBVWWOT65VCGA9XMDY" hidden="1">#REF!</definedName>
    <definedName name="BExSB4JYKQ3MINI7RAYK5M8BLJDC" hidden="1">#REF!</definedName>
    <definedName name="BExSBF1QL3T5FOFFPTYPJ2ZS2XX4" hidden="1">#REF!</definedName>
    <definedName name="BExSBL6UL5ORPBMFXNDV990Q6SJS" hidden="1">#REF!</definedName>
    <definedName name="BExSBMOS41ZRLWYLOU29V6Y7YORR" hidden="1">#REF!</definedName>
    <definedName name="BExSBO18YL5NBTVTLJSS73ZP1AHT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89N5XCGLM9JCJUQJU3QO0VU" hidden="1">#REF!</definedName>
    <definedName name="BExSCDCVOFVWV4M60TO871GW8604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P1ODJXJRYBW10HS3HVPKIOR" hidden="1">#REF!</definedName>
    <definedName name="BExSCR58670UMW85R01YU456O9NM" hidden="1">#REF!</definedName>
    <definedName name="BExSCVC9P86YVFMRKKUVRV29MZXZ" hidden="1">#REF!</definedName>
    <definedName name="BExSD04W67KA1QRJ36LB705YHSH6" hidden="1">#REF!</definedName>
    <definedName name="BExSD233CH4MU9ZMGNRF97ZV7KWU" hidden="1">#REF!</definedName>
    <definedName name="BExSD2U0F3BN6IN9N4R2DTTJG15H" hidden="1">#REF!</definedName>
    <definedName name="BExSD3VURNVY7ELH4VHGKUM61RM2" hidden="1">#REF!</definedName>
    <definedName name="BExSD6A6NY15YSMFH51ST6XJY429" hidden="1">#REF!</definedName>
    <definedName name="BExSD9VH6PF6RQ135VOEE08YXPAW" hidden="1">#REF!</definedName>
    <definedName name="BExSDETL3D3BSNHWQCHBV7H8B37J" hidden="1">#REF!</definedName>
    <definedName name="BExSDP5Y04WWMX2WWRITWOX8R5I9" hidden="1">#REF!</definedName>
    <definedName name="BExSDRV14OWCA3EWA3TK488NGQG3" hidden="1">#REF!</definedName>
    <definedName name="BExSDSGM203BJTNS9MKCBX453HMD" hidden="1">#REF!</definedName>
    <definedName name="BExSDT20XUFXTDM37M148AXAP7HN" hidden="1">#REF!</definedName>
    <definedName name="BExSEBC6RTEZOELZT5HEZF1YVB7U" hidden="1">#REF!</definedName>
    <definedName name="BExSEDL6PEN9I9E7948NNYNBLQJG" hidden="1">#REF!</definedName>
    <definedName name="BExSEEHK1VLWD7JBV9SVVVIKQZ3I" hidden="1">#REF!</definedName>
    <definedName name="BExSEGFLOLM8UFP40WXLAFJ9T4HK" hidden="1">#REF!</definedName>
    <definedName name="BExSEJ4Q6VD8OBWGEUKC9HSTYFJN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EX2D7OKHUG3H57U8075Q00KE" hidden="1">#REF!</definedName>
    <definedName name="BExSEYPSYUHLROWR3J1Q0GXOJC8S" hidden="1">#REF!</definedName>
    <definedName name="BExSF07QFLZCO4P6K6QF05XG7PH1" hidden="1">#REF!</definedName>
    <definedName name="BExSF37ND9871VEU0JCD1Y71N745" hidden="1">#REF!</definedName>
    <definedName name="BExSF9T036F1NJZETY5XZ2OQITJG" hidden="1">#REF!</definedName>
    <definedName name="BExSFCCN1PXJ2G307CXNSD192NLF" hidden="1">#REF!</definedName>
    <definedName name="BExSFELNPJYUZX393PKWKNNZYV1N" hidden="1">#REF!</definedName>
    <definedName name="BExSFIHX7AL2YGZJ9AJ1FQ6YAE4M" hidden="1">#REF!</definedName>
    <definedName name="BExSFJ8ZAGQ63A4MVMZRQWLVRGQ5" hidden="1">#REF!</definedName>
    <definedName name="BExSFKQRST2S9KXWWLCXYLKSF4G1" hidden="1">#REF!</definedName>
    <definedName name="BExSFRMX9U97S25PHZ3WGCIB14NA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CA4UPX7EB1ATTIS8KEPCQ9J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BDSWN66V7PJS5MFPJY1LADH" hidden="1">#REF!</definedName>
    <definedName name="BExTTWD2PGX3Y9FR5F2MRNLY1DIY" hidden="1">#REF!</definedName>
    <definedName name="BExTTZNS2PBCR93C9IUW49UZ4I6T" hidden="1">#REF!</definedName>
    <definedName name="BExTU09CX0YZSAE35PCU4E2MGV8S" hidden="1">#REF!</definedName>
    <definedName name="BExTU2YFQ25JQ6MEMRHHN66VLTPJ" hidden="1">#REF!</definedName>
    <definedName name="BExTU2YGS94JWOYHFIO3UNQLMRCQ" hidden="1">#REF!</definedName>
    <definedName name="BExTU75IOII1V5O0C9X2VAYYVJUG" hidden="1">#REF!</definedName>
    <definedName name="BExTUA5F7V4LUIIAM17J3A8XF3JE" hidden="1">#REF!</definedName>
    <definedName name="BExTUDQUZAD2FC9CHS9DD3WYJ7WK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85XUAYGLNXEFX0E7I2G3WP0" hidden="1">#REF!</definedName>
    <definedName name="BExTV9YOERM04X3BOLNIU7MUXUST" hidden="1">#REF!</definedName>
    <definedName name="BExTVELZCF2YA5L6F23BYZZR6WHF" hidden="1">#REF!</definedName>
    <definedName name="BExTVFCV26AA8AIO8YE6D9SC80IM" hidden="1">#REF!</definedName>
    <definedName name="BExTVGPIQZ99YFXUC8OONUX5BD42" hidden="1">#REF!</definedName>
    <definedName name="BExTVHLVBHZQD9NWXOA17FMFULSW" hidden="1">#REF!</definedName>
    <definedName name="BExTVPUJ1F44JM8VIQLY8XN1ZXBY" hidden="1">#REF!</definedName>
    <definedName name="BExTVZQLP9VFLEYQ9280W13X7E8K" hidden="1">#REF!</definedName>
    <definedName name="BExTW48G2TV58GOFI5G011MOPZLV" hidden="1">#REF!</definedName>
    <definedName name="BExTWA8786NLN8Y2XFQUT4C6NXNF" hidden="1">#REF!</definedName>
    <definedName name="BExTWB4LA1PODQOH4LDTHQKBN16K" hidden="1">#REF!</definedName>
    <definedName name="BExTWG2PVGDTKAPHINOC5ORV69IY" hidden="1">#REF!</definedName>
    <definedName name="BExTWI0Q8AWXUA3ZN7I5V3QK2KM1" hidden="1">#REF!</definedName>
    <definedName name="BExTWJTI1KNCHQNLRZCBPEHYLX4Q" hidden="1">#REF!</definedName>
    <definedName name="BExTWJTIA3WUW1PUWXAOP9O8NKLZ" hidden="1">#REF!</definedName>
    <definedName name="BExTWW95OX07FNA01WF5MSSSFQLX" hidden="1">#REF!</definedName>
    <definedName name="BExTWYSYH13UROMRNP70RBE49XZH" hidden="1">#REF!</definedName>
    <definedName name="BExTX476KI0RNB71XI5TYMANSGBG" hidden="1">#REF!</definedName>
    <definedName name="BExTX8ZTIZ8G66YWDJXER1OJQHYN" hidden="1">#REF!</definedName>
    <definedName name="BExTXAXV1NAAM5O6KJXTT5Q0ULLK" hidden="1">#REF!</definedName>
    <definedName name="BExTXCAI3MDGMT0KFPMMIV7FOSBT" hidden="1">#REF!</definedName>
    <definedName name="BExTXHOKN4BW8IVASJEFHM6M9EP8" hidden="1">#REF!</definedName>
    <definedName name="BExTXJ6HBAIXMMWKZTJNFDYVZCAY" hidden="1">#REF!</definedName>
    <definedName name="BExTXT812NQT8GAEGH738U29BI0D" hidden="1">#REF!</definedName>
    <definedName name="BExTXUPZFFE92NSCDCOCGPTQ4XEE" hidden="1">#REF!</definedName>
    <definedName name="BExTXWIP2TFPTQ76NHFOB72NICRZ" hidden="1">#REF!</definedName>
    <definedName name="BExTXX9LV6YTP74RZSICH3K2SSEJ" hidden="1">#REF!</definedName>
    <definedName name="BExTXZILTUL7YE4T9DOXFDWNPY60" hidden="1">#REF!</definedName>
    <definedName name="BExTY3UZHRE10DPL4DJRC4TOFKCH" hidden="1">#REF!</definedName>
    <definedName name="BExTY5T62H651VC86QM4X7E28JVA" hidden="1">#REF!</definedName>
    <definedName name="BExTY6ESXRSM0VBVD4UIUVHL0NKL" hidden="1">#REF!</definedName>
    <definedName name="BExTY8YE681LIZAK7G2PBY712TUF" hidden="1">#REF!</definedName>
    <definedName name="BExTY9UR6BHVH1705N1HDYX6XB5C" hidden="1">#REF!</definedName>
    <definedName name="BExTYBCPPHM3ZVQG41FPEY2EH9FN" hidden="1">#REF!</definedName>
    <definedName name="BExTYHCJJ2NWRM1RV59FYR41534U" hidden="1">#REF!</definedName>
    <definedName name="BExTYKCEFJ83LZM95M1V7CSFQVEA" hidden="1">#REF!</definedName>
    <definedName name="BExTYMAO5Z45PROAE0NSIUCW3YBC" hidden="1">#REF!</definedName>
    <definedName name="BExTYPLA9N640MFRJJQPKXT7P88M" hidden="1">#REF!</definedName>
    <definedName name="BExTYROTXDL8HO959G8ARXRCSKV0" hidden="1">#REF!</definedName>
    <definedName name="BExTYRU5Z21Q3UKUQ7JNQUVI3FOF" hidden="1">#REF!</definedName>
    <definedName name="BExTYTC3RK16LW56O9SFXFLGTX0P" hidden="1">#REF!</definedName>
    <definedName name="BExTZ2HANB2TJHXO288K3OHLDK6D" hidden="1">#REF!</definedName>
    <definedName name="BExTZ7F71SNTOX4LLZCK5R9VUMIJ" hidden="1">#REF!</definedName>
    <definedName name="BExTZ8MDB4ZCGAP5HNN330WB9LM3" hidden="1">#REF!</definedName>
    <definedName name="BExTZ8X5G9S3PA4FPSNK7T69W7QT" hidden="1">#REF!</definedName>
    <definedName name="BExTZ97Y0RMR8V5BI9F2H4MFB77O" hidden="1">#REF!</definedName>
    <definedName name="BExTZ9O1QIDFQ0CBPBZJJQMD7IWM" hidden="1">#REF!</definedName>
    <definedName name="BExTZ9TJZ7CHV5JZH8058SVWA7K1" hidden="1">#REF!</definedName>
    <definedName name="BExTZIYKWH3XNM8RPEL525RUCOFA" hidden="1">#REF!</definedName>
    <definedName name="BExTZK5PMCAXJL4DUIGL6H9Y8U4C" hidden="1">#REF!</definedName>
    <definedName name="BExTZKB6L5SXV5UN71YVTCBEIGWY" hidden="1">#REF!</definedName>
    <definedName name="BExTZL7J7LOVCX79F2ASFR8O3AN9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1ZRTZFLLLFWQC7XR090YE7Q" hidden="1">#REF!</definedName>
    <definedName name="BExU02QNT4LT7H9JPUC4FXTLVGZT" hidden="1">#REF!</definedName>
    <definedName name="BExU0BFJJQO1HJZKI14QGOQ6JROO" hidden="1">#REF!</definedName>
    <definedName name="BExU0BL1IMAJVDAQ6C9LGEHGO4IX" hidden="1">#REF!</definedName>
    <definedName name="BExU0D8ARVYC1LJWOBL1K896QMXC" hidden="1">#REF!</definedName>
    <definedName name="BExU0FH5WTGW8MRFUFMDDSMJ6YQ5" hidden="1">#REF!</definedName>
    <definedName name="BExU0GDOIL9U33QGU9ZU3YX3V1I4" hidden="1">#REF!</definedName>
    <definedName name="BExU0H4JD70AWXYLRTDUQZFN1QR5" hidden="1">#REF!</definedName>
    <definedName name="BExU0HKTO8WJDQDWRTUK5TETM3HS" hidden="1">#REF!</definedName>
    <definedName name="BExU0MTJQPE041ZN7H8UKGV6MZT7" hidden="1">#REF!</definedName>
    <definedName name="BExU0QPU3DRXAKBLA4Q0KD6HJ6DO" hidden="1">#REF!</definedName>
    <definedName name="BExU0S2BJ93SIXIDDDNSTRF0DA1Z" hidden="1">#REF!</definedName>
    <definedName name="BExU0WK65K11WJP36LZT4DU9TXKL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88YGDGWY4ZWKKQWUGP5BPVJ" hidden="1">#REF!</definedName>
    <definedName name="BExU195BHJC39PLRWXTLEMKRHBQT" hidden="1">#REF!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6NE3RMAA7IDBSJOLG80KNE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1W84NFFD4EW90JZBGKFF3T1I" hidden="1">#REF!</definedName>
    <definedName name="BExU23V6H1OS7SKDTZYA2PZNNYEB" hidden="1">#REF!</definedName>
    <definedName name="BExU29V54CVG9G8YRJ8E2FN9ZCVJ" hidden="1">#REF!</definedName>
    <definedName name="BExU2ET3H99XRC3RZHLYEBUW7OKU" hidden="1">#REF!</definedName>
    <definedName name="BExU2M5CK6XK55UIHDVYRXJJJRI4" hidden="1">#REF!</definedName>
    <definedName name="BExU2NY335SXBUUAXPY53WAHBG97" hidden="1">#REF!</definedName>
    <definedName name="BExU2TXVT25ZTOFQAF6CM53Z1RLF" hidden="1">#REF!</definedName>
    <definedName name="BExU2XZLYIU19G7358W5T9E87AFR" hidden="1">#REF!</definedName>
    <definedName name="BExU31QE3CYKHZ969WRL0XZJAMMN" hidden="1">#REF!</definedName>
    <definedName name="BExU36TTD5RAR7ZS1BZD61VISGGZ" hidden="1">#REF!</definedName>
    <definedName name="BExU37KPVXKS9F981T9JLMMF406X" hidden="1">#REF!</definedName>
    <definedName name="BExU3B66MCKJFSKT3HL8B5EJGVX0" hidden="1">#REF!</definedName>
    <definedName name="BExU3BMG5NWBPIXL3EAQVQYCEGUZ" hidden="1">#REF!</definedName>
    <definedName name="BExU3FO248CT78AZIP7GJBYQ4TIY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QCRRT97EP1G5EBQ80R71U7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4UBH1RTOSM09KNOYW1BU5NIL" hidden="1">#REF!</definedName>
    <definedName name="BExU51IFNZXPBDES28457LR8X60M" hidden="1">#REF!</definedName>
    <definedName name="BExU529I6YHVOG83TJHWSILIQU1S" hidden="1">#REF!</definedName>
    <definedName name="BExU57YCIKPRD8QWL6EU0YR3NG3J" hidden="1">#REF!</definedName>
    <definedName name="BExU583UD6P0UTPK4MGQ7A8VMHDN" hidden="1">#REF!</definedName>
    <definedName name="BExU5D795WZ01FO19ZND7C73TOKY" hidden="1">#REF!</definedName>
    <definedName name="BExU5DSTBWXLN6E59B757KRWRI6E" hidden="1">#REF!</definedName>
    <definedName name="BExU5H8TTYVRSDMS7BO83GM2URJA" hidden="1">#REF!</definedName>
    <definedName name="BExU5PMXBLWI3LB5ARK8RDRJIJ2C" hidden="1">#REF!</definedName>
    <definedName name="BExU5RVWWE9E05T8E260LWLAMHHM" hidden="1">#REF!</definedName>
    <definedName name="BExU5TDWM8NNDHYPQ7OQODTQ368A" hidden="1">#REF!</definedName>
    <definedName name="BExU5W89Y47HIXG4P7WL7BT7J2VQ" hidden="1">#REF!</definedName>
    <definedName name="BExU5X4OX1V1XHS6WSSORVQPP6Z3" hidden="1">#REF!</definedName>
    <definedName name="BExU5XVPARTFMRYHNUTBKDIL4UJN" hidden="1">#REF!</definedName>
    <definedName name="BExU664DGP13UITN11EBKRF9QR2M" hidden="1">#REF!</definedName>
    <definedName name="BExU66F4G0AXSIC8FFQOTIZXAGQX" hidden="1">#REF!</definedName>
    <definedName name="BExU66KMFBAP8JCVG9VM1RD1TNFF" hidden="1">#REF!</definedName>
    <definedName name="BExU68IOM3CB3TACNAE9565TW7SH" hidden="1">#REF!</definedName>
    <definedName name="BExU69F1X2KFRP43X90RQLVPNBVO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L96CRMWLD3NUDO2F7JVCUL0" hidden="1">#REF!</definedName>
    <definedName name="BExU6PAVKIOAIMQ9XQIHHF1SUAGO" hidden="1">#REF!</definedName>
    <definedName name="BExU6WXXC7SSQDMHSLUN5C2V4IYX" hidden="1">#REF!</definedName>
    <definedName name="BExU73387E74XE8A9UKZLZNJYY65" hidden="1">#REF!</definedName>
    <definedName name="BExU756QYP3DOH3YDKFOZQPCUZSS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TI86DZEG3C3RR7L83XQ3CM" hidden="1">#REF!</definedName>
    <definedName name="BExU7M9R4NV0E6RZRIW054ZGJOUP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7YENOFAS6Y6FTDGASWU5RL3O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4SU7AXBPIW93DB01QYCI2P" hidden="1">#REF!</definedName>
    <definedName name="BExU8KFLAN778MBN93NYZB0FV30G" hidden="1">#REF!</definedName>
    <definedName name="BExU8LMR5H8YGN6UX4VX1U6BL8C8" hidden="1">#REF!</definedName>
    <definedName name="BExU8UX9JX3XLB47YZ8GFXE0V7R2" hidden="1">#REF!</definedName>
    <definedName name="BExU8XRURMDO3XZL3QZ1LDSN7RZ7" hidden="1">#REF!</definedName>
    <definedName name="BExU91DC3DGKPZD6LTER2IRTF89C" hidden="1">#REF!</definedName>
    <definedName name="BExU94TBAWW52LZMH38CJ1UGDX44" hidden="1">#REF!</definedName>
    <definedName name="BExU96M1J7P9DZQ3S9H0C12KGYTW" hidden="1">#REF!</definedName>
    <definedName name="BExU9F05OR1GZ3057R6UL3WPEIYI" hidden="1">#REF!</definedName>
    <definedName name="BExU9G1U9VSOJTD45K1YT5ZTULEZ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QMMMD2SVNWGPURGNP4NXEL" hidden="1">#REF!</definedName>
    <definedName name="BExU9RW36I5Z6JIXUIUB3PJH86LT" hidden="1">#REF!</definedName>
    <definedName name="BExU9SSGFK8YB3JCK44295WTHU8V" hidden="1">#REF!</definedName>
    <definedName name="BExU9T3APPYTMXWS9A83O2KWS0DX" hidden="1">#REF!</definedName>
    <definedName name="BExU9T8KL3E9AZ9F4NJE89F0NN15" hidden="1">#REF!</definedName>
    <definedName name="BExUA28AO7OWDG3H23Q0CL4B7BHW" hidden="1">#REF!</definedName>
    <definedName name="BExUA4BSDR06PRP7O2HM1AWOJ0EQ" hidden="1">#REF!</definedName>
    <definedName name="BExUA5O923FFNEBY8BPO1TU3QGBM" hidden="1">#REF!</definedName>
    <definedName name="BExUA6Q4K25VH452AQ3ZIRBCMS61" hidden="1">#REF!</definedName>
    <definedName name="BExUA8821ODHPQD3G1X6ZSLQNGAH" hidden="1">#REF!</definedName>
    <definedName name="BExUABO95974XRAHE1DWPHY8RX4U" hidden="1">#REF!</definedName>
    <definedName name="BExUAFV4JMBSM2SKBQL9NHL0NIBS" hidden="1">#REF!</definedName>
    <definedName name="BExUAJ0IQR3JQABQ4CGF6LB43OVL" hidden="1">#REF!</definedName>
    <definedName name="BExUAMWQODKBXMRH1QCMJLJBF8M7" hidden="1">#REF!</definedName>
    <definedName name="BExUAR3TD88H9UY5C182D77GVZ9K" hidden="1">#REF!</definedName>
    <definedName name="BExUATCO6MWT5PUTQE1VQVL1BX0B" hidden="1">#REF!</definedName>
    <definedName name="BExUAX8WS5OPVLCDXRGKTU2QMTFO" hidden="1">#REF!</definedName>
    <definedName name="BExUB51HG8E3ORA1N58QU2VZX0OE" hidden="1">#REF!</definedName>
    <definedName name="BExUB8C577UBFGABTA1OWDOOF24L" hidden="1">#REF!</definedName>
    <definedName name="BExUB8HLEXSBVPZ5AXNQEK96F1N4" hidden="1">#REF!</definedName>
    <definedName name="BExUB9U227TG8JJ36NTBHTJX48F4" hidden="1">#REF!</definedName>
    <definedName name="BExUBCDVZIEA7YT0LPSMHL5ZSERQ" hidden="1">#REF!</definedName>
    <definedName name="BExUBH6I3WJY6GP7C527I349WFOA" hidden="1">#REF!</definedName>
    <definedName name="BExUBKXBUCN760QYU7Q8GESBWOQH" hidden="1">#REF!</definedName>
    <definedName name="BExUBL83ED0P076RN9RJ8P1MZ299" hidden="1">#REF!</definedName>
    <definedName name="BExUBOISJWX92Y2S3P1CM9142I5Q" hidden="1">#REF!</definedName>
    <definedName name="BExUC13XV1G4XIGCZEELD4E2IN9K" hidden="1">#REF!</definedName>
    <definedName name="BExUC623BDYEODBN0N4DO6PJQ7NU" hidden="1">#REF!</definedName>
    <definedName name="BExUC73QX3N6357WIK1W0Y1W2YTR" hidden="1">#REF!</definedName>
    <definedName name="BExUC8WH8TCKBB5313JGYYQ1WFLT" hidden="1">#REF!</definedName>
    <definedName name="BExUCAJQI2YYIFJ9VPJJPWDGIRMW" hidden="1">#REF!</definedName>
    <definedName name="BExUCD3J237FEAVPHUOHBOLL8K2U" hidden="1">#REF!</definedName>
    <definedName name="BExUCFCDK6SPH86I6STXX8X3WMC4" hidden="1">#REF!</definedName>
    <definedName name="BExUCKQKMJ5Q5AJLWTUTPI0AZLA1" hidden="1">#REF!</definedName>
    <definedName name="BExUCLC6AQ5KR6LXSAXV4QQ8ASVG" hidden="1">#REF!</definedName>
    <definedName name="BExUCYZ6LW6KHZ40KIN920GOXXMG" hidden="1">#REF!</definedName>
    <definedName name="BExUD4DE0M2T2HT5RDRVSRZ64DO6" hidden="1">#REF!</definedName>
    <definedName name="BExUD4IOJ12X3PJG5WXNNGDRCKAP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5ZDNHXRLEOWDFNEADDN6VMK" hidden="1">#REF!</definedName>
    <definedName name="BExUEFKOQWXXGRNLAOJV2BJ66UB8" hidden="1">#REF!</definedName>
    <definedName name="BExUEGRUBXL33SRSZJCLZ8WP7RKV" hidden="1">#REF!</definedName>
    <definedName name="BExUEJGX3OQQP5KFRJSRCZ70EI9V" hidden="1">#REF!</definedName>
    <definedName name="BExUEK2IW5D9E3HQKUJ0X68N13UA" hidden="1">#REF!</definedName>
    <definedName name="BExUEKDBE31VQAQM2CNEQ9GHPA3Z" hidden="1">#REF!</definedName>
    <definedName name="BExUEQNXAVS5NNBDNDNQ352N09OV" hidden="1">#REF!</definedName>
    <definedName name="BExUEYR71COFS2X8PDNU21IPMQEU" hidden="1">#REF!</definedName>
    <definedName name="BExVPRLJ9I6RX45EDVFSQGCPJSOK" hidden="1">#REF!</definedName>
    <definedName name="BExVQ1HKY5I6Z9SAQR9S9SV2W58F" hidden="1">#REF!</definedName>
    <definedName name="BExVQE2R18BRCQHIKQ8TSTIVWJBQ" hidden="1">#REF!</definedName>
    <definedName name="BExVQMGUARFJ9KTYXTE1R20BCXLV" hidden="1">#REF!</definedName>
    <definedName name="BExVQYGGCBLMSXERIKXZQ74W4QPL" hidden="1">#REF!</definedName>
    <definedName name="BExVQZ1ZSPSY6EPEOVN2CYGZ0V5P" hidden="1">#REF!</definedName>
    <definedName name="BExVR2Y9KP3VB9GEJ5FIJE7ZDVQ6" hidden="1">#REF!</definedName>
    <definedName name="BExVR5CLJR4DZ2WMNBUVZJREMF53" hidden="1">#REF!</definedName>
    <definedName name="BExVRK1BDC7YU46L48CH6DXVGXJ1" hidden="1">#REF!</definedName>
    <definedName name="BExVRNMQTO0IWFRKMKKU98LM8DGO" hidden="1">#REF!</definedName>
    <definedName name="BExVRVFBLDBJNQJBF46R36US9WH9" hidden="1">#REF!</definedName>
    <definedName name="BExVS4PS16O7P2U4EDV52A1CUGUO" hidden="1">#REF!</definedName>
    <definedName name="BExVS9NQL4L2B08S65FL8C088QJ0" hidden="1">#REF!</definedName>
    <definedName name="BExVSL787C8E4HFQZ2NVLT35I2XV" hidden="1">#REF!</definedName>
    <definedName name="BExVSTFTVV14SFGHQUOJL5SQ5TX9" hidden="1">#REF!</definedName>
    <definedName name="BExVSUC7AW62KQKTHMXOYKCRX4OS" hidden="1">#REF!</definedName>
    <definedName name="BExVSYU19XUHOV4BU2C5TLVQ8R0G" hidden="1">#REF!</definedName>
    <definedName name="BExVT06J0WLVX1K74784DFHRNSRH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DC9ZM2SDTHP1F76XED0ETX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GD56I1BRGTK6CKSNJ3QYTOT" hidden="1">#REF!</definedName>
    <definedName name="BExVTLGLZCMBDIEQNAD0UZSGK3Y4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3AMXBXH6EVQQK7PVU6OG2HI" hidden="1">#REF!</definedName>
    <definedName name="BExVUBORTYRWU2ZLAMNTE4KPUI4E" hidden="1">#REF!</definedName>
    <definedName name="BExVUDXLZWK0YPYZHQUMBJI6VYUE" hidden="1">#REF!</definedName>
    <definedName name="BExVUL9V3H8ZF6Y72LQBBN639YAA" hidden="1">#REF!</definedName>
    <definedName name="BExVUPMENQIKZTW87C1414BF5NF9" hidden="1">#REF!</definedName>
    <definedName name="BExVUT2JXT5EF6UIYKYSL59J6MY1" hidden="1">#REF!</definedName>
    <definedName name="BExVUT7W9IMOFGLETZCMOLETPYMY" hidden="1">#REF!</definedName>
    <definedName name="BExVUWTCLF9FEQ5DNJHMHJ44BX81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ECH3JAPDF4ASMDXW1I72TCV" hidden="1">#REF!</definedName>
    <definedName name="BExVVESPIB748C6K6O3FWRQCS912" hidden="1">#REF!</definedName>
    <definedName name="BExVVO37GBLC232QU61GT2I56YDM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SQCSXQ8JWSI1F02JW4DIZAU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BWWLZWFX5O8ASA6RC6AR7GB" hidden="1">#REF!</definedName>
    <definedName name="BExVWCYL20B6I5JYSK3GI0M5O8ZB" hidden="1">#REF!</definedName>
    <definedName name="BExVWINKCH0V0NUWH363SMXAZE62" hidden="1">#REF!</definedName>
    <definedName name="BExVWXC9VE23TJJ9B1MUEHJFW2Q8" hidden="1">#REF!</definedName>
    <definedName name="BExVWYU8EK669NP172GEIGCTVPPA" hidden="1">#REF!</definedName>
    <definedName name="BExVX01EB3MJLZ385ES8QWXX3NR4" hidden="1">#REF!</definedName>
    <definedName name="BExVX18JUETUMGU2OXRKMAZW8W54" hidden="1">#REF!</definedName>
    <definedName name="BExVX3C2A6YENTZN7UNLKK20YDD6" hidden="1">#REF!</definedName>
    <definedName name="BExVX3MVJ0GHWPP1EL59ZQNKMX0B" hidden="1">#REF!</definedName>
    <definedName name="BExVX3XN2DRJKL8EDBIG58RYQ36R" hidden="1">#REF!</definedName>
    <definedName name="BExVX4DWQTH11DEFGBKLJD9AU1CA" hidden="1">#REF!</definedName>
    <definedName name="BExVX4OP96GTJV56XF94YHUJBM82" hidden="1">#REF!</definedName>
    <definedName name="BExVXDZ63PUART77BBR5SI63TPC6" hidden="1">#REF!</definedName>
    <definedName name="BExVXHKI6LFYMGWISMPACMO247HL" hidden="1">#REF!</definedName>
    <definedName name="BExVXJO7ICS4J8U9V780AVXV443P" hidden="1">#REF!</definedName>
    <definedName name="BExVXLX2BZ5EF2X6R41BTKRJR1NM" hidden="1">#REF!</definedName>
    <definedName name="BExVXSYIZQZY0TXWZC2YYTFQNHUS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9W8BK9X0ZNFO71JWNYZF4OF" hidden="1">#REF!</definedName>
    <definedName name="BExVYHDYIV5397LC02V4FEP8VD6W" hidden="1">#REF!</definedName>
    <definedName name="BExVYHU2BT2MBRE5C423KVNH7X28" hidden="1">#REF!</definedName>
    <definedName name="BExVYOVIZDA18YIQ0A30Q052PCAK" hidden="1">#REF!</definedName>
    <definedName name="BExVYQIXPEM6J4JVP78BRHIC05PV" hidden="1">#REF!</definedName>
    <definedName name="BExVYS6ES5GT8C7OLQNCL1SIENJ1" hidden="1">#REF!</definedName>
    <definedName name="BExVYVGWN7SONLVDH9WJ2F1JS264" hidden="1">#REF!</definedName>
    <definedName name="BExVYXPVXRGS1KHRANB481EQKJC3" hidden="1">#REF!</definedName>
    <definedName name="BExVYZTGQGPPIT8NVPFRRZSL2P5U" hidden="1">#REF!</definedName>
    <definedName name="BExVZ6UX7MFHZK5R32U6JYZWOP10" hidden="1">#REF!</definedName>
    <definedName name="BExVZ8IB89PB1G334KRTMCXU2G5L" hidden="1">#REF!</definedName>
    <definedName name="BExVZ9EO732IK6MNMG17Y1EFTJQC" hidden="1">#REF!</definedName>
    <definedName name="BExVZAGD2VX4BMZGPCL960S7SBJG" hidden="1">#REF!</definedName>
    <definedName name="BExVZALW16MO4ZHRHOVI7A9LNE9L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VZSAG0K5FRRQ8F63B0ZQWNXDS" hidden="1">#REF!</definedName>
    <definedName name="BExVZZS6SK2U3GGZT0TVW5H9V3GR" hidden="1">#REF!</definedName>
    <definedName name="BExW0386REQRCQCVT9BCX80UPTRY" hidden="1">#REF!</definedName>
    <definedName name="BExW08ME81R3XVNPRVVVEO04YEBH" hidden="1">#REF!</definedName>
    <definedName name="BExW0CTFO3CBA00M7DYE1UDZLTLJ" hidden="1">#REF!</definedName>
    <definedName name="BExW0FYP4WXY71CYUG40SUBG9UWU" hidden="1">#REF!</definedName>
    <definedName name="BExW0J421BJDVHD29SISGY5HUVJV" hidden="1">#REF!</definedName>
    <definedName name="BExW0LNORJG1RX5EIJMFK7Z9KCD1" hidden="1">#REF!</definedName>
    <definedName name="BExW0RI61B4VV0ARXTFVBAWRA1C5" hidden="1">#REF!</definedName>
    <definedName name="BExW0ZQS7R53BF19PUB7AVVQ1WGO" hidden="1">#REF!</definedName>
    <definedName name="BExW16MYREN0FDJPW2J9C8QDQ84Z" hidden="1">#REF!</definedName>
    <definedName name="BExW1BQDJA6THJNT6KC86W5REHRX" hidden="1">#REF!</definedName>
    <definedName name="BExW1BVUYQTKMOR56MW7RVRX4L1L" hidden="1">#REF!</definedName>
    <definedName name="BExW1F1220628FOMTW5UAATHRJHK" hidden="1">#REF!</definedName>
    <definedName name="BExW1FMNRHA63QGT6CH7SB9V4AFR" hidden="1">#REF!</definedName>
    <definedName name="BExW1GJ0KBKOU5BGG6X4I39Q1OKM" hidden="1">#REF!</definedName>
    <definedName name="BExW1JODFVH9MTXUST1ZTWZ8R3V2" hidden="1">#REF!</definedName>
    <definedName name="BExW1N4DZMVX1D1RQC4CWM5UN95V" hidden="1">#REF!</definedName>
    <definedName name="BExW1NF6AQQO5UI4KZTTT5C0XD0L" hidden="1">#REF!</definedName>
    <definedName name="BExW1QF1FQKC1BACVNRHSK9BQSBZ" hidden="1">#REF!</definedName>
    <definedName name="BExW1RGRJA2C17UJFRT1NI518UC7" hidden="1">#REF!</definedName>
    <definedName name="BExW1TKA0Z9OP2DTG50GZR5EG8C7" hidden="1">#REF!</definedName>
    <definedName name="BExW1TPRGFXATREG8R6F4PUYF84N" hidden="1">#REF!</definedName>
    <definedName name="BExW1U0JLKQ094DW5MMOI8UHO09V" hidden="1">#REF!</definedName>
    <definedName name="BExW23B1F3U6CMKJVZTQFL2NQYKC" hidden="1">#REF!</definedName>
    <definedName name="BExW26LQ4NMSJFFEWJYQEQG4CSP0" hidden="1">#REF!</definedName>
    <definedName name="BExW283NP9D366XFPXLGSCI5UB0L" hidden="1">#REF!</definedName>
    <definedName name="BExW2BUFJFG3NZ4AS0TE58A6BC52" hidden="1">#REF!</definedName>
    <definedName name="BExW2G1IJDK1KJ6RT9QDJ2S81MNR" hidden="1">#REF!</definedName>
    <definedName name="BExW2GHRBT27B9HY4GFFSR27EXJS" hidden="1">#REF!</definedName>
    <definedName name="BExW2H3C8WJSBW5FGTFKVDVJC4CL" hidden="1">#REF!</definedName>
    <definedName name="BExW2MMVFHJN26OBFH68H1SH9WYH" hidden="1">#REF!</definedName>
    <definedName name="BExW2MSCKPGF5K3I7TL4KF5ISUOL" hidden="1">#REF!</definedName>
    <definedName name="BExW2S6L6BA0JLTCF6QVW49S3C8M" hidden="1">#REF!</definedName>
    <definedName name="BExW2SMO90FU9W8DVVES6Q4E6BZR" hidden="1">#REF!</definedName>
    <definedName name="BExW2Z2K92SEY9GHY2ROVMGS1FJ4" hidden="1">#REF!</definedName>
    <definedName name="BExW357U5WID4MTF5BD2ATVML26Q" hidden="1">#REF!</definedName>
    <definedName name="BExW36V9N91OHCUMGWJQL3I5P4JK" hidden="1">#REF!</definedName>
    <definedName name="BExW37BDOXYH44ESI2E8303C84G5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HT0WNWSBKACMIAYS4M6RXLJ" hidden="1">#REF!</definedName>
    <definedName name="BExW3T1K638HT5E0Y8MMK108P5JT" hidden="1">#REF!</definedName>
    <definedName name="BExW3XZMEKRNTUAGSTTCDH22MONN" hidden="1">#REF!</definedName>
    <definedName name="BExW40ZJP8JSM5LKNF7SCSD3PC5W" hidden="1">#REF!</definedName>
    <definedName name="BExW4217ZHL9VO39POSTJOD090WU" hidden="1">#REF!</definedName>
    <definedName name="BExW48HA89W437PVWA552WJXKH2A" hidden="1">#REF!</definedName>
    <definedName name="BExW48XCO5587N0RCBTSWWRO9A9R" hidden="1">#REF!</definedName>
    <definedName name="BExW4BRT3ECR586DA9MMICKNDB3B" hidden="1">#REF!</definedName>
    <definedName name="BExW4GPW71EBF8XPS2QGVQHBCDX3" hidden="1">#REF!</definedName>
    <definedName name="BExW4JKC5837JBPCOJV337ZVYYY3" hidden="1">#REF!</definedName>
    <definedName name="BExW4N5Y72SANKUSJD5O0X49XBDK" hidden="1">#REF!</definedName>
    <definedName name="BExW4QR9FV9MP5K610THBSM51RYO" hidden="1">#REF!</definedName>
    <definedName name="BExW4Z029R9E19ZENN3WEA3VDAD1" hidden="1">#REF!</definedName>
    <definedName name="BExW543HLH6I14RBNGKNPCW3YKRR" hidden="1">#REF!</definedName>
    <definedName name="BExW54JLUMWN9M8JQ7HTCFNRK5NP" hidden="1">#REF!</definedName>
    <definedName name="BExW58FVUQ4MWHRLZL9WP794BAB5" hidden="1">#REF!</definedName>
    <definedName name="BExW5AZNT6IAZGNF2C879ODHY1B8" hidden="1">#REF!</definedName>
    <definedName name="BExW5DZJDBPWP65HLYOR6ATEBXL5" hidden="1">#REF!</definedName>
    <definedName name="BExW5PDDMG6Q8940S5RN4LMYFQYH" hidden="1">#REF!</definedName>
    <definedName name="BExW5PO6C2DY9CIQUT6OLFQ0E9OU" hidden="1">#REF!</definedName>
    <definedName name="BExW5WPU27WD4NWZOT0ZEJIDLX5J" hidden="1">#REF!</definedName>
    <definedName name="BExW5WVB9CZ5AIP9ZZLU6RH7STSA" hidden="1">#REF!</definedName>
    <definedName name="BExW617N6R50DYRFE5Q1PXX0J164" hidden="1">#REF!</definedName>
    <definedName name="BExW630G8TXFBJMICV5P692ZEYBU" hidden="1">#REF!</definedName>
    <definedName name="BExW660AV1TUV2XNUPD65RZR3QOO" hidden="1">#REF!</definedName>
    <definedName name="BExW66LVVZK656PQY1257QMHP2AY" hidden="1">#REF!</definedName>
    <definedName name="BExW6907MXODSRL745EBOLUFBADE" hidden="1">#REF!</definedName>
    <definedName name="BExW6EJPHAP1TWT380AZLXNHR22P" hidden="1">#REF!</definedName>
    <definedName name="BExW6G1PJ38H10DVLL8WPQ736OEB" hidden="1">#REF!</definedName>
    <definedName name="BExW6VHF4MR4A83PE3AK7QDDWH80" hidden="1">#REF!</definedName>
    <definedName name="BExW6YMMOJ9LD8ZAQTW5XMO7RJ12" hidden="1">#REF!</definedName>
    <definedName name="BExW6Z2X8JSKZMLT5DF24T09HLKV" hidden="1">#REF!</definedName>
    <definedName name="BExW6ZJ1G7QLP6AD3OTKITPAK7FK" hidden="1">#REF!</definedName>
    <definedName name="BExW794A74Z5F2K8LVQLD6VSKXUE" hidden="1">#REF!</definedName>
    <definedName name="BExW7DBBHMVECHJX83HK9FCWJO3I" hidden="1">#REF!</definedName>
    <definedName name="BExW7F9KKE55873YXZKRC16OGUZ7" hidden="1">#REF!</definedName>
    <definedName name="BExW8BS5I6AJX6YUNC2XPIVNSIOB" hidden="1">#REF!</definedName>
    <definedName name="BExW8K0SSIPSKBVP06IJ71600HJZ" hidden="1">#REF!</definedName>
    <definedName name="BExW8KX567N9NT188CONQF6AOHDX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8LK3HYZWNWGRPBDJ7AZITEQ" hidden="1">#REF!</definedName>
    <definedName name="BExW9BW8BRLUFX995CCBMHERKCTD" hidden="1">#REF!</definedName>
    <definedName name="BExW9POK1KIOI0ALS5MZIKTDIYMA" hidden="1">#REF!</definedName>
    <definedName name="BExW9TVLB7OIHTG98I7I4EXBL61S" hidden="1">#REF!</definedName>
    <definedName name="BExW9WVHZWB750OJGGUOCKPFIOMY" hidden="1">#REF!</definedName>
    <definedName name="BExW9X69F7NI3XG4KOO81JZU6069" hidden="1">#REF!</definedName>
    <definedName name="BExWA3RN5EP6WEFB5FGNR92D4JGF" hidden="1">#REF!</definedName>
    <definedName name="BExWA8V33BGB28TJ961GTAI41IP7" hidden="1">#REF!</definedName>
    <definedName name="BExXLDE6PN4ESWT3LXJNQCY94NE4" hidden="1">#REF!</definedName>
    <definedName name="BExXLEW437FHY0O4FJQ8XSX6IDU1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OQX95MNK14IIV6BEWD0H3JP" hidden="1">#REF!</definedName>
    <definedName name="BExXMRG121AJ1ZFW7BCS5P1YZCN9" hidden="1">#REF!</definedName>
    <definedName name="BExXMT8T5Z3M2JBQN65X2LKH0YQI" hidden="1">#REF!</definedName>
    <definedName name="BExXMWDZJ7C8DTD4MHWKSXESEJVL" hidden="1">#REF!</definedName>
    <definedName name="BExXN1XNO7H60M9X1E7EVWFJDM5N" hidden="1">#REF!</definedName>
    <definedName name="BExXN22ZOTIW49GPLWFYKVM90FNZ" hidden="1">#REF!</definedName>
    <definedName name="BExXN2307T59QNS1HLNMGZJKBBPX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IPVRDW555AEMIFI01YJ33Q3" hidden="1">#REF!</definedName>
    <definedName name="BExXNPM24UN2PGVL9D1TUBFRIKR4" hidden="1">#REF!</definedName>
    <definedName name="BExXNWYB165VO9MHARCL5WLCHWS0" hidden="1">#REF!</definedName>
    <definedName name="BExXNZSWVPDJ8QUV4EI5GJ58G9LU" hidden="1">#REF!</definedName>
    <definedName name="BExXO1WA2TMSTLCS8JXOHXFPABZA" hidden="1">#REF!</definedName>
    <definedName name="BExXO278QHQN8JDK5425EJ615ECC" hidden="1">#REF!</definedName>
    <definedName name="BExXO3P157I7KT4NGBT3Z65J9G58" hidden="1">#REF!</definedName>
    <definedName name="BExXOBHOP0WGFHI2Y9AO4L440UVQ" hidden="1">#REF!</definedName>
    <definedName name="BExXOBSHWZOS4W8SKJLD7N4PRFGY" hidden="1">#REF!</definedName>
    <definedName name="BExXOHSAD2NSHOLLMZ2JWA4I3I1R" hidden="1">#REF!</definedName>
    <definedName name="BExXP2WV4YJ0J516CCFGEC2P6O38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IN94J0MMGAMX7D89GO2E7R1" hidden="1">#REF!</definedName>
    <definedName name="BExXPPZI2K0RZLWBGXT8L5JNNLQF" hidden="1">#REF!</definedName>
    <definedName name="BExXPQAGDMWTPVLF9K4QFLGK5RWM" hidden="1">#REF!</definedName>
    <definedName name="BExXPS31W1VD2NMIE4E37LHVDF0L" hidden="1">#REF!</definedName>
    <definedName name="BExXPZKYEMVF5JOC14HYOOYQK6JK" hidden="1">#REF!</definedName>
    <definedName name="BExXQ0S3B46USE0TP8PHQ5K1KPTE" hidden="1">#REF!</definedName>
    <definedName name="BExXQ5F9SP4YKFA24RA3VSI9R4JV" hidden="1">#REF!</definedName>
    <definedName name="BExXQ7DBDI0K8R8QAAPJTPOL3NWY" hidden="1">#REF!</definedName>
    <definedName name="BExXQ89PA10X79WBWOEP1AJX1OQM" hidden="1">#REF!</definedName>
    <definedName name="BExXQC0LVSGTOTP0KG3HYF4BMLBQ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QZUC0GH03KVKTCV0WJMXL0XO" hidden="1">#REF!</definedName>
    <definedName name="BExXR1XVTYBKQ7XU4IEZ500KFP43" hidden="1">#REF!</definedName>
    <definedName name="BExXR2U8Y3PQDOADCLMYRLA99NL1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7XNP4JXTNBZVT39JH91GKG2" hidden="1">#REF!</definedName>
    <definedName name="BExXR8OKAVX7O70V5IYG2PRKXSTI" hidden="1">#REF!</definedName>
    <definedName name="BExXR9KX4KY519XVIWZUR5RKUZQ0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A78RA6YCD611MLGPQY8ZR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TNUUT5V7H9KY70MNNAT08LT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0EP1ORXS6D0AVTZFL48Y72I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LZDI1A4BV0EAYI09G0IAFUG" hidden="1">#REF!</definedName>
    <definedName name="BExXSNHC88W4UMXEOIOOATJAIKZO" hidden="1">#REF!</definedName>
    <definedName name="BExXSQXH06MM2IPBQKV54TOKY1LG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KG6CBSZW3P1850FJHFGQ0DW" hidden="1">#REF!</definedName>
    <definedName name="BExXTL72MKEQSQH9L2OTFLU8DM2B" hidden="1">#REF!</definedName>
    <definedName name="BExXTM3M4RTCRSX7VGAXGQNPP668" hidden="1">#REF!</definedName>
    <definedName name="BExXTO741ZN317TM58UO9ZIP0FSQ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0R5DBGRASH4TPZME0HQLKL" hidden="1">#REF!</definedName>
    <definedName name="BExXUFRM82XQIN2T8KGLDQL1IBQW" hidden="1">#REF!</definedName>
    <definedName name="BExXUJTDAEJ8QMGWCW70I7XAEXT8" hidden="1">#REF!</definedName>
    <definedName name="BExXUQEQBF6FI240ZGIF9YXZSRAU" hidden="1">#REF!</definedName>
    <definedName name="BExXURGEIWCH5MG5G3HUBOYZCL3H" hidden="1">#REF!</definedName>
    <definedName name="BExXURR7IR9BMLV3KI6X1KVFFQTZ" hidden="1">#REF!</definedName>
    <definedName name="BExXUYND6EJO7CJ5KRICV4O1JNWK" hidden="1">#REF!</definedName>
    <definedName name="BExXV6FWG4H3S2QEUJZYIXILNGJ7" hidden="1">#REF!</definedName>
    <definedName name="BExXVDHE9PTOC1Z1Z8YW2CO75KZJ" hidden="1">#REF!</definedName>
    <definedName name="BExXVIFHZRD3QNUSD1SO6BSV7K50" hidden="1">#REF!</definedName>
    <definedName name="BExXVIQA11WHMYVY1CGVQVW5B4HO" hidden="1">#REF!</definedName>
    <definedName name="BExXVK87BMMO6LHKV0CFDNIQVIBS" hidden="1">#REF!</definedName>
    <definedName name="BExXVKZ9WXPGL6IVY6T61IDD771I" hidden="1">#REF!</definedName>
    <definedName name="BExXVP663W3YBV0LW7SXUAJCBGIT" hidden="1">#REF!</definedName>
    <definedName name="BExXVW7S4LFGBP1A8ZVS1B22253O" hidden="1">#REF!</definedName>
    <definedName name="BExXVW7TZ5Y6SRXTGC3KQYQRYR58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GAQ181VJ9C9J8TM8YMTDER8" hidden="1">#REF!</definedName>
    <definedName name="BExXWN1DUWEJ1TATLX0NJF4ZCA1X" hidden="1">#REF!</definedName>
    <definedName name="BExXWNMZAK5RX3XAFDYGSIGYH73G" hidden="1">#REF!</definedName>
    <definedName name="BExXWSAA759465PAF5JDITG12JN8" hidden="1">#REF!</definedName>
    <definedName name="BExXWTMSMNC8UXREUBB0TPS1APDY" hidden="1">#REF!</definedName>
    <definedName name="BExXWVFIBQT8OY1O41FRFPFGXQHK" hidden="1">#REF!</definedName>
    <definedName name="BExXWWXHBZHA9J3N8K47F84X0M0L" hidden="1">#REF!</definedName>
    <definedName name="BExXWZBRK3GLR3LIR30LY3UZ753F" hidden="1">#REF!</definedName>
    <definedName name="BExXX6O19FNCU1CZYPKJ2U16Y0CW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PPA1Q87XPI97X0OXCPBPDON" hidden="1">#REF!</definedName>
    <definedName name="BExXXVUDA98IZTQ6MANKU4MTTDVR" hidden="1">#REF!</definedName>
    <definedName name="BExXXYJH8WACKM27O3SEB4QTWGER" hidden="1">#REF!</definedName>
    <definedName name="BExXXZQNZY6IZI45DJXJK0MQZWA7" hidden="1">#REF!</definedName>
    <definedName name="BExXY5QFG6QP94SFT3935OBM8Y4K" hidden="1">#REF!</definedName>
    <definedName name="BExXY6187Q1H913WACN9D7ELTOYE" hidden="1">#REF!</definedName>
    <definedName name="BExXY7TYEBFXRYUYIFHTN65RJ8EW" hidden="1">#REF!</definedName>
    <definedName name="BExXYGIU8K35066RDHTXBZU7G2NK" hidden="1">#REF!</definedName>
    <definedName name="BExXYLBHANUXC5FCTDDTGOVD3GQS" hidden="1">#REF!</definedName>
    <definedName name="BExXYMNYAYH3WA2ZCFAYKZID9ZCI" hidden="1">#REF!</definedName>
    <definedName name="BExXYVD0E4SIYLBNE2PGVAI756O7" hidden="1">#REF!</definedName>
    <definedName name="BExXYYT12SVN2VDMLVNV4P3ISD8T" hidden="1">#REF!</definedName>
    <definedName name="BExXYZ94S48NGEVEET0WEU7QAXYI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HORW048XR4O8BF2Y4AWDNJ6" hidden="1">#REF!</definedName>
    <definedName name="BExXZL4QYF73HH68BIR7Q3VZIVQ9" hidden="1">#REF!</definedName>
    <definedName name="BExXZNJ2X1TK2LRK5ZY3MX49H5T7" hidden="1">#REF!</definedName>
    <definedName name="BExXZOVPCEP495TQSON6PSRQ8XCY" hidden="1">#REF!</definedName>
    <definedName name="BExXZW2N0HSLPV0PBHJPY9FVF7X5" hidden="1">#REF!</definedName>
    <definedName name="BExXZXKH7NBARQQAZM69Z57IH1MM" hidden="1">#REF!</definedName>
    <definedName name="BExY010NA3L1MQMENDJ7PGI8O566" hidden="1">#REF!</definedName>
    <definedName name="BExY02D8T0VE3A5P02RLPZCJ2PHD" hidden="1">#REF!</definedName>
    <definedName name="BExY04WW28FAWM284ITZ36BME1AA" hidden="1">#REF!</definedName>
    <definedName name="BExY07WSDH5QEVM7BJXJK2ZRAI1O" hidden="1">#REF!</definedName>
    <definedName name="BExY0C3UBVC4M59JIRXVQ8OWAJC1" hidden="1">#REF!</definedName>
    <definedName name="BExY0KCGPZW1K6GGHUU04PWN0NYP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J42KD040V7B6A29QRPNOCKB" hidden="1">#REF!</definedName>
    <definedName name="BExY1NWOXXFV9GGZ3PX444LZ8TVX" hidden="1">#REF!</definedName>
    <definedName name="BExY1S3RGLDITUTEMT4FH75VSYHC" hidden="1">#REF!</definedName>
    <definedName name="BExY1SEJ6D3QP16NBMGYGUTNS7KJ" hidden="1">#REF!</definedName>
    <definedName name="BExY1UCL0RND63LLSM9X5SFRG117" hidden="1">#REF!</definedName>
    <definedName name="BExY1UNFE4M1VMYGEHFDBJ6DQR49" hidden="1">#REF!</definedName>
    <definedName name="BExY1USUDW7AR63VH4RNY2T44LYG" hidden="1">#REF!</definedName>
    <definedName name="BExY1V3OIPWZWHHMHG8UPC8ZCGBF" hidden="1">#REF!</definedName>
    <definedName name="BExY1WAT3937L08HLHIRQHMP2A3H" hidden="1">#REF!</definedName>
    <definedName name="BExY1YEBOSLMID7LURP8QB46AI91" hidden="1">#REF!</definedName>
    <definedName name="BExY22QPKLM4F5I5SJLXAR2OZQFA" hidden="1">#REF!</definedName>
    <definedName name="BExY266UU8XDJNOBBXB57J90R3UG" hidden="1">#REF!</definedName>
    <definedName name="BExY26HMMD500DAIXIAD6PQ5SADT" hidden="1">#REF!</definedName>
    <definedName name="BExY278JWVJR6HU7V83U54GZ359Y" hidden="1">#REF!</definedName>
    <definedName name="BExY2E4OPSPXY9I30JKAUJGGPADQ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LBO1U9PDV7V04Q19LXW4GFU" hidden="1">#REF!</definedName>
    <definedName name="BExY2PZ03E6XJ0DOM5PWZUFN61LX" hidden="1">#REF!</definedName>
    <definedName name="BExY2Q4B5FUDA5VU4VRUHX327QN0" hidden="1">#REF!</definedName>
    <definedName name="BExY2TV3J0X17WOYBX0QO27DBJJG" hidden="1">#REF!</definedName>
    <definedName name="BExY2XM1NU52YLPCOIRAGMHT0P8Z" hidden="1">#REF!</definedName>
    <definedName name="BExY2Z9ALKZLGGMTROE2UGXTFME1" hidden="1">#REF!</definedName>
    <definedName name="BExY32EOGCA6CEKLU4YVFQ90TAYN" hidden="1">#REF!</definedName>
    <definedName name="BExY3309X2GBL84I4TRWUM6Q445N" hidden="1">#REF!</definedName>
    <definedName name="BExY3900WNTOATX5ABYPGZ68FD3D" hidden="1">#REF!</definedName>
    <definedName name="BExY3B8WS9HZAXL5AV96EVMCNRTP" hidden="1">#REF!</definedName>
    <definedName name="BExY3BECOOBXCDM4M6FDGDEULKHF" hidden="1">#REF!</definedName>
    <definedName name="BExY3CW57VFOQBKZ9ZFSLXH8QD05" hidden="1">#REF!</definedName>
    <definedName name="BExY3DSOX4B0VOG937TDHEU5YFKU" hidden="1">#REF!</definedName>
    <definedName name="BExY3HOSK7YI364K15OX70AVR6F1" hidden="1">#REF!</definedName>
    <definedName name="BExY3KJEFE5GIIED3CUHS3VJL2VO" hidden="1">#REF!</definedName>
    <definedName name="BExY3M6O9CV9HQ3QT4XYND1A249T" hidden="1">#REF!</definedName>
    <definedName name="BExY3T89AUR83SOAZZ3OMDEJDQ39" hidden="1">#REF!</definedName>
    <definedName name="BExY4B7NPANYVCQMSDBIA7MT81SV" hidden="1">#REF!</definedName>
    <definedName name="BExY4DLY9CU08J7I3CAOWPOW9R05" hidden="1">#REF!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JEDIB6WV15VBLUQ5ZW9BZ0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GPYPK45496PW1XVD5TEGXNN" hidden="1">#REF!</definedName>
    <definedName name="BExY5LIKBLO4ABRG76JGK4U4FH2U" hidden="1">#REF!</definedName>
    <definedName name="BExY5S3XD1NJT109CV54IFOHVLQ6" hidden="1">#REF!</definedName>
    <definedName name="BExY5TB2VAI3GHKCPXMCVIOM8B8W" hidden="1">#REF!</definedName>
    <definedName name="BExY5YPB8D0ZGNUWWRMCD7AWULLD" hidden="1">#REF!</definedName>
    <definedName name="BExY6KVS1MMZ2R34PGEFR2BMTU9W" hidden="1">#REF!</definedName>
    <definedName name="BExY6Q9YY7LW745GP7CYOGGSPHGE" hidden="1">#REF!</definedName>
    <definedName name="BExZI6SN617MRLY0GOFZYKWABVVX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GCPBE21S4I4MWNUCYTOH598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JTZINT1NFPRCHGP85NZUUXPK" hidden="1">#REF!</definedName>
    <definedName name="BExZJV1DW63GFRVV54NDXC8K3897" hidden="1">#REF!</definedName>
    <definedName name="BExZK34NR4BAD7HJAP7SQ926UQP3" hidden="1">#REF!</definedName>
    <definedName name="BExZK3FGPHH5H771U7D5XY7XBS6E" hidden="1">#REF!</definedName>
    <definedName name="BExZK46DBO73FBV2HE9XDTOLLKMR" hidden="1">#REF!</definedName>
    <definedName name="BExZKC9OPVVMMSRU42UQWL5QBFAI" hidden="1">#REF!</definedName>
    <definedName name="BExZKETGRBU5N3D8O5V91EG147P7" hidden="1">#REF!</definedName>
    <definedName name="BExZKH2B72XBGBEBHVB7MD0JJATY" hidden="1">#REF!</definedName>
    <definedName name="BExZKHYORG3O8C772XPFHM1N8T80" hidden="1">#REF!</definedName>
    <definedName name="BExZKJRF2IRR57DG9CLC7MSHWNNN" hidden="1">#REF!</definedName>
    <definedName name="BExZKK7IMXHYCMIN8FN6ZBTJL4D8" hidden="1">#REF!</definedName>
    <definedName name="BExZKKD18FCCFYZ4S6ZF8A5243IQ" hidden="1">#REF!</definedName>
    <definedName name="BExZKOEQOA8PZBU00KHNCZJGNAIL" hidden="1">#REF!</definedName>
    <definedName name="BExZKUP7BKEJ69MJODESOBQBHW7L" hidden="1">#REF!</definedName>
    <definedName name="BExZKV5GYXO0X760SBD9TWTIQHGI" hidden="1">#REF!</definedName>
    <definedName name="BExZKZHYJ2OUQ50SDSBC5H8HGOAZ" hidden="1">#REF!</definedName>
    <definedName name="BExZL38R1ZSSHO07W7S4XE9NUEMK" hidden="1">#REF!</definedName>
    <definedName name="BExZL6E4YVXRUN7ZGF2BIGIXFR8K" hidden="1">#REF!</definedName>
    <definedName name="BExZL7ACKZIW3DOCTKA6IRZSM64C" hidden="1">#REF!</definedName>
    <definedName name="BExZL86Q6MSE6M00W1OJ0E4XW1JQ" hidden="1">#REF!</definedName>
    <definedName name="BExZL8C7ASBJGZM54PPV6HHR27E8" hidden="1">#REF!</definedName>
    <definedName name="BExZLAQI5Q80D53MZW3IJYP2CFN8" hidden="1">#REF!</definedName>
    <definedName name="BExZLCU1DVX3V0FRVSFZHEBS5XE6" hidden="1">#REF!</definedName>
    <definedName name="BExZLF31GLI4EKX5TZMNYJVPUIVS" hidden="1">#REF!</definedName>
    <definedName name="BExZLGVLMKTPFXG42QYT0PO81G7F" hidden="1">#REF!</definedName>
    <definedName name="BExZLHS4U45LDR2J3G6UR1WU2K83" hidden="1">#REF!</definedName>
    <definedName name="BExZLKMK7LRK14S09WLMH7MXSQXM" hidden="1">#REF!</definedName>
    <definedName name="BExZLP9QIZZJUYVN5HAJ80HRWHRW" hidden="1">#REF!</definedName>
    <definedName name="BExZLSF33O32HUJG0FDG7G0KOTP1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6606J91MQ0VNN5P9Z8Y5P2M" hidden="1">#REF!</definedName>
    <definedName name="BExZN6X13VVJ04QHCHCKU48FHTT5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LR23592BCT5CJ0C25RM2W07" hidden="1">#REF!</definedName>
    <definedName name="BExZNQP654YF6ZBF60665LSMUFMO" hidden="1">#REF!</definedName>
    <definedName name="BExZNV6ZWXH2SJ646R5V0ALZ5HVL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4ASP5R2AP8ZZ9377AF3FMRW" hidden="1">#REF!</definedName>
    <definedName name="BExZP7AIJKLM6C6CSUIIFAHFBNX2" hidden="1">#REF!</definedName>
    <definedName name="BExZPG4W9A0BLK8J72V8JO9IGDWB" hidden="1">#REF!</definedName>
    <definedName name="BExZPPVGX6OZ8B2LWV2L70XDDYGA" hidden="1">#REF!</definedName>
    <definedName name="BExZPQ0XY507N8FJMVPKCTK8HC9H" hidden="1">#REF!</definedName>
    <definedName name="BExZQ37OVBR25U32CO2YYVPZOMR5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H5AM1RYANDW8V3L8GXA6F82" hidden="1">#REF!</definedName>
    <definedName name="BExZQIHTGHK7OOI2Y2PN3JYBY82I" hidden="1">#REF!</definedName>
    <definedName name="BExZQJJMGU5MHQOILGXGJPAQI5XI" hidden="1">#REF!</definedName>
    <definedName name="BExZQOC9V3SNNXTUC4V8SA1BRU6Z" hidden="1">#REF!</definedName>
    <definedName name="BExZQR1EHN6KJIU0LWQ6MZ3Y9UJS" hidden="1">#REF!</definedName>
    <definedName name="BExZQTVSRG3SM1ZBWC2PFD4EICZI" hidden="1">#REF!</definedName>
    <definedName name="BExZQVJ7BQ2II08ZXIPRNP1XBNJ4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KK3H76FEF830M71A9B0CHQG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S2OY9JTSSP01ZQ6V2T2LO5R9" hidden="1">#REF!</definedName>
    <definedName name="BExZSI9USDLZAN8LI8M4YYQL24GZ" hidden="1">#REF!</definedName>
    <definedName name="BExZSQTFR6PN2LY5BHNX2TLRZH4B" hidden="1">#REF!</definedName>
    <definedName name="BExZSS0LA2JY4ZLJ1Z5YCMLJJZCH" hidden="1">#REF!</definedName>
    <definedName name="BExZSSRHVTY34KD5N4CV2T5W3BFJ" hidden="1">#REF!</definedName>
    <definedName name="BExZT109KYU6WFP73J808BRPSID7" hidden="1">#REF!</definedName>
    <definedName name="BExZT2I7STUCEL4HSIKWBTK3OX53" hidden="1">#REF!</definedName>
    <definedName name="BExZT3UQ9EBP5Y4XSAY9YFVNH6ZT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K6TGL5E3U3T70VWTOGESDA2" hidden="1">#REF!</definedName>
    <definedName name="BExZTKS8ZWG4SBY50681XYX140EG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0DFX2DBAVW6M8EFC28MJJMA" hidden="1">#REF!</definedName>
    <definedName name="BExZU14D6AO6FCX6F83JB8SCO94J" hidden="1">#REF!</definedName>
    <definedName name="BExZU2BHYAOKSCBM3C5014ZF6IXS" hidden="1">#REF!</definedName>
    <definedName name="BExZU2RMJTXOCS0ROPMYPE6WTD87" hidden="1">#REF!</definedName>
    <definedName name="BExZU448839M18LSB2L6USECTTWZ" hidden="1">#REF!</definedName>
    <definedName name="BExZU6D2PC5UEBRS384M4KPBKTA8" hidden="1">#REF!</definedName>
    <definedName name="BExZU97O5SCRABBG9F18EVZ4C48L" hidden="1">#REF!</definedName>
    <definedName name="BExZUF7G8FENTJKH9R1XUWXM6CWD" hidden="1">#REF!</definedName>
    <definedName name="BExZUFI8Q5E2QQ13WUK2J0RA3QQX" hidden="1">#REF!</definedName>
    <definedName name="BExZUM8XQACAKNWZKN81C6E6MBAM" hidden="1">#REF!</definedName>
    <definedName name="BExZUNARUJBIZ08VCAV3GEVBIR3D" hidden="1">#REF!</definedName>
    <definedName name="BExZUON8SHDJL8YA4SOGPK9HZ6H6" hidden="1">#REF!</definedName>
    <definedName name="BExZUPJN9HTUCD84IBU95ADSIIXG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AZ075ISY3NX39GW26H0IL8L" hidden="1">#REF!</definedName>
    <definedName name="BExZVBQ29OM0V8XAL3HL0JIM0MMU" hidden="1">#REF!</definedName>
    <definedName name="BExZVCRVTNVYU7R19R8J5LAAKPKR" hidden="1">#REF!</definedName>
    <definedName name="BExZVE4DJZKYERZAC8HLDVQNDM5K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1SS1HHVAT7LA1BDPDARVOD8" hidden="1">#REF!</definedName>
    <definedName name="BExZW5E2AFJUVJY3F8D2LE3QX5JG" hidden="1">#REF!</definedName>
    <definedName name="BExZW5UARC8W9AQNLJX2I5WQWS5F" hidden="1">#REF!</definedName>
    <definedName name="BExZW7HRGN6A9YS41KI2B2UUMJ7X" hidden="1">#REF!</definedName>
    <definedName name="BExZW8JH04N61QXR4FP050O0SMGU" hidden="1">#REF!</definedName>
    <definedName name="BExZW8ZPNV43UXGOT98FDNIBQHZY" hidden="1">#REF!</definedName>
    <definedName name="BExZWCFOT9R87V94STMDC3397CLL" hidden="1">#REF!</definedName>
    <definedName name="BExZWD6R8LPV4L3CX8HDOE8JCPT4" hidden="1">#REF!</definedName>
    <definedName name="BExZWH2VU20XC97ZJGRDSLTVX641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5YDUYJYV64Z1VXMJTOC0Q83" hidden="1">#REF!</definedName>
    <definedName name="BExZXAWIIPQYLGRCNJZXK8VUF4U4" hidden="1">#REF!</definedName>
    <definedName name="BExZXMLAQJM53EBYHWBXP41BDYRB" hidden="1">#REF!</definedName>
    <definedName name="BExZXOJDELULNLEH7WG0OYJT0NJ4" hidden="1">#REF!</definedName>
    <definedName name="BExZXOOTRNUK8LGEAZ8ZCFW9KXQ1" hidden="1">#REF!</definedName>
    <definedName name="BExZXRJ99F4OLDNQFSEPTZ6BNLRJ" hidden="1">#REF!</definedName>
    <definedName name="BExZXT6JOXNKEDU23DKL8XZAJZIH" hidden="1">#REF!</definedName>
    <definedName name="BExZXUTYW1HWEEZ1LIX4OQWC7HL1" hidden="1">#REF!</definedName>
    <definedName name="BExZXV4QQAJUG9IU3APIUNNG8SVF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YF7MA7QEF7NSXIZ92A5DEQUZ" hidden="1">#REF!</definedName>
    <definedName name="BExZYGK3HRI83C25FLQHESNY7WXU" hidden="1">#REF!</definedName>
    <definedName name="BExZYU74EWPOA6X8DG06PXBG7U4F" hidden="1">#REF!</definedName>
    <definedName name="BExZYVUD8LM8N5F44F5WHGNWQJF5" hidden="1">#REF!</definedName>
    <definedName name="BExZZ2FQA9A8C7CJKMEFQ9VPSLCE" hidden="1">#REF!</definedName>
    <definedName name="BExZZCHAVHW8C2H649KRGVQ0WVRT" hidden="1">#REF!</definedName>
    <definedName name="BExZZLBHW1UP6AHUR03NL1ALID9O" hidden="1">#REF!</definedName>
    <definedName name="BExZZR0I8A4T3ZZY3SMW9YB5BUM7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CapacityPurchases_DataTable">#REF!</definedName>
    <definedName name="CapacityPurchasesRawData_DataTable">#REF!</definedName>
    <definedName name="class">#REF!</definedName>
    <definedName name="CM">#REF!</definedName>
    <definedName name="CurrentMonth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EconomicPurchasesRawData_DataTable">#REF!</definedName>
    <definedName name="EMRSchedule">#REF!</definedName>
    <definedName name="FuelPriceRawData_DataTable">#REF!</definedName>
    <definedName name="Header">#REF!</definedName>
    <definedName name="howToChange">#REF!</definedName>
    <definedName name="howToCheck">#REF!</definedName>
    <definedName name="I">"a1..m50"</definedName>
    <definedName name="InfoPane">#REF!</definedName>
    <definedName name="InformationPane">#REF!</definedName>
    <definedName name="InfpPane">#REF!</definedName>
    <definedName name="K">#REF!</definedName>
    <definedName name="LOLD">1</definedName>
    <definedName name="LOLD_Sheet1">13</definedName>
    <definedName name="LOLD_Table">8</definedName>
    <definedName name="LOLD_Table2">2</definedName>
    <definedName name="Matching_Names_NonPO___PO">#REF!</definedName>
    <definedName name="Month">#REF!</definedName>
    <definedName name="Month08">#REF!</definedName>
    <definedName name="NavPane">#REF!</definedName>
    <definedName name="pick">#REF!</definedName>
    <definedName name="PO_NPO_Exceptions">#REF!</definedName>
    <definedName name="_xlnm.Print_Area" localSheetId="1">'1. RB-i'!$A$1:$Q$469</definedName>
    <definedName name="_xlnm.Print_Area" localSheetId="24">'10a. RB by class'!$A$1:$N$70</definedName>
    <definedName name="_xlnm.Print_Area" localSheetId="25">'10b. Debt Ser by class'!$A$1:$N$62</definedName>
    <definedName name="_xlnm.Print_Area" localSheetId="26">'10c. Cash by class'!$A$1:$N$62</definedName>
    <definedName name="_xlnm.Print_Area" localSheetId="27">'10d-1. Fuel by class'!$A$1:$N$62</definedName>
    <definedName name="_xlnm.Print_Area" localSheetId="28">'10d-2. Trans by class'!$A$1:$N$62</definedName>
    <definedName name="_xlnm.Print_Area" localSheetId="29">'10e. OM excl Fuel by class'!$A$1:$N$62</definedName>
    <definedName name="_xlnm.Print_Area" localSheetId="30">'10f. AG by class'!$A$1:$N$62</definedName>
    <definedName name="_xlnm.Print_Area" localSheetId="31">'10g.Total Op ex by class '!$A$1:$N$62</definedName>
    <definedName name="_xlnm.Print_Area" localSheetId="32">'10h. Int-CD by class'!$A$1:$N$62</definedName>
    <definedName name="_xlnm.Print_Area" localSheetId="33">'10i. STP-DC by class'!$A$1:$N$62</definedName>
    <definedName name="_xlnm.Print_Area" localSheetId="34">'10j. PAYTAX by class'!$A$1:$N$62</definedName>
    <definedName name="_xlnm.Print_Area" localSheetId="35">'10k.G-Tot Exp  by class'!$A$1:$N$69</definedName>
    <definedName name="_xlnm.Print_Area" localSheetId="36">'10l. CP by class'!$A$1:$N$62</definedName>
    <definedName name="_xlnm.Print_Area" localSheetId="37">'10m. Bad debt by class'!$A$1:$N$62</definedName>
    <definedName name="_xlnm.Print_Area" localSheetId="38">'10n. Late Payment by class'!$A$1:$N$62</definedName>
    <definedName name="_xlnm.Print_Area" localSheetId="39">'10o. Other Revenue by class'!$A$1:$N$62</definedName>
    <definedName name="_xlnm.Print_Area" localSheetId="40">'10p. Interest income by class'!$A$1:$N$62</definedName>
    <definedName name="_xlnm.Print_Area" localSheetId="41">'10q. TY summary by class'!$A$1:$N$60</definedName>
    <definedName name="_xlnm.Print_Area" localSheetId="42">'11a. AF by class'!$A$1:$N$56</definedName>
    <definedName name="_xlnm.Print_Area" localSheetId="43">'11b. Dev of cust wghted af'!$A$1:$N$43</definedName>
    <definedName name="_xlnm.Print_Area" localSheetId="44">'11c. Cust &amp; Demand Array'!$A$1:$N$64</definedName>
    <definedName name="_xlnm.Print_Area" localSheetId="45">'12a-1. RevReq by class'!$A$1:$N$179</definedName>
    <definedName name="_xlnm.Print_Area" localSheetId="2">'1a. Funct Factors'!$A$1:$R$32</definedName>
    <definedName name="_xlnm.Print_Area" localSheetId="3">'2a. RB-np'!$A$1:$Q$197</definedName>
    <definedName name="_xlnm.Print_Area" localSheetId="4">'2b. RB-sf'!$A$1:$AH$197</definedName>
    <definedName name="_xlnm.Print_Area" localSheetId="5">'2c. RB-sfaf'!$A$1:$AJ$196</definedName>
    <definedName name="_xlnm.Print_Area" localSheetId="6">'3a. OM_AG-i'!$A$1:$Q$280</definedName>
    <definedName name="_xlnm.Print_Area" localSheetId="7">'3b. OM_AG-sf'!$A$1:$AH$280</definedName>
    <definedName name="_xlnm.Print_Area" localSheetId="8">'3c. OM_AG-sfaf'!$A$2:$AH$280</definedName>
    <definedName name="_xlnm.Print_Area" localSheetId="9">'4a. OM less M&amp;S'!$A$1:$Q$285</definedName>
    <definedName name="_xlnm.Print_Area" localSheetId="10">'4b. OM less M&amp;S-sf'!$A$1:$AH$285</definedName>
    <definedName name="_xlnm.Print_Area" localSheetId="11">'5a. DE-i'!$A$1:$D$5</definedName>
    <definedName name="_xlnm.Print_Area" localSheetId="12">'5b. DE-sf'!$A$1:$C$5</definedName>
    <definedName name="_xlnm.Print_Area" localSheetId="13">'6a. OE_OR-i'!$A$1:$Q$118</definedName>
    <definedName name="_xlnm.Print_Area" localSheetId="14">'6b. OE_OR-sf'!$A$1:$AH$116</definedName>
    <definedName name="_xlnm.Print_Area" localSheetId="15">'6c. OE_OR-sfaf'!$A$1:$AH$116</definedName>
    <definedName name="_xlnm.Print_Area" localSheetId="16">'7a. LX_AG-i'!$A$1:$Q$278</definedName>
    <definedName name="_xlnm.Print_Area" localSheetId="17">'7b. LX_AG-sf'!$A$1:$AH$277</definedName>
    <definedName name="_xlnm.Print_Area" localSheetId="18">'7c. LX_AG-sfaf'!$A$1:$AH$277</definedName>
    <definedName name="_xlnm.Print_Area" localSheetId="20">'8a. DS-Cash '!$A$1:$N$30</definedName>
    <definedName name="_xlnm.Print_Area" localSheetId="21">'8b.DS-Cash-sf'!$A$1:$AH$29</definedName>
    <definedName name="_xlnm.Print_Area" localSheetId="22">'9a. Summary Schedules'!$A$1:$M$223</definedName>
    <definedName name="_xlnm.Print_Area" localSheetId="23">'9b. Summary Schedules-sf'!$A$1:$AK$223</definedName>
    <definedName name="_xlnm.Print_Area" localSheetId="0">Index!$A$1:$G$86</definedName>
    <definedName name="Print_Area_MI">'[4]FRCST-Nuc&amp;NonNucMat&amp;AccPay'!$A$1:$J$52</definedName>
    <definedName name="_xlnm.Print_Titles" localSheetId="1">'1. RB-i'!$A:$C,'1. RB-i'!$1:$8</definedName>
    <definedName name="_xlnm.Print_Titles" localSheetId="24">'10a. RB by class'!$A:$A</definedName>
    <definedName name="_xlnm.Print_Titles" localSheetId="25">'10b. Debt Ser by class'!$A:$A</definedName>
    <definedName name="_xlnm.Print_Titles" localSheetId="26">'10c. Cash by class'!$A:$A</definedName>
    <definedName name="_xlnm.Print_Titles" localSheetId="27">'10d-1. Fuel by class'!$A:$A</definedName>
    <definedName name="_xlnm.Print_Titles" localSheetId="28">'10d-2. Trans by class'!$A:$A</definedName>
    <definedName name="_xlnm.Print_Titles" localSheetId="29">'10e. OM excl Fuel by class'!$A:$A</definedName>
    <definedName name="_xlnm.Print_Titles" localSheetId="30">'10f. AG by class'!$A:$A</definedName>
    <definedName name="_xlnm.Print_Titles" localSheetId="31">'10g.Total Op ex by class '!$A:$A</definedName>
    <definedName name="_xlnm.Print_Titles" localSheetId="32">'10h. Int-CD by class'!$A:$A</definedName>
    <definedName name="_xlnm.Print_Titles" localSheetId="33">'10i. STP-DC by class'!$A:$A</definedName>
    <definedName name="_xlnm.Print_Titles" localSheetId="34">'10j. PAYTAX by class'!$A:$A</definedName>
    <definedName name="_xlnm.Print_Titles" localSheetId="35">'10k.G-Tot Exp  by class'!$A:$A</definedName>
    <definedName name="_xlnm.Print_Titles" localSheetId="36">'10l. CP by class'!$A:$A</definedName>
    <definedName name="_xlnm.Print_Titles" localSheetId="37">'10m. Bad debt by class'!$A:$A</definedName>
    <definedName name="_xlnm.Print_Titles" localSheetId="38">'10n. Late Payment by class'!$A:$A</definedName>
    <definedName name="_xlnm.Print_Titles" localSheetId="39">'10o. Other Revenue by class'!$A:$A</definedName>
    <definedName name="_xlnm.Print_Titles" localSheetId="40">'10p. Interest income by class'!$A:$A</definedName>
    <definedName name="_xlnm.Print_Titles" localSheetId="41">'10q. TY summary by class'!$A:$A,'10q. TY summary by class'!$1:$7</definedName>
    <definedName name="_xlnm.Print_Titles" localSheetId="42">'11a. AF by class'!$A:$A</definedName>
    <definedName name="_xlnm.Print_Titles" localSheetId="43">'11b. Dev of cust wghted af'!$A:$A</definedName>
    <definedName name="_xlnm.Print_Titles" localSheetId="44">'11c. Cust &amp; Demand Array'!$A:$A</definedName>
    <definedName name="_xlnm.Print_Titles" localSheetId="45">'12a-1. RevReq by class'!$A:$A</definedName>
    <definedName name="_xlnm.Print_Titles" localSheetId="2">'1a. Funct Factors'!$A:$B,'1a. Funct Factors'!$1:$8</definedName>
    <definedName name="_xlnm.Print_Titles" localSheetId="3">'2a. RB-np'!$A:$C,'2a. RB-np'!$1:$8</definedName>
    <definedName name="_xlnm.Print_Titles" localSheetId="4">'2b. RB-sf'!$A:$C,'2b. RB-sf'!$1:$8</definedName>
    <definedName name="_xlnm.Print_Titles" localSheetId="5">'2c. RB-sfaf'!$A:$B,'2c. RB-sfaf'!$1:$7</definedName>
    <definedName name="_xlnm.Print_Titles" localSheetId="6">'3a. OM_AG-i'!$A:$B,'3a. OM_AG-i'!$1:$7</definedName>
    <definedName name="_xlnm.Print_Titles" localSheetId="7">'3b. OM_AG-sf'!$A:$B,'3b. OM_AG-sf'!$1:$7</definedName>
    <definedName name="_xlnm.Print_Titles" localSheetId="8">'3c. OM_AG-sfaf'!$A:$B,'3c. OM_AG-sfaf'!$1:$7</definedName>
    <definedName name="_xlnm.Print_Titles" localSheetId="9">'4a. OM less M&amp;S'!$A:$B,'4a. OM less M&amp;S'!$1:$7</definedName>
    <definedName name="_xlnm.Print_Titles" localSheetId="10">'4b. OM less M&amp;S-sf'!$A:$C,'4b. OM less M&amp;S-sf'!$1:$7</definedName>
    <definedName name="_xlnm.Print_Titles" localSheetId="11">'5a. DE-i'!$A:$C,'5a. DE-i'!$1:$3</definedName>
    <definedName name="_xlnm.Print_Titles" localSheetId="12">'5b. DE-sf'!$A:$C,'5b. DE-sf'!$1:$2</definedName>
    <definedName name="_xlnm.Print_Titles" localSheetId="13">'6a. OE_OR-i'!$A:$C,'6a. OE_OR-i'!$1:$7</definedName>
    <definedName name="_xlnm.Print_Titles" localSheetId="14">'6b. OE_OR-sf'!$A:$C,'6b. OE_OR-sf'!$1:$7</definedName>
    <definedName name="_xlnm.Print_Titles" localSheetId="15">'6c. OE_OR-sfaf'!$A:$C,'6c. OE_OR-sfaf'!$1:$7</definedName>
    <definedName name="_xlnm.Print_Titles" localSheetId="16">'7a. LX_AG-i'!$A:$C,'7a. LX_AG-i'!$1:$7</definedName>
    <definedName name="_xlnm.Print_Titles" localSheetId="17">'7b. LX_AG-sf'!$A:$C,'7b. LX_AG-sf'!$1:$7</definedName>
    <definedName name="_xlnm.Print_Titles" localSheetId="18">'7c. LX_AG-sfaf'!$A:$C,'7c. LX_AG-sfaf'!$1:$7</definedName>
    <definedName name="_xlnm.Print_Titles" localSheetId="20">'8a. DS-Cash '!$A:$C</definedName>
    <definedName name="_xlnm.Print_Titles" localSheetId="21">'8b.DS-Cash-sf'!$A:$C</definedName>
    <definedName name="_xlnm.Print_Titles" localSheetId="22">'9a. Summary Schedules'!$A:$A</definedName>
    <definedName name="_xlnm.Print_Titles" localSheetId="23">'9b. Summary Schedules-sf'!$A:$C</definedName>
    <definedName name="_xlnm.Print_Titles" localSheetId="0">Index!$1:$3</definedName>
    <definedName name="_xlnm.Print_Titles" localSheetId="46">reconciliation!$1:$3</definedName>
    <definedName name="_xlnm.Print_Titles">#REF!</definedName>
    <definedName name="RawData">#REF!</definedName>
    <definedName name="RawHeader">#REF!</definedName>
    <definedName name="SAPBEXhrIndnt" hidden="1">"Wide"</definedName>
    <definedName name="SAPBEXrevision" hidden="1">13</definedName>
    <definedName name="SAPBEXsysID" hidden="1">"PB1"</definedName>
    <definedName name="SAPBEXwbID" hidden="1">"40MXSQ9J84QSZTXDCL8O67MLC"</definedName>
    <definedName name="SAPsysID" hidden="1">"708C5W7SBKP804JT78WJ0JNKI"</definedName>
    <definedName name="SAPwbID" hidden="1">"ARS"</definedName>
    <definedName name="Sheet1_DataTable">#REF!</definedName>
    <definedName name="SrPIYr">#REF!</definedName>
    <definedName name="StartYear">[5]Assum!$D$144</definedName>
    <definedName name="summary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HKEY">#REF!</definedName>
    <definedName name="TESTKEYS">#REF!</definedName>
    <definedName name="TESTVKEY">#REF!</definedName>
    <definedName name="TwelveMo">#REF!</definedName>
    <definedName name="twelvemop14">#REF!</definedName>
    <definedName name="twelvemop9">#REF!</definedName>
    <definedName name="WindlPriceRawData_DataTable">#REF!</definedName>
    <definedName name="WindPriceRawData_DataTable">#REF!</definedName>
    <definedName name="Wire_Exceptions">#REF!</definedName>
    <definedName name="Wires___0_totals_details">#REF!</definedName>
    <definedName name="Wires___0_totals_per_wire">#REF!</definedName>
    <definedName name="Wires___25000_in_total">#REF!</definedName>
    <definedName name="Wires_Reverse_Clearing">#REF!</definedName>
    <definedName name="YTD">#REF!</definedName>
    <definedName name="ytdp14">#REF!</definedName>
    <definedName name="ytdp9">#REF!</definedName>
    <definedName name="Z_121E4431_22F3_11D5_8242_00600818425F_.wvu.Cols" localSheetId="3" hidden="1">'2a. RB-np'!$I:$I</definedName>
    <definedName name="Z_121E4431_22F3_11D5_8242_00600818425F_.wvu.Cols" localSheetId="6" hidden="1">'3a. OM_AG-i'!$I:$I</definedName>
    <definedName name="Z_121E4431_22F3_11D5_8242_00600818425F_.wvu.Cols" localSheetId="11" hidden="1">'5a. DE-i'!$I:$I</definedName>
    <definedName name="Z_121E4431_22F3_11D5_8242_00600818425F_.wvu.Cols" localSheetId="13" hidden="1">'6a. OE_OR-i'!$I:$I</definedName>
    <definedName name="Z_121E4431_22F3_11D5_8242_00600818425F_.wvu.PrintArea" localSheetId="1" hidden="1">'1. RB-i'!$A$1:$Q$469</definedName>
    <definedName name="Z_121E4431_22F3_11D5_8242_00600818425F_.wvu.PrintArea" localSheetId="24" hidden="1">'10a. RB by class'!$A$1:$N$62</definedName>
    <definedName name="Z_121E4431_22F3_11D5_8242_00600818425F_.wvu.PrintArea" localSheetId="25" hidden="1">'10b. Debt Ser by class'!$A$1:$N$62</definedName>
    <definedName name="Z_121E4431_22F3_11D5_8242_00600818425F_.wvu.PrintArea" localSheetId="26" hidden="1">'10c. Cash by class'!$A$1:$N$62</definedName>
    <definedName name="Z_121E4431_22F3_11D5_8242_00600818425F_.wvu.PrintArea" localSheetId="27" hidden="1">'10d-1. Fuel by class'!$A$1:$N$62</definedName>
    <definedName name="Z_121E4431_22F3_11D5_8242_00600818425F_.wvu.PrintArea" localSheetId="28" hidden="1">'10d-2. Trans by class'!$A$1:$N$62</definedName>
    <definedName name="Z_121E4431_22F3_11D5_8242_00600818425F_.wvu.PrintArea" localSheetId="29" hidden="1">'10e. OM excl Fuel by class'!$A$1:$N$62</definedName>
    <definedName name="Z_121E4431_22F3_11D5_8242_00600818425F_.wvu.PrintArea" localSheetId="30" hidden="1">'10f. AG by class'!$A$1:$N$62</definedName>
    <definedName name="Z_121E4431_22F3_11D5_8242_00600818425F_.wvu.PrintArea" localSheetId="31" hidden="1">'10g.Total Op ex by class '!$A$1:$N$62</definedName>
    <definedName name="Z_121E4431_22F3_11D5_8242_00600818425F_.wvu.PrintArea" localSheetId="32" hidden="1">'10h. Int-CD by class'!$A$1:$N$62</definedName>
    <definedName name="Z_121E4431_22F3_11D5_8242_00600818425F_.wvu.PrintArea" localSheetId="33" hidden="1">'10i. STP-DC by class'!$A$1:$N$62</definedName>
    <definedName name="Z_121E4431_22F3_11D5_8242_00600818425F_.wvu.PrintArea" localSheetId="34" hidden="1">'10j. PAYTAX by class'!$A$1:$N$62</definedName>
    <definedName name="Z_121E4431_22F3_11D5_8242_00600818425F_.wvu.PrintArea" localSheetId="35" hidden="1">'10k.G-Tot Exp  by class'!$A$1:$N$62</definedName>
    <definedName name="Z_121E4431_22F3_11D5_8242_00600818425F_.wvu.PrintArea" localSheetId="36" hidden="1">'10l. CP by class'!$A$1:$N$62</definedName>
    <definedName name="Z_121E4431_22F3_11D5_8242_00600818425F_.wvu.PrintArea" localSheetId="37" hidden="1">'10m. Bad debt by class'!$A$1:$N$62</definedName>
    <definedName name="Z_121E4431_22F3_11D5_8242_00600818425F_.wvu.PrintArea" localSheetId="38" hidden="1">'10n. Late Payment by class'!$A$1:$N$62</definedName>
    <definedName name="Z_121E4431_22F3_11D5_8242_00600818425F_.wvu.PrintArea" localSheetId="39" hidden="1">'10o. Other Revenue by class'!$A$1:$N$62</definedName>
    <definedName name="Z_121E4431_22F3_11D5_8242_00600818425F_.wvu.PrintArea" localSheetId="40" hidden="1">'10p. Interest income by class'!$A$1:$N$62</definedName>
    <definedName name="Z_121E4431_22F3_11D5_8242_00600818425F_.wvu.PrintArea" localSheetId="41" hidden="1">'10q. TY summary by class'!$A$1:$N$30</definedName>
    <definedName name="Z_121E4431_22F3_11D5_8242_00600818425F_.wvu.PrintArea" localSheetId="42" hidden="1">'11a. AF by class'!$A$1:$N$56</definedName>
    <definedName name="Z_121E4431_22F3_11D5_8242_00600818425F_.wvu.PrintArea" localSheetId="43" hidden="1">'11b. Dev of cust wghted af'!$A$1:$N$40</definedName>
    <definedName name="Z_121E4431_22F3_11D5_8242_00600818425F_.wvu.PrintArea" localSheetId="44" hidden="1">'11c. Cust &amp; Demand Array'!$A$1:$N$39</definedName>
    <definedName name="Z_121E4431_22F3_11D5_8242_00600818425F_.wvu.PrintArea" localSheetId="2" hidden="1">'1a. Funct Factors'!$A$1:$R$12</definedName>
    <definedName name="Z_121E4431_22F3_11D5_8242_00600818425F_.wvu.PrintArea" localSheetId="3" hidden="1">'2a. RB-np'!$A$1:$Q$197</definedName>
    <definedName name="Z_121E4431_22F3_11D5_8242_00600818425F_.wvu.PrintArea" localSheetId="4" hidden="1">'2b. RB-sf'!$A$1:$AH$198</definedName>
    <definedName name="Z_121E4431_22F3_11D5_8242_00600818425F_.wvu.PrintArea" localSheetId="5" hidden="1">'2c. RB-sfaf'!$A$1:$AJ$196</definedName>
    <definedName name="Z_121E4431_22F3_11D5_8242_00600818425F_.wvu.PrintArea" localSheetId="6" hidden="1">'3a. OM_AG-i'!$A$1:$Q$280</definedName>
    <definedName name="Z_121E4431_22F3_11D5_8242_00600818425F_.wvu.PrintArea" localSheetId="7" hidden="1">'3b. OM_AG-sf'!$A$1:$AH$280</definedName>
    <definedName name="Z_121E4431_22F3_11D5_8242_00600818425F_.wvu.PrintArea" localSheetId="8" hidden="1">'3c. OM_AG-sfaf'!$A$1:$AH$280</definedName>
    <definedName name="Z_121E4431_22F3_11D5_8242_00600818425F_.wvu.PrintArea" localSheetId="9" hidden="1">'4a. OM less M&amp;S'!$A$1:$Q$285</definedName>
    <definedName name="Z_121E4431_22F3_11D5_8242_00600818425F_.wvu.PrintArea" localSheetId="10" hidden="1">'4b. OM less M&amp;S-sf'!$A$1:$AH$285</definedName>
    <definedName name="Z_121E4431_22F3_11D5_8242_00600818425F_.wvu.PrintArea" localSheetId="11" hidden="1">'5a. DE-i'!$A$1:$R$3</definedName>
    <definedName name="Z_121E4431_22F3_11D5_8242_00600818425F_.wvu.PrintArea" localSheetId="12" hidden="1">'5b. DE-sf'!$A$1:$AM$2</definedName>
    <definedName name="Z_121E4431_22F3_11D5_8242_00600818425F_.wvu.PrintArea" localSheetId="13" hidden="1">'6a. OE_OR-i'!$A$1:$Q$121</definedName>
    <definedName name="Z_121E4431_22F3_11D5_8242_00600818425F_.wvu.PrintArea" localSheetId="14" hidden="1">'6b. OE_OR-sf'!$A$1:$AH$116</definedName>
    <definedName name="Z_121E4431_22F3_11D5_8242_00600818425F_.wvu.PrintArea" localSheetId="15" hidden="1">'6c. OE_OR-sfaf'!$A$1:$AH$117</definedName>
    <definedName name="Z_121E4431_22F3_11D5_8242_00600818425F_.wvu.PrintArea" localSheetId="16" hidden="1">'7a. LX_AG-i'!$A$1:$Q$278</definedName>
    <definedName name="Z_121E4431_22F3_11D5_8242_00600818425F_.wvu.PrintArea" localSheetId="17" hidden="1">'7b. LX_AG-sf'!$A$1:$AH$277</definedName>
    <definedName name="Z_121E4431_22F3_11D5_8242_00600818425F_.wvu.PrintArea" localSheetId="18" hidden="1">'7c. LX_AG-sfaf'!$A$1:$AH$277</definedName>
    <definedName name="Z_121E4431_22F3_11D5_8242_00600818425F_.wvu.PrintArea" localSheetId="21" hidden="1">'8b.DS-Cash-sf'!$A$1:$AH$29</definedName>
    <definedName name="Z_121E4431_22F3_11D5_8242_00600818425F_.wvu.PrintTitles" localSheetId="1" hidden="1">'1. RB-i'!$A:$C,'1. RB-i'!$1:$8</definedName>
    <definedName name="Z_121E4431_22F3_11D5_8242_00600818425F_.wvu.PrintTitles" localSheetId="24" hidden="1">'10a. RB by class'!$A:$A</definedName>
    <definedName name="Z_121E4431_22F3_11D5_8242_00600818425F_.wvu.PrintTitles" localSheetId="25" hidden="1">'10b. Debt Ser by class'!$A:$A</definedName>
    <definedName name="Z_121E4431_22F3_11D5_8242_00600818425F_.wvu.PrintTitles" localSheetId="26" hidden="1">'10c. Cash by class'!$A:$A</definedName>
    <definedName name="Z_121E4431_22F3_11D5_8242_00600818425F_.wvu.PrintTitles" localSheetId="27" hidden="1">'10d-1. Fuel by class'!$A:$A</definedName>
    <definedName name="Z_121E4431_22F3_11D5_8242_00600818425F_.wvu.PrintTitles" localSheetId="28" hidden="1">'10d-2. Trans by class'!$A:$A</definedName>
    <definedName name="Z_121E4431_22F3_11D5_8242_00600818425F_.wvu.PrintTitles" localSheetId="29" hidden="1">'10e. OM excl Fuel by class'!$A:$A</definedName>
    <definedName name="Z_121E4431_22F3_11D5_8242_00600818425F_.wvu.PrintTitles" localSheetId="30" hidden="1">'10f. AG by class'!$A:$A</definedName>
    <definedName name="Z_121E4431_22F3_11D5_8242_00600818425F_.wvu.PrintTitles" localSheetId="31" hidden="1">'10g.Total Op ex by class '!$A:$A</definedName>
    <definedName name="Z_121E4431_22F3_11D5_8242_00600818425F_.wvu.PrintTitles" localSheetId="32" hidden="1">'10h. Int-CD by class'!$A:$A</definedName>
    <definedName name="Z_121E4431_22F3_11D5_8242_00600818425F_.wvu.PrintTitles" localSheetId="33" hidden="1">'10i. STP-DC by class'!$A:$A</definedName>
    <definedName name="Z_121E4431_22F3_11D5_8242_00600818425F_.wvu.PrintTitles" localSheetId="34" hidden="1">'10j. PAYTAX by class'!$A:$A</definedName>
    <definedName name="Z_121E4431_22F3_11D5_8242_00600818425F_.wvu.PrintTitles" localSheetId="35" hidden="1">'10k.G-Tot Exp  by class'!$A:$A</definedName>
    <definedName name="Z_121E4431_22F3_11D5_8242_00600818425F_.wvu.PrintTitles" localSheetId="36" hidden="1">'10l. CP by class'!$A:$A</definedName>
    <definedName name="Z_121E4431_22F3_11D5_8242_00600818425F_.wvu.PrintTitles" localSheetId="37" hidden="1">'10m. Bad debt by class'!$A:$A</definedName>
    <definedName name="Z_121E4431_22F3_11D5_8242_00600818425F_.wvu.PrintTitles" localSheetId="38" hidden="1">'10n. Late Payment by class'!$A:$A</definedName>
    <definedName name="Z_121E4431_22F3_11D5_8242_00600818425F_.wvu.PrintTitles" localSheetId="39" hidden="1">'10o. Other Revenue by class'!$A:$A</definedName>
    <definedName name="Z_121E4431_22F3_11D5_8242_00600818425F_.wvu.PrintTitles" localSheetId="40" hidden="1">'10p. Interest income by class'!$A:$A</definedName>
    <definedName name="Z_121E4431_22F3_11D5_8242_00600818425F_.wvu.PrintTitles" localSheetId="41" hidden="1">'10q. TY summary by class'!$A:$A</definedName>
    <definedName name="Z_121E4431_22F3_11D5_8242_00600818425F_.wvu.PrintTitles" localSheetId="42" hidden="1">'11a. AF by class'!$A:$A</definedName>
    <definedName name="Z_121E4431_22F3_11D5_8242_00600818425F_.wvu.PrintTitles" localSheetId="43" hidden="1">'11b. Dev of cust wghted af'!$A:$A</definedName>
    <definedName name="Z_121E4431_22F3_11D5_8242_00600818425F_.wvu.PrintTitles" localSheetId="44" hidden="1">'11c. Cust &amp; Demand Array'!$A:$A</definedName>
    <definedName name="Z_121E4431_22F3_11D5_8242_00600818425F_.wvu.PrintTitles" localSheetId="45" hidden="1">'12a-1. RevReq by class'!$A:$A</definedName>
    <definedName name="Z_121E4431_22F3_11D5_8242_00600818425F_.wvu.PrintTitles" localSheetId="2" hidden="1">'1a. Funct Factors'!$A:$B,'1a. Funct Factors'!$1:$8</definedName>
    <definedName name="Z_121E4431_22F3_11D5_8242_00600818425F_.wvu.PrintTitles" localSheetId="3" hidden="1">'2a. RB-np'!$A:$C,'2a. RB-np'!$1:$8</definedName>
    <definedName name="Z_121E4431_22F3_11D5_8242_00600818425F_.wvu.PrintTitles" localSheetId="4" hidden="1">'2b. RB-sf'!$A:$C,'2b. RB-sf'!$1:$8</definedName>
    <definedName name="Z_121E4431_22F3_11D5_8242_00600818425F_.wvu.PrintTitles" localSheetId="5" hidden="1">'2c. RB-sfaf'!$A:$B,'2c. RB-sfaf'!$1:$7</definedName>
    <definedName name="Z_121E4431_22F3_11D5_8242_00600818425F_.wvu.PrintTitles" localSheetId="6" hidden="1">'3a. OM_AG-i'!$A:$B,'3a. OM_AG-i'!$1:$7</definedName>
    <definedName name="Z_121E4431_22F3_11D5_8242_00600818425F_.wvu.PrintTitles" localSheetId="7" hidden="1">'3b. OM_AG-sf'!$A:$B,'3b. OM_AG-sf'!$1:$7</definedName>
    <definedName name="Z_121E4431_22F3_11D5_8242_00600818425F_.wvu.PrintTitles" localSheetId="8" hidden="1">'3c. OM_AG-sfaf'!$A:$B,'3c. OM_AG-sfaf'!$1:$7</definedName>
    <definedName name="Z_121E4431_22F3_11D5_8242_00600818425F_.wvu.PrintTitles" localSheetId="9" hidden="1">'4a. OM less M&amp;S'!$A:$B,'4a. OM less M&amp;S'!$1:$7</definedName>
    <definedName name="Z_121E4431_22F3_11D5_8242_00600818425F_.wvu.PrintTitles" localSheetId="10" hidden="1">'4b. OM less M&amp;S-sf'!$A:$C,'4b. OM less M&amp;S-sf'!$1:$7</definedName>
    <definedName name="Z_121E4431_22F3_11D5_8242_00600818425F_.wvu.PrintTitles" localSheetId="11" hidden="1">'5a. DE-i'!$A:$C,'5a. DE-i'!$1:$3</definedName>
    <definedName name="Z_121E4431_22F3_11D5_8242_00600818425F_.wvu.PrintTitles" localSheetId="12" hidden="1">'5b. DE-sf'!$A:$C,'5b. DE-sf'!$1:$2</definedName>
    <definedName name="Z_121E4431_22F3_11D5_8242_00600818425F_.wvu.PrintTitles" localSheetId="13" hidden="1">'6a. OE_OR-i'!$A:$C,'6a. OE_OR-i'!$1:$7</definedName>
    <definedName name="Z_121E4431_22F3_11D5_8242_00600818425F_.wvu.PrintTitles" localSheetId="14" hidden="1">'6b. OE_OR-sf'!$A:$C,'6b. OE_OR-sf'!$1:$7</definedName>
    <definedName name="Z_121E4431_22F3_11D5_8242_00600818425F_.wvu.PrintTitles" localSheetId="15" hidden="1">'6c. OE_OR-sfaf'!$A:$C,'6c. OE_OR-sfaf'!$1:$7</definedName>
    <definedName name="Z_121E4431_22F3_11D5_8242_00600818425F_.wvu.PrintTitles" localSheetId="16" hidden="1">'7a. LX_AG-i'!$A:$C,'7a. LX_AG-i'!$1:$7</definedName>
    <definedName name="Z_121E4431_22F3_11D5_8242_00600818425F_.wvu.PrintTitles" localSheetId="17" hidden="1">'7b. LX_AG-sf'!$A:$C,'7b. LX_AG-sf'!$1:$7</definedName>
    <definedName name="Z_121E4431_22F3_11D5_8242_00600818425F_.wvu.PrintTitles" localSheetId="18" hidden="1">'7c. LX_AG-sfaf'!$A:$C,'7c. LX_AG-sfaf'!$1:$7</definedName>
    <definedName name="Z_121E4431_22F3_11D5_8242_00600818425F_.wvu.PrintTitles" localSheetId="20" hidden="1">'8a. DS-Cash '!$A:$C</definedName>
    <definedName name="Z_121E4431_22F3_11D5_8242_00600818425F_.wvu.PrintTitles" localSheetId="21" hidden="1">'8b.DS-Cash-sf'!$A:$C</definedName>
    <definedName name="Z_121E4431_22F3_11D5_8242_00600818425F_.wvu.PrintTitles" localSheetId="22" hidden="1">'9a. Summary Schedules'!$A:$A</definedName>
    <definedName name="Z_121E4431_22F3_11D5_8242_00600818425F_.wvu.PrintTitles" localSheetId="23" hidden="1">'9b. Summary Schedules-sf'!$A:$B</definedName>
    <definedName name="Z_26EFD302_2526_11D5_9AB1_0060975861A8_.wvu.Cols" localSheetId="1" hidden="1">'1. RB-i'!$I:$I</definedName>
    <definedName name="Z_26EFD302_2526_11D5_9AB1_0060975861A8_.wvu.Cols" localSheetId="2" hidden="1">'1a. Funct Factors'!$J:$J</definedName>
    <definedName name="Z_26EFD302_2526_11D5_9AB1_0060975861A8_.wvu.Cols" localSheetId="3" hidden="1">'2a. RB-np'!$I:$I</definedName>
    <definedName name="Z_26EFD302_2526_11D5_9AB1_0060975861A8_.wvu.Cols" localSheetId="6" hidden="1">'3a. OM_AG-i'!$I:$I</definedName>
    <definedName name="Z_26EFD302_2526_11D5_9AB1_0060975861A8_.wvu.Cols" localSheetId="9" hidden="1">'4a. OM less M&amp;S'!$I:$I</definedName>
    <definedName name="Z_26EFD302_2526_11D5_9AB1_0060975861A8_.wvu.Cols" localSheetId="11" hidden="1">'5a. DE-i'!$I:$I</definedName>
    <definedName name="Z_26EFD302_2526_11D5_9AB1_0060975861A8_.wvu.Cols" localSheetId="13" hidden="1">'6a. OE_OR-i'!$I:$I</definedName>
    <definedName name="Z_26EFD302_2526_11D5_9AB1_0060975861A8_.wvu.PrintArea" localSheetId="1" hidden="1">'1. RB-i'!$A$1:$Q$469</definedName>
    <definedName name="Z_26EFD302_2526_11D5_9AB1_0060975861A8_.wvu.PrintArea" localSheetId="24" hidden="1">'10a. RB by class'!$A$1:$N$62</definedName>
    <definedName name="Z_26EFD302_2526_11D5_9AB1_0060975861A8_.wvu.PrintArea" localSheetId="25" hidden="1">'10b. Debt Ser by class'!$A$1:$N$62</definedName>
    <definedName name="Z_26EFD302_2526_11D5_9AB1_0060975861A8_.wvu.PrintArea" localSheetId="26" hidden="1">'10c. Cash by class'!$A$1:$N$62</definedName>
    <definedName name="Z_26EFD302_2526_11D5_9AB1_0060975861A8_.wvu.PrintArea" localSheetId="27" hidden="1">'10d-1. Fuel by class'!$A$1:$N$62</definedName>
    <definedName name="Z_26EFD302_2526_11D5_9AB1_0060975861A8_.wvu.PrintArea" localSheetId="28" hidden="1">'10d-2. Trans by class'!$A$1:$N$62</definedName>
    <definedName name="Z_26EFD302_2526_11D5_9AB1_0060975861A8_.wvu.PrintArea" localSheetId="29" hidden="1">'10e. OM excl Fuel by class'!$A$1:$N$62</definedName>
    <definedName name="Z_26EFD302_2526_11D5_9AB1_0060975861A8_.wvu.PrintArea" localSheetId="30" hidden="1">'10f. AG by class'!$A$1:$N$62</definedName>
    <definedName name="Z_26EFD302_2526_11D5_9AB1_0060975861A8_.wvu.PrintArea" localSheetId="31" hidden="1">'10g.Total Op ex by class '!$A$1:$N$62</definedName>
    <definedName name="Z_26EFD302_2526_11D5_9AB1_0060975861A8_.wvu.PrintArea" localSheetId="32" hidden="1">'10h. Int-CD by class'!$A$1:$N$62</definedName>
    <definedName name="Z_26EFD302_2526_11D5_9AB1_0060975861A8_.wvu.PrintArea" localSheetId="33" hidden="1">'10i. STP-DC by class'!$A$1:$N$62</definedName>
    <definedName name="Z_26EFD302_2526_11D5_9AB1_0060975861A8_.wvu.PrintArea" localSheetId="34" hidden="1">'10j. PAYTAX by class'!$A$1:$N$62</definedName>
    <definedName name="Z_26EFD302_2526_11D5_9AB1_0060975861A8_.wvu.PrintArea" localSheetId="35" hidden="1">'10k.G-Tot Exp  by class'!$A$1:$N$62</definedName>
    <definedName name="Z_26EFD302_2526_11D5_9AB1_0060975861A8_.wvu.PrintArea" localSheetId="36" hidden="1">'10l. CP by class'!$A$1:$N$62</definedName>
    <definedName name="Z_26EFD302_2526_11D5_9AB1_0060975861A8_.wvu.PrintArea" localSheetId="37" hidden="1">'10m. Bad debt by class'!$A$1:$N$62</definedName>
    <definedName name="Z_26EFD302_2526_11D5_9AB1_0060975861A8_.wvu.PrintArea" localSheetId="38" hidden="1">'10n. Late Payment by class'!$A$1:$N$62</definedName>
    <definedName name="Z_26EFD302_2526_11D5_9AB1_0060975861A8_.wvu.PrintArea" localSheetId="39" hidden="1">'10o. Other Revenue by class'!$A$1:$N$62</definedName>
    <definedName name="Z_26EFD302_2526_11D5_9AB1_0060975861A8_.wvu.PrintArea" localSheetId="40" hidden="1">'10p. Interest income by class'!$A$1:$N$62</definedName>
    <definedName name="Z_26EFD302_2526_11D5_9AB1_0060975861A8_.wvu.PrintArea" localSheetId="41" hidden="1">'10q. TY summary by class'!$A$1:$N$30</definedName>
    <definedName name="Z_26EFD302_2526_11D5_9AB1_0060975861A8_.wvu.PrintArea" localSheetId="42" hidden="1">'11a. AF by class'!$A$1:$N$56</definedName>
    <definedName name="Z_26EFD302_2526_11D5_9AB1_0060975861A8_.wvu.PrintArea" localSheetId="43" hidden="1">'11b. Dev of cust wghted af'!$A$1:$N$40</definedName>
    <definedName name="Z_26EFD302_2526_11D5_9AB1_0060975861A8_.wvu.PrintArea" localSheetId="44" hidden="1">'11c. Cust &amp; Demand Array'!$A$1:$N$39</definedName>
    <definedName name="Z_26EFD302_2526_11D5_9AB1_0060975861A8_.wvu.PrintArea" localSheetId="2" hidden="1">'1a. Funct Factors'!$A$1:$R$12</definedName>
    <definedName name="Z_26EFD302_2526_11D5_9AB1_0060975861A8_.wvu.PrintArea" localSheetId="3" hidden="1">'2a. RB-np'!$A$1:$Q$197</definedName>
    <definedName name="Z_26EFD302_2526_11D5_9AB1_0060975861A8_.wvu.PrintArea" localSheetId="4" hidden="1">'2b. RB-sf'!$A$1:$AH$198</definedName>
    <definedName name="Z_26EFD302_2526_11D5_9AB1_0060975861A8_.wvu.PrintArea" localSheetId="5" hidden="1">'2c. RB-sfaf'!$A$1:$AJ$196</definedName>
    <definedName name="Z_26EFD302_2526_11D5_9AB1_0060975861A8_.wvu.PrintArea" localSheetId="6" hidden="1">'3a. OM_AG-i'!$A$1:$Q$280</definedName>
    <definedName name="Z_26EFD302_2526_11D5_9AB1_0060975861A8_.wvu.PrintArea" localSheetId="7" hidden="1">'3b. OM_AG-sf'!$A$1:$AH$280</definedName>
    <definedName name="Z_26EFD302_2526_11D5_9AB1_0060975861A8_.wvu.PrintArea" localSheetId="8" hidden="1">'3c. OM_AG-sfaf'!$A$1:$AH$280</definedName>
    <definedName name="Z_26EFD302_2526_11D5_9AB1_0060975861A8_.wvu.PrintArea" localSheetId="9" hidden="1">'4a. OM less M&amp;S'!$A$1:$Q$285</definedName>
    <definedName name="Z_26EFD302_2526_11D5_9AB1_0060975861A8_.wvu.PrintArea" localSheetId="10" hidden="1">'4b. OM less M&amp;S-sf'!$A$1:$AH$285</definedName>
    <definedName name="Z_26EFD302_2526_11D5_9AB1_0060975861A8_.wvu.PrintArea" localSheetId="11" hidden="1">'5a. DE-i'!$A$1:$R$3</definedName>
    <definedName name="Z_26EFD302_2526_11D5_9AB1_0060975861A8_.wvu.PrintArea" localSheetId="12" hidden="1">'5b. DE-sf'!$A$1:$AM$2</definedName>
    <definedName name="Z_26EFD302_2526_11D5_9AB1_0060975861A8_.wvu.PrintArea" localSheetId="13" hidden="1">'6a. OE_OR-i'!$A$1:$Q$121</definedName>
    <definedName name="Z_26EFD302_2526_11D5_9AB1_0060975861A8_.wvu.PrintArea" localSheetId="14" hidden="1">'6b. OE_OR-sf'!$A$1:$AH$116</definedName>
    <definedName name="Z_26EFD302_2526_11D5_9AB1_0060975861A8_.wvu.PrintArea" localSheetId="15" hidden="1">'6c. OE_OR-sfaf'!$A$1:$AH$117</definedName>
    <definedName name="Z_26EFD302_2526_11D5_9AB1_0060975861A8_.wvu.PrintArea" localSheetId="16" hidden="1">'7a. LX_AG-i'!$A$1:$Q$278</definedName>
    <definedName name="Z_26EFD302_2526_11D5_9AB1_0060975861A8_.wvu.PrintArea" localSheetId="17" hidden="1">'7b. LX_AG-sf'!$A$1:$AH$277</definedName>
    <definedName name="Z_26EFD302_2526_11D5_9AB1_0060975861A8_.wvu.PrintArea" localSheetId="18" hidden="1">'7c. LX_AG-sfaf'!$A$1:$AH$277</definedName>
    <definedName name="Z_26EFD302_2526_11D5_9AB1_0060975861A8_.wvu.PrintArea" localSheetId="21" hidden="1">'8b.DS-Cash-sf'!$A$1:$AH$29</definedName>
    <definedName name="Z_26EFD302_2526_11D5_9AB1_0060975861A8_.wvu.PrintTitles" localSheetId="1" hidden="1">'1. RB-i'!$A:$C,'1. RB-i'!$1:$8</definedName>
    <definedName name="Z_26EFD302_2526_11D5_9AB1_0060975861A8_.wvu.PrintTitles" localSheetId="24" hidden="1">'10a. RB by class'!$A:$A</definedName>
    <definedName name="Z_26EFD302_2526_11D5_9AB1_0060975861A8_.wvu.PrintTitles" localSheetId="25" hidden="1">'10b. Debt Ser by class'!$A:$A</definedName>
    <definedName name="Z_26EFD302_2526_11D5_9AB1_0060975861A8_.wvu.PrintTitles" localSheetId="26" hidden="1">'10c. Cash by class'!$A:$A</definedName>
    <definedName name="Z_26EFD302_2526_11D5_9AB1_0060975861A8_.wvu.PrintTitles" localSheetId="27" hidden="1">'10d-1. Fuel by class'!$A:$A</definedName>
    <definedName name="Z_26EFD302_2526_11D5_9AB1_0060975861A8_.wvu.PrintTitles" localSheetId="28" hidden="1">'10d-2. Trans by class'!$A:$A</definedName>
    <definedName name="Z_26EFD302_2526_11D5_9AB1_0060975861A8_.wvu.PrintTitles" localSheetId="29" hidden="1">'10e. OM excl Fuel by class'!$A:$A</definedName>
    <definedName name="Z_26EFD302_2526_11D5_9AB1_0060975861A8_.wvu.PrintTitles" localSheetId="30" hidden="1">'10f. AG by class'!$A:$A</definedName>
    <definedName name="Z_26EFD302_2526_11D5_9AB1_0060975861A8_.wvu.PrintTitles" localSheetId="31" hidden="1">'10g.Total Op ex by class '!$A:$A</definedName>
    <definedName name="Z_26EFD302_2526_11D5_9AB1_0060975861A8_.wvu.PrintTitles" localSheetId="32" hidden="1">'10h. Int-CD by class'!$A:$A</definedName>
    <definedName name="Z_26EFD302_2526_11D5_9AB1_0060975861A8_.wvu.PrintTitles" localSheetId="33" hidden="1">'10i. STP-DC by class'!$A:$A</definedName>
    <definedName name="Z_26EFD302_2526_11D5_9AB1_0060975861A8_.wvu.PrintTitles" localSheetId="34" hidden="1">'10j. PAYTAX by class'!$A:$A</definedName>
    <definedName name="Z_26EFD302_2526_11D5_9AB1_0060975861A8_.wvu.PrintTitles" localSheetId="35" hidden="1">'10k.G-Tot Exp  by class'!$A:$A</definedName>
    <definedName name="Z_26EFD302_2526_11D5_9AB1_0060975861A8_.wvu.PrintTitles" localSheetId="36" hidden="1">'10l. CP by class'!$A:$A</definedName>
    <definedName name="Z_26EFD302_2526_11D5_9AB1_0060975861A8_.wvu.PrintTitles" localSheetId="37" hidden="1">'10m. Bad debt by class'!$A:$A</definedName>
    <definedName name="Z_26EFD302_2526_11D5_9AB1_0060975861A8_.wvu.PrintTitles" localSheetId="38" hidden="1">'10n. Late Payment by class'!$A:$A</definedName>
    <definedName name="Z_26EFD302_2526_11D5_9AB1_0060975861A8_.wvu.PrintTitles" localSheetId="39" hidden="1">'10o. Other Revenue by class'!$A:$A</definedName>
    <definedName name="Z_26EFD302_2526_11D5_9AB1_0060975861A8_.wvu.PrintTitles" localSheetId="40" hidden="1">'10p. Interest income by class'!$A:$A</definedName>
    <definedName name="Z_26EFD302_2526_11D5_9AB1_0060975861A8_.wvu.PrintTitles" localSheetId="41" hidden="1">'10q. TY summary by class'!$A:$A</definedName>
    <definedName name="Z_26EFD302_2526_11D5_9AB1_0060975861A8_.wvu.PrintTitles" localSheetId="42" hidden="1">'11a. AF by class'!$A:$A</definedName>
    <definedName name="Z_26EFD302_2526_11D5_9AB1_0060975861A8_.wvu.PrintTitles" localSheetId="43" hidden="1">'11b. Dev of cust wghted af'!$A:$A</definedName>
    <definedName name="Z_26EFD302_2526_11D5_9AB1_0060975861A8_.wvu.PrintTitles" localSheetId="44" hidden="1">'11c. Cust &amp; Demand Array'!$A:$A</definedName>
    <definedName name="Z_26EFD302_2526_11D5_9AB1_0060975861A8_.wvu.PrintTitles" localSheetId="45" hidden="1">'12a-1. RevReq by class'!$A:$A</definedName>
    <definedName name="Z_26EFD302_2526_11D5_9AB1_0060975861A8_.wvu.PrintTitles" localSheetId="2" hidden="1">'1a. Funct Factors'!$A:$B,'1a. Funct Factors'!$1:$8</definedName>
    <definedName name="Z_26EFD302_2526_11D5_9AB1_0060975861A8_.wvu.PrintTitles" localSheetId="3" hidden="1">'2a. RB-np'!$A:$C,'2a. RB-np'!$1:$8</definedName>
    <definedName name="Z_26EFD302_2526_11D5_9AB1_0060975861A8_.wvu.PrintTitles" localSheetId="4" hidden="1">'2b. RB-sf'!$A:$C,'2b. RB-sf'!$1:$8</definedName>
    <definedName name="Z_26EFD302_2526_11D5_9AB1_0060975861A8_.wvu.PrintTitles" localSheetId="5" hidden="1">'2c. RB-sfaf'!$A:$B,'2c. RB-sfaf'!$1:$7</definedName>
    <definedName name="Z_26EFD302_2526_11D5_9AB1_0060975861A8_.wvu.PrintTitles" localSheetId="6" hidden="1">'3a. OM_AG-i'!$A:$B,'3a. OM_AG-i'!$1:$7</definedName>
    <definedName name="Z_26EFD302_2526_11D5_9AB1_0060975861A8_.wvu.PrintTitles" localSheetId="7" hidden="1">'3b. OM_AG-sf'!$A:$B,'3b. OM_AG-sf'!$1:$7</definedName>
    <definedName name="Z_26EFD302_2526_11D5_9AB1_0060975861A8_.wvu.PrintTitles" localSheetId="8" hidden="1">'3c. OM_AG-sfaf'!$A:$B,'3c. OM_AG-sfaf'!$1:$7</definedName>
    <definedName name="Z_26EFD302_2526_11D5_9AB1_0060975861A8_.wvu.PrintTitles" localSheetId="9" hidden="1">'4a. OM less M&amp;S'!$A:$B,'4a. OM less M&amp;S'!$1:$7</definedName>
    <definedName name="Z_26EFD302_2526_11D5_9AB1_0060975861A8_.wvu.PrintTitles" localSheetId="10" hidden="1">'4b. OM less M&amp;S-sf'!$A:$C,'4b. OM less M&amp;S-sf'!$1:$7</definedName>
    <definedName name="Z_26EFD302_2526_11D5_9AB1_0060975861A8_.wvu.PrintTitles" localSheetId="11" hidden="1">'5a. DE-i'!$A:$C,'5a. DE-i'!$1:$3</definedName>
    <definedName name="Z_26EFD302_2526_11D5_9AB1_0060975861A8_.wvu.PrintTitles" localSheetId="12" hidden="1">'5b. DE-sf'!$A:$C,'5b. DE-sf'!$1:$2</definedName>
    <definedName name="Z_26EFD302_2526_11D5_9AB1_0060975861A8_.wvu.PrintTitles" localSheetId="13" hidden="1">'6a. OE_OR-i'!$A:$C,'6a. OE_OR-i'!$1:$7</definedName>
    <definedName name="Z_26EFD302_2526_11D5_9AB1_0060975861A8_.wvu.PrintTitles" localSheetId="14" hidden="1">'6b. OE_OR-sf'!$A:$C,'6b. OE_OR-sf'!$1:$7</definedName>
    <definedName name="Z_26EFD302_2526_11D5_9AB1_0060975861A8_.wvu.PrintTitles" localSheetId="15" hidden="1">'6c. OE_OR-sfaf'!$A:$C,'6c. OE_OR-sfaf'!$1:$7</definedName>
    <definedName name="Z_26EFD302_2526_11D5_9AB1_0060975861A8_.wvu.PrintTitles" localSheetId="16" hidden="1">'7a. LX_AG-i'!$A:$C,'7a. LX_AG-i'!$1:$7</definedName>
    <definedName name="Z_26EFD302_2526_11D5_9AB1_0060975861A8_.wvu.PrintTitles" localSheetId="17" hidden="1">'7b. LX_AG-sf'!$A:$C,'7b. LX_AG-sf'!$1:$7</definedName>
    <definedName name="Z_26EFD302_2526_11D5_9AB1_0060975861A8_.wvu.PrintTitles" localSheetId="18" hidden="1">'7c. LX_AG-sfaf'!$A:$C,'7c. LX_AG-sfaf'!$1:$7</definedName>
    <definedName name="Z_26EFD302_2526_11D5_9AB1_0060975861A8_.wvu.PrintTitles" localSheetId="20" hidden="1">'8a. DS-Cash '!$A:$C</definedName>
    <definedName name="Z_26EFD302_2526_11D5_9AB1_0060975861A8_.wvu.PrintTitles" localSheetId="21" hidden="1">'8b.DS-Cash-sf'!$A:$C</definedName>
    <definedName name="Z_26EFD302_2526_11D5_9AB1_0060975861A8_.wvu.PrintTitles" localSheetId="22" hidden="1">'9a. Summary Schedules'!$A:$A</definedName>
    <definedName name="Z_26EFD302_2526_11D5_9AB1_0060975861A8_.wvu.PrintTitles" localSheetId="23" hidden="1">'9b. Summary Schedules-sf'!$A:$B</definedName>
    <definedName name="Z_44D25261_300E_11D5_83AB_006008184210_.wvu.Cols" localSheetId="1" hidden="1">'1. RB-i'!$I:$I</definedName>
    <definedName name="Z_44D25261_300E_11D5_83AB_006008184210_.wvu.Cols" localSheetId="2" hidden="1">'1a. Funct Factors'!$J:$J</definedName>
    <definedName name="Z_44D25261_300E_11D5_83AB_006008184210_.wvu.Cols" localSheetId="3" hidden="1">'2a. RB-np'!$I:$I</definedName>
    <definedName name="Z_44D25261_300E_11D5_83AB_006008184210_.wvu.Cols" localSheetId="6" hidden="1">'3a. OM_AG-i'!$I:$I</definedName>
    <definedName name="Z_44D25261_300E_11D5_83AB_006008184210_.wvu.Cols" localSheetId="9" hidden="1">'4a. OM less M&amp;S'!$I:$I</definedName>
    <definedName name="Z_44D25261_300E_11D5_83AB_006008184210_.wvu.Cols" localSheetId="11" hidden="1">'5a. DE-i'!$I:$I</definedName>
    <definedName name="Z_44D25261_300E_11D5_83AB_006008184210_.wvu.Cols" localSheetId="13" hidden="1">'6a. OE_OR-i'!$I:$I</definedName>
    <definedName name="Z_44D25261_300E_11D5_83AB_006008184210_.wvu.PrintArea" localSheetId="1" hidden="1">'1. RB-i'!$A$1:$Q$469</definedName>
    <definedName name="Z_44D25261_300E_11D5_83AB_006008184210_.wvu.PrintArea" localSheetId="24" hidden="1">'10a. RB by class'!$A$1:$N$62</definedName>
    <definedName name="Z_44D25261_300E_11D5_83AB_006008184210_.wvu.PrintArea" localSheetId="25" hidden="1">'10b. Debt Ser by class'!$A$1:$N$62</definedName>
    <definedName name="Z_44D25261_300E_11D5_83AB_006008184210_.wvu.PrintArea" localSheetId="26" hidden="1">'10c. Cash by class'!$A$1:$N$62</definedName>
    <definedName name="Z_44D25261_300E_11D5_83AB_006008184210_.wvu.PrintArea" localSheetId="27" hidden="1">'10d-1. Fuel by class'!$A$1:$N$62</definedName>
    <definedName name="Z_44D25261_300E_11D5_83AB_006008184210_.wvu.PrintArea" localSheetId="28" hidden="1">'10d-2. Trans by class'!$A$1:$N$62</definedName>
    <definedName name="Z_44D25261_300E_11D5_83AB_006008184210_.wvu.PrintArea" localSheetId="29" hidden="1">'10e. OM excl Fuel by class'!$A$1:$N$62</definedName>
    <definedName name="Z_44D25261_300E_11D5_83AB_006008184210_.wvu.PrintArea" localSheetId="30" hidden="1">'10f. AG by class'!$A$1:$N$62</definedName>
    <definedName name="Z_44D25261_300E_11D5_83AB_006008184210_.wvu.PrintArea" localSheetId="31" hidden="1">'10g.Total Op ex by class '!$A$1:$N$62</definedName>
    <definedName name="Z_44D25261_300E_11D5_83AB_006008184210_.wvu.PrintArea" localSheetId="32" hidden="1">'10h. Int-CD by class'!$A$1:$N$62</definedName>
    <definedName name="Z_44D25261_300E_11D5_83AB_006008184210_.wvu.PrintArea" localSheetId="33" hidden="1">'10i. STP-DC by class'!$A$1:$N$62</definedName>
    <definedName name="Z_44D25261_300E_11D5_83AB_006008184210_.wvu.PrintArea" localSheetId="34" hidden="1">'10j. PAYTAX by class'!$A$1:$N$62</definedName>
    <definedName name="Z_44D25261_300E_11D5_83AB_006008184210_.wvu.PrintArea" localSheetId="35" hidden="1">'10k.G-Tot Exp  by class'!$A$1:$N$62</definedName>
    <definedName name="Z_44D25261_300E_11D5_83AB_006008184210_.wvu.PrintArea" localSheetId="36" hidden="1">'10l. CP by class'!$A$1:$N$62</definedName>
    <definedName name="Z_44D25261_300E_11D5_83AB_006008184210_.wvu.PrintArea" localSheetId="37" hidden="1">'10m. Bad debt by class'!$A$1:$N$62</definedName>
    <definedName name="Z_44D25261_300E_11D5_83AB_006008184210_.wvu.PrintArea" localSheetId="38" hidden="1">'10n. Late Payment by class'!$A$1:$N$62</definedName>
    <definedName name="Z_44D25261_300E_11D5_83AB_006008184210_.wvu.PrintArea" localSheetId="39" hidden="1">'10o. Other Revenue by class'!$A$1:$N$62</definedName>
    <definedName name="Z_44D25261_300E_11D5_83AB_006008184210_.wvu.PrintArea" localSheetId="40" hidden="1">'10p. Interest income by class'!$A$1:$N$62</definedName>
    <definedName name="Z_44D25261_300E_11D5_83AB_006008184210_.wvu.PrintArea" localSheetId="41" hidden="1">'10q. TY summary by class'!$A$1:$N$30</definedName>
    <definedName name="Z_44D25261_300E_11D5_83AB_006008184210_.wvu.PrintArea" localSheetId="42" hidden="1">'11a. AF by class'!$A$1:$N$56</definedName>
    <definedName name="Z_44D25261_300E_11D5_83AB_006008184210_.wvu.PrintArea" localSheetId="43" hidden="1">'11b. Dev of cust wghted af'!$A$1:$N$40</definedName>
    <definedName name="Z_44D25261_300E_11D5_83AB_006008184210_.wvu.PrintArea" localSheetId="44" hidden="1">'11c. Cust &amp; Demand Array'!$A$1:$N$39</definedName>
    <definedName name="Z_44D25261_300E_11D5_83AB_006008184210_.wvu.PrintArea" localSheetId="2" hidden="1">'1a. Funct Factors'!$A$1:$R$12</definedName>
    <definedName name="Z_44D25261_300E_11D5_83AB_006008184210_.wvu.PrintArea" localSheetId="3" hidden="1">'2a. RB-np'!$A$1:$Q$197</definedName>
    <definedName name="Z_44D25261_300E_11D5_83AB_006008184210_.wvu.PrintArea" localSheetId="4" hidden="1">'2b. RB-sf'!$A$1:$AH$198</definedName>
    <definedName name="Z_44D25261_300E_11D5_83AB_006008184210_.wvu.PrintArea" localSheetId="5" hidden="1">'2c. RB-sfaf'!$A$1:$AJ$196</definedName>
    <definedName name="Z_44D25261_300E_11D5_83AB_006008184210_.wvu.PrintArea" localSheetId="6" hidden="1">'3a. OM_AG-i'!$A$1:$Q$280</definedName>
    <definedName name="Z_44D25261_300E_11D5_83AB_006008184210_.wvu.PrintArea" localSheetId="7" hidden="1">'3b. OM_AG-sf'!$A$1:$AH$280</definedName>
    <definedName name="Z_44D25261_300E_11D5_83AB_006008184210_.wvu.PrintArea" localSheetId="8" hidden="1">'3c. OM_AG-sfaf'!$A$1:$AH$280</definedName>
    <definedName name="Z_44D25261_300E_11D5_83AB_006008184210_.wvu.PrintArea" localSheetId="9" hidden="1">'4a. OM less M&amp;S'!$A$1:$Q$285</definedName>
    <definedName name="Z_44D25261_300E_11D5_83AB_006008184210_.wvu.PrintArea" localSheetId="10" hidden="1">'4b. OM less M&amp;S-sf'!$A$1:$AH$285</definedName>
    <definedName name="Z_44D25261_300E_11D5_83AB_006008184210_.wvu.PrintArea" localSheetId="11" hidden="1">'5a. DE-i'!$A$1:$R$3</definedName>
    <definedName name="Z_44D25261_300E_11D5_83AB_006008184210_.wvu.PrintArea" localSheetId="12" hidden="1">'5b. DE-sf'!$A$1:$AM$2</definedName>
    <definedName name="Z_44D25261_300E_11D5_83AB_006008184210_.wvu.PrintArea" localSheetId="13" hidden="1">'6a. OE_OR-i'!$A$1:$Q$121</definedName>
    <definedName name="Z_44D25261_300E_11D5_83AB_006008184210_.wvu.PrintArea" localSheetId="14" hidden="1">'6b. OE_OR-sf'!$A$1:$AH$116</definedName>
    <definedName name="Z_44D25261_300E_11D5_83AB_006008184210_.wvu.PrintArea" localSheetId="15" hidden="1">'6c. OE_OR-sfaf'!$A$1:$AH$117</definedName>
    <definedName name="Z_44D25261_300E_11D5_83AB_006008184210_.wvu.PrintArea" localSheetId="16" hidden="1">'7a. LX_AG-i'!$A$1:$Q$278</definedName>
    <definedName name="Z_44D25261_300E_11D5_83AB_006008184210_.wvu.PrintArea" localSheetId="17" hidden="1">'7b. LX_AG-sf'!$A$1:$AH$277</definedName>
    <definedName name="Z_44D25261_300E_11D5_83AB_006008184210_.wvu.PrintArea" localSheetId="18" hidden="1">'7c. LX_AG-sfaf'!$A$1:$AH$277</definedName>
    <definedName name="Z_44D25261_300E_11D5_83AB_006008184210_.wvu.PrintArea" localSheetId="21" hidden="1">'8b.DS-Cash-sf'!$A$1:$AH$29</definedName>
    <definedName name="Z_44D25261_300E_11D5_83AB_006008184210_.wvu.PrintTitles" localSheetId="1" hidden="1">'1. RB-i'!$A:$C,'1. RB-i'!$1:$8</definedName>
    <definedName name="Z_44D25261_300E_11D5_83AB_006008184210_.wvu.PrintTitles" localSheetId="24" hidden="1">'10a. RB by class'!$A:$A</definedName>
    <definedName name="Z_44D25261_300E_11D5_83AB_006008184210_.wvu.PrintTitles" localSheetId="25" hidden="1">'10b. Debt Ser by class'!$A:$A</definedName>
    <definedName name="Z_44D25261_300E_11D5_83AB_006008184210_.wvu.PrintTitles" localSheetId="26" hidden="1">'10c. Cash by class'!$A:$A</definedName>
    <definedName name="Z_44D25261_300E_11D5_83AB_006008184210_.wvu.PrintTitles" localSheetId="27" hidden="1">'10d-1. Fuel by class'!$A:$A</definedName>
    <definedName name="Z_44D25261_300E_11D5_83AB_006008184210_.wvu.PrintTitles" localSheetId="28" hidden="1">'10d-2. Trans by class'!$A:$A</definedName>
    <definedName name="Z_44D25261_300E_11D5_83AB_006008184210_.wvu.PrintTitles" localSheetId="29" hidden="1">'10e. OM excl Fuel by class'!$A:$A</definedName>
    <definedName name="Z_44D25261_300E_11D5_83AB_006008184210_.wvu.PrintTitles" localSheetId="30" hidden="1">'10f. AG by class'!$A:$A</definedName>
    <definedName name="Z_44D25261_300E_11D5_83AB_006008184210_.wvu.PrintTitles" localSheetId="31" hidden="1">'10g.Total Op ex by class '!$A:$A</definedName>
    <definedName name="Z_44D25261_300E_11D5_83AB_006008184210_.wvu.PrintTitles" localSheetId="32" hidden="1">'10h. Int-CD by class'!$A:$A</definedName>
    <definedName name="Z_44D25261_300E_11D5_83AB_006008184210_.wvu.PrintTitles" localSheetId="33" hidden="1">'10i. STP-DC by class'!$A:$A</definedName>
    <definedName name="Z_44D25261_300E_11D5_83AB_006008184210_.wvu.PrintTitles" localSheetId="34" hidden="1">'10j. PAYTAX by class'!$A:$A</definedName>
    <definedName name="Z_44D25261_300E_11D5_83AB_006008184210_.wvu.PrintTitles" localSheetId="35" hidden="1">'10k.G-Tot Exp  by class'!$A:$A</definedName>
    <definedName name="Z_44D25261_300E_11D5_83AB_006008184210_.wvu.PrintTitles" localSheetId="36" hidden="1">'10l. CP by class'!$A:$A</definedName>
    <definedName name="Z_44D25261_300E_11D5_83AB_006008184210_.wvu.PrintTitles" localSheetId="37" hidden="1">'10m. Bad debt by class'!$A:$A</definedName>
    <definedName name="Z_44D25261_300E_11D5_83AB_006008184210_.wvu.PrintTitles" localSheetId="38" hidden="1">'10n. Late Payment by class'!$A:$A</definedName>
    <definedName name="Z_44D25261_300E_11D5_83AB_006008184210_.wvu.PrintTitles" localSheetId="39" hidden="1">'10o. Other Revenue by class'!$A:$A</definedName>
    <definedName name="Z_44D25261_300E_11D5_83AB_006008184210_.wvu.PrintTitles" localSheetId="40" hidden="1">'10p. Interest income by class'!$A:$A</definedName>
    <definedName name="Z_44D25261_300E_11D5_83AB_006008184210_.wvu.PrintTitles" localSheetId="41" hidden="1">'10q. TY summary by class'!$A:$A</definedName>
    <definedName name="Z_44D25261_300E_11D5_83AB_006008184210_.wvu.PrintTitles" localSheetId="42" hidden="1">'11a. AF by class'!$A:$A</definedName>
    <definedName name="Z_44D25261_300E_11D5_83AB_006008184210_.wvu.PrintTitles" localSheetId="43" hidden="1">'11b. Dev of cust wghted af'!$A:$A</definedName>
    <definedName name="Z_44D25261_300E_11D5_83AB_006008184210_.wvu.PrintTitles" localSheetId="44" hidden="1">'11c. Cust &amp; Demand Array'!$A:$A</definedName>
    <definedName name="Z_44D25261_300E_11D5_83AB_006008184210_.wvu.PrintTitles" localSheetId="45" hidden="1">'12a-1. RevReq by class'!$A:$A</definedName>
    <definedName name="Z_44D25261_300E_11D5_83AB_006008184210_.wvu.PrintTitles" localSheetId="2" hidden="1">'1a. Funct Factors'!$A:$B,'1a. Funct Factors'!$1:$8</definedName>
    <definedName name="Z_44D25261_300E_11D5_83AB_006008184210_.wvu.PrintTitles" localSheetId="3" hidden="1">'2a. RB-np'!$A:$C,'2a. RB-np'!$1:$8</definedName>
    <definedName name="Z_44D25261_300E_11D5_83AB_006008184210_.wvu.PrintTitles" localSheetId="4" hidden="1">'2b. RB-sf'!$A:$C,'2b. RB-sf'!$1:$8</definedName>
    <definedName name="Z_44D25261_300E_11D5_83AB_006008184210_.wvu.PrintTitles" localSheetId="5" hidden="1">'2c. RB-sfaf'!$A:$B,'2c. RB-sfaf'!$1:$7</definedName>
    <definedName name="Z_44D25261_300E_11D5_83AB_006008184210_.wvu.PrintTitles" localSheetId="6" hidden="1">'3a. OM_AG-i'!$A:$B,'3a. OM_AG-i'!$1:$7</definedName>
    <definedName name="Z_44D25261_300E_11D5_83AB_006008184210_.wvu.PrintTitles" localSheetId="7" hidden="1">'3b. OM_AG-sf'!$A:$B,'3b. OM_AG-sf'!$1:$7</definedName>
    <definedName name="Z_44D25261_300E_11D5_83AB_006008184210_.wvu.PrintTitles" localSheetId="8" hidden="1">'3c. OM_AG-sfaf'!$A:$B,'3c. OM_AG-sfaf'!$1:$7</definedName>
    <definedName name="Z_44D25261_300E_11D5_83AB_006008184210_.wvu.PrintTitles" localSheetId="9" hidden="1">'4a. OM less M&amp;S'!$A:$B,'4a. OM less M&amp;S'!$1:$7</definedName>
    <definedName name="Z_44D25261_300E_11D5_83AB_006008184210_.wvu.PrintTitles" localSheetId="10" hidden="1">'4b. OM less M&amp;S-sf'!$A:$C,'4b. OM less M&amp;S-sf'!$1:$7</definedName>
    <definedName name="Z_44D25261_300E_11D5_83AB_006008184210_.wvu.PrintTitles" localSheetId="11" hidden="1">'5a. DE-i'!$A:$C,'5a. DE-i'!$1:$3</definedName>
    <definedName name="Z_44D25261_300E_11D5_83AB_006008184210_.wvu.PrintTitles" localSheetId="12" hidden="1">'5b. DE-sf'!$A:$C,'5b. DE-sf'!$1:$2</definedName>
    <definedName name="Z_44D25261_300E_11D5_83AB_006008184210_.wvu.PrintTitles" localSheetId="13" hidden="1">'6a. OE_OR-i'!$A:$C,'6a. OE_OR-i'!$1:$7</definedName>
    <definedName name="Z_44D25261_300E_11D5_83AB_006008184210_.wvu.PrintTitles" localSheetId="14" hidden="1">'6b. OE_OR-sf'!$A:$C,'6b. OE_OR-sf'!$1:$7</definedName>
    <definedName name="Z_44D25261_300E_11D5_83AB_006008184210_.wvu.PrintTitles" localSheetId="15" hidden="1">'6c. OE_OR-sfaf'!$A:$C,'6c. OE_OR-sfaf'!$1:$7</definedName>
    <definedName name="Z_44D25261_300E_11D5_83AB_006008184210_.wvu.PrintTitles" localSheetId="16" hidden="1">'7a. LX_AG-i'!$A:$C,'7a. LX_AG-i'!$1:$7</definedName>
    <definedName name="Z_44D25261_300E_11D5_83AB_006008184210_.wvu.PrintTitles" localSheetId="17" hidden="1">'7b. LX_AG-sf'!$A:$C,'7b. LX_AG-sf'!$1:$7</definedName>
    <definedName name="Z_44D25261_300E_11D5_83AB_006008184210_.wvu.PrintTitles" localSheetId="18" hidden="1">'7c. LX_AG-sfaf'!$A:$C,'7c. LX_AG-sfaf'!$1:$7</definedName>
    <definedName name="Z_44D25261_300E_11D5_83AB_006008184210_.wvu.PrintTitles" localSheetId="20" hidden="1">'8a. DS-Cash '!$A:$C</definedName>
    <definedName name="Z_44D25261_300E_11D5_83AB_006008184210_.wvu.PrintTitles" localSheetId="21" hidden="1">'8b.DS-Cash-sf'!$A:$C</definedName>
    <definedName name="Z_44D25261_300E_11D5_83AB_006008184210_.wvu.PrintTitles" localSheetId="22" hidden="1">'9a. Summary Schedules'!$A:$A</definedName>
    <definedName name="Z_44D25261_300E_11D5_83AB_006008184210_.wvu.PrintTitles" localSheetId="23" hidden="1">'9b. Summary Schedules-sf'!$A:$B</definedName>
  </definedNames>
  <calcPr calcId="191029"/>
  <customWorkbookViews>
    <customWorkbookView name="Valued Gateway 2000 Customer - Personal View" guid="{121E4431-22F3-11D5-8242-00600818425F}" mergeInterval="0" personalView="1" maximized="1" windowWidth="796" windowHeight="435" tabRatio="696" activeSheetId="48"/>
    <customWorkbookView name="KMGroesbeck - Personal View" guid="{26EFD302-2526-11D5-9AB1-0060975861A8}" mergeInterval="0" personalView="1" maximized="1" windowWidth="987" windowHeight="580" tabRatio="694" activeSheetId="1"/>
    <customWorkbookView name="Ted Slansky - Personal View" guid="{44D25261-300E-11D5-83AB-006008184210}" mergeInterval="0" personalView="1" maximized="1" windowWidth="905" windowHeight="631" tabRatio="69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K277" i="16" l="1"/>
  <c r="AK275" i="16"/>
  <c r="AK273" i="16"/>
  <c r="AK272" i="16"/>
  <c r="AK271" i="16"/>
  <c r="AK270" i="16"/>
  <c r="AK268" i="16"/>
  <c r="AK267" i="16"/>
  <c r="AK266" i="16"/>
  <c r="AK265" i="16"/>
  <c r="AK264" i="16"/>
  <c r="AK263" i="16"/>
  <c r="AK261" i="16"/>
  <c r="AK260" i="16"/>
  <c r="AK259" i="16"/>
  <c r="AK258" i="16"/>
  <c r="AK257" i="16"/>
  <c r="AK256" i="16"/>
  <c r="AK255" i="16"/>
  <c r="AK254" i="16"/>
  <c r="AK253" i="16"/>
  <c r="AK252" i="16"/>
  <c r="AK251" i="16"/>
  <c r="AK250" i="16"/>
  <c r="AK249" i="16"/>
  <c r="AK248" i="16"/>
  <c r="AK247" i="16"/>
  <c r="AK241" i="16"/>
  <c r="AK110" i="13"/>
  <c r="AK109" i="13"/>
  <c r="AK108" i="13"/>
  <c r="AK107" i="13"/>
  <c r="AK106" i="13"/>
  <c r="AK105" i="13"/>
  <c r="AK104" i="13"/>
  <c r="AK103" i="13"/>
  <c r="AK101" i="13"/>
  <c r="AK100" i="13"/>
  <c r="AK97" i="13"/>
  <c r="AK95" i="13"/>
  <c r="AK94" i="13"/>
  <c r="AK93" i="13"/>
  <c r="AK92" i="13"/>
  <c r="AK91" i="13"/>
  <c r="AK90" i="13"/>
  <c r="AK89" i="13"/>
  <c r="AK88" i="13"/>
  <c r="AK87" i="13"/>
  <c r="AK86" i="13"/>
  <c r="AK83" i="13"/>
  <c r="AK82" i="13"/>
  <c r="AK116" i="13"/>
  <c r="AK115" i="13"/>
  <c r="AK112" i="13"/>
  <c r="AK47" i="13"/>
  <c r="AK36" i="13"/>
  <c r="AK34" i="13"/>
  <c r="AK32" i="13"/>
  <c r="AK285" i="9"/>
  <c r="AK283" i="9"/>
  <c r="AK281" i="9"/>
  <c r="AK279" i="9"/>
  <c r="AK277" i="9"/>
  <c r="AK274" i="9"/>
  <c r="AK262" i="9"/>
  <c r="AJ99" i="9"/>
  <c r="AJ275" i="6"/>
  <c r="AK279" i="6"/>
  <c r="AK277" i="6"/>
  <c r="AK275" i="6"/>
  <c r="AK274" i="6"/>
  <c r="AK273" i="6"/>
  <c r="AK272" i="6"/>
  <c r="AK271" i="6"/>
  <c r="AK270" i="6"/>
  <c r="AK269" i="6"/>
  <c r="AK268" i="6"/>
  <c r="AK267" i="6"/>
  <c r="AK266" i="6"/>
  <c r="AK265" i="6"/>
  <c r="AK264" i="6"/>
  <c r="AK263" i="6"/>
  <c r="AK262" i="6"/>
  <c r="AK261" i="6"/>
  <c r="AK260" i="6"/>
  <c r="AK259" i="6"/>
  <c r="AK258" i="6"/>
  <c r="AK257" i="6"/>
  <c r="AK256" i="6"/>
  <c r="AK255" i="6"/>
  <c r="AK254" i="6"/>
  <c r="AK253" i="6"/>
  <c r="AK252" i="6"/>
  <c r="AK251" i="6"/>
  <c r="AK250" i="6"/>
  <c r="AK249" i="6"/>
  <c r="AK244" i="6"/>
  <c r="AK243" i="6"/>
  <c r="AK152" i="6"/>
  <c r="AK99" i="6"/>
  <c r="AJ99" i="6"/>
  <c r="AK197" i="3"/>
  <c r="AK195" i="3"/>
  <c r="AK193" i="3"/>
  <c r="AK185" i="3"/>
  <c r="AK172" i="3"/>
  <c r="AK171" i="3"/>
  <c r="AK170" i="3"/>
  <c r="AK169" i="3"/>
  <c r="AK156" i="3"/>
  <c r="AK154" i="3"/>
  <c r="AL154" i="3"/>
  <c r="AJ152" i="3"/>
  <c r="AK152" i="3"/>
  <c r="AK142" i="3"/>
  <c r="AK132" i="3"/>
  <c r="AK130" i="3"/>
  <c r="AK129" i="3"/>
  <c r="AK128" i="3"/>
  <c r="AK127" i="3"/>
  <c r="AK126" i="3"/>
  <c r="AK125" i="3"/>
  <c r="AK124" i="3"/>
  <c r="AK123" i="3"/>
  <c r="AK122" i="3"/>
  <c r="AK121" i="3"/>
  <c r="AK118" i="3"/>
  <c r="AK98" i="3"/>
  <c r="AK96" i="3"/>
  <c r="AK76" i="3"/>
  <c r="AK74" i="3"/>
  <c r="AK73" i="3"/>
  <c r="AK72" i="3"/>
  <c r="AK71" i="3"/>
  <c r="AK70" i="3"/>
  <c r="AK69" i="3"/>
  <c r="AK68" i="3"/>
  <c r="AK67" i="3"/>
  <c r="AK66" i="3"/>
  <c r="AK63" i="3"/>
  <c r="AJ63" i="3"/>
  <c r="D244" i="7" l="1"/>
  <c r="E244" i="7"/>
  <c r="AK275" i="9"/>
  <c r="AK273" i="9"/>
  <c r="AK272" i="9"/>
  <c r="AK271" i="9"/>
  <c r="AK270" i="9"/>
  <c r="AK269" i="9"/>
  <c r="AK268" i="9"/>
  <c r="AK267" i="9"/>
  <c r="AK266" i="9"/>
  <c r="AK265" i="9"/>
  <c r="AK264" i="9"/>
  <c r="AK263" i="9"/>
  <c r="AK255" i="9"/>
  <c r="AK253" i="9"/>
  <c r="AK252" i="9"/>
  <c r="AK251" i="9"/>
  <c r="AK250" i="9"/>
  <c r="AK249" i="9"/>
  <c r="AK99" i="9"/>
  <c r="AK152" i="9"/>
  <c r="AK243" i="9"/>
  <c r="AJ243" i="9"/>
  <c r="AJ275" i="9"/>
  <c r="AK120" i="16"/>
  <c r="AK119" i="16"/>
  <c r="AK118" i="16"/>
  <c r="AK117" i="16"/>
  <c r="AK116" i="16"/>
  <c r="AK115" i="16"/>
  <c r="AK114" i="16"/>
  <c r="AK113" i="16"/>
  <c r="AK112" i="16"/>
  <c r="AK111" i="16"/>
  <c r="AK110" i="16"/>
  <c r="AK109" i="16"/>
  <c r="AK108" i="16"/>
  <c r="AK107" i="16"/>
  <c r="AK106" i="16"/>
  <c r="AK105" i="16"/>
  <c r="AK104" i="16"/>
  <c r="AK103" i="16"/>
  <c r="AK122" i="16"/>
  <c r="AK150" i="16"/>
  <c r="AK149" i="16"/>
  <c r="AK148" i="16"/>
  <c r="AK147" i="16"/>
  <c r="AK146" i="16"/>
  <c r="AK145" i="16"/>
  <c r="AK144" i="16"/>
  <c r="AK143" i="16"/>
  <c r="AK142" i="16"/>
  <c r="AK141" i="16"/>
  <c r="AK140" i="16"/>
  <c r="AK139" i="16"/>
  <c r="AK138" i="16"/>
  <c r="AK137" i="16"/>
  <c r="AK136" i="16"/>
  <c r="AK135" i="16"/>
  <c r="AK134" i="16"/>
  <c r="AK133" i="16"/>
  <c r="AK132" i="16"/>
  <c r="AK131" i="16"/>
  <c r="AK130" i="16"/>
  <c r="AK129" i="16"/>
  <c r="AK128" i="16"/>
  <c r="AK127" i="16"/>
  <c r="AK126" i="16"/>
  <c r="AK152" i="16"/>
  <c r="AK99" i="16"/>
  <c r="AJ99" i="16"/>
  <c r="K99" i="17"/>
  <c r="J99" i="17"/>
  <c r="I99" i="17"/>
  <c r="E99" i="17"/>
  <c r="D99" i="17" l="1"/>
  <c r="D279" i="8" l="1"/>
  <c r="D277" i="8"/>
  <c r="D263" i="6"/>
  <c r="D265" i="6"/>
  <c r="D267" i="6"/>
  <c r="D268" i="6"/>
  <c r="D269" i="6"/>
  <c r="D270" i="6"/>
  <c r="D272" i="6"/>
  <c r="D273" i="6"/>
  <c r="D274" i="6"/>
  <c r="D277" i="6"/>
  <c r="D279" i="6"/>
  <c r="D253" i="6"/>
  <c r="D152" i="6"/>
  <c r="D277" i="5"/>
  <c r="K180" i="4" l="1"/>
  <c r="AJ11" i="19" l="1"/>
  <c r="AI216" i="21"/>
  <c r="AI213" i="21"/>
  <c r="AI208" i="21"/>
  <c r="AI205" i="21"/>
  <c r="AI196" i="21"/>
  <c r="AI192" i="21"/>
  <c r="AI181" i="21"/>
  <c r="AI180" i="21"/>
  <c r="AI178" i="21"/>
  <c r="AI174" i="21"/>
  <c r="AI157" i="21"/>
  <c r="AI154" i="21"/>
  <c r="AI149" i="21"/>
  <c r="AI145" i="21"/>
  <c r="AI138" i="21"/>
  <c r="AI134" i="21"/>
  <c r="AI133" i="21"/>
  <c r="AI131" i="21"/>
  <c r="AI127" i="21"/>
  <c r="AI105" i="21"/>
  <c r="AI106" i="21"/>
  <c r="AI84" i="21"/>
  <c r="AI82" i="21"/>
  <c r="AI78" i="21"/>
  <c r="AI79" i="21"/>
  <c r="AI77" i="21"/>
  <c r="AI64" i="21"/>
  <c r="AI50" i="21"/>
  <c r="AI46" i="21"/>
  <c r="AI45" i="21"/>
  <c r="AI43" i="21"/>
  <c r="AI14" i="21"/>
  <c r="AI13" i="21"/>
  <c r="P16" i="25"/>
  <c r="N16" i="25"/>
  <c r="M16" i="25"/>
  <c r="L16" i="25"/>
  <c r="K16" i="25"/>
  <c r="J16" i="25"/>
  <c r="I16" i="25"/>
  <c r="H16" i="25"/>
  <c r="G16" i="25"/>
  <c r="F16" i="25"/>
  <c r="E16" i="25"/>
  <c r="P16" i="55"/>
  <c r="N16" i="55"/>
  <c r="M16" i="55"/>
  <c r="L16" i="55"/>
  <c r="K16" i="55"/>
  <c r="J16" i="55"/>
  <c r="I16" i="55"/>
  <c r="H16" i="55"/>
  <c r="G16" i="55"/>
  <c r="F16" i="55"/>
  <c r="E16" i="55"/>
  <c r="P16" i="29"/>
  <c r="N16" i="29"/>
  <c r="M16" i="29"/>
  <c r="L16" i="29"/>
  <c r="K16" i="29"/>
  <c r="J16" i="29"/>
  <c r="I16" i="29"/>
  <c r="H16" i="29"/>
  <c r="G16" i="29"/>
  <c r="F16" i="29"/>
  <c r="E16" i="29"/>
  <c r="P16" i="31"/>
  <c r="N16" i="31"/>
  <c r="M16" i="31"/>
  <c r="L16" i="31"/>
  <c r="K16" i="31"/>
  <c r="J16" i="31"/>
  <c r="I16" i="31"/>
  <c r="H16" i="31"/>
  <c r="G16" i="31"/>
  <c r="F16" i="31"/>
  <c r="E16" i="31"/>
  <c r="P16" i="57"/>
  <c r="N16" i="57"/>
  <c r="M16" i="57"/>
  <c r="L16" i="57"/>
  <c r="K16" i="57"/>
  <c r="J16" i="57"/>
  <c r="I16" i="57"/>
  <c r="H16" i="57"/>
  <c r="G16" i="57"/>
  <c r="F16" i="57"/>
  <c r="E16" i="57"/>
  <c r="P16" i="61"/>
  <c r="N16" i="61"/>
  <c r="M16" i="61"/>
  <c r="L16" i="61"/>
  <c r="K16" i="61"/>
  <c r="J16" i="61"/>
  <c r="I16" i="61"/>
  <c r="H16" i="61"/>
  <c r="G16" i="61"/>
  <c r="F16" i="61"/>
  <c r="E16" i="61"/>
  <c r="T13" i="75" l="1"/>
  <c r="Q165" i="15" l="1"/>
  <c r="P165" i="15"/>
  <c r="O165" i="15"/>
  <c r="N165" i="15"/>
  <c r="M165" i="15"/>
  <c r="L165" i="15"/>
  <c r="K165" i="15"/>
  <c r="J165" i="15"/>
  <c r="I165" i="15"/>
  <c r="H165" i="15"/>
  <c r="D165" i="15"/>
  <c r="D103" i="7" l="1"/>
  <c r="D104" i="7"/>
  <c r="D105" i="7"/>
  <c r="D106" i="7"/>
  <c r="D107" i="7"/>
  <c r="D108" i="7"/>
  <c r="D109" i="7"/>
  <c r="D110" i="7"/>
  <c r="D103" i="6"/>
  <c r="D104" i="6"/>
  <c r="D105" i="6"/>
  <c r="D106" i="6"/>
  <c r="D107" i="6"/>
  <c r="D108" i="6"/>
  <c r="D109" i="6"/>
  <c r="D110" i="6"/>
  <c r="D114" i="7"/>
  <c r="D115" i="7"/>
  <c r="D116" i="7"/>
  <c r="D117" i="7"/>
  <c r="D118" i="7"/>
  <c r="D119" i="7"/>
  <c r="D114" i="6"/>
  <c r="D115" i="6"/>
  <c r="D116" i="6"/>
  <c r="D117" i="6"/>
  <c r="D118" i="6"/>
  <c r="D119" i="6"/>
  <c r="D127" i="6"/>
  <c r="D128" i="6"/>
  <c r="D129" i="6"/>
  <c r="D130" i="6"/>
  <c r="D131" i="6"/>
  <c r="D132" i="6"/>
  <c r="D133" i="6"/>
  <c r="D135" i="6"/>
  <c r="D140" i="6"/>
  <c r="D141" i="6"/>
  <c r="D142" i="6"/>
  <c r="D143" i="6"/>
  <c r="D144" i="6"/>
  <c r="D145" i="6"/>
  <c r="D146" i="6"/>
  <c r="D218" i="6"/>
  <c r="D220" i="6"/>
  <c r="D225" i="6"/>
  <c r="D226" i="6"/>
  <c r="D227" i="6"/>
  <c r="D228" i="6"/>
  <c r="D229" i="6"/>
  <c r="D233" i="6"/>
  <c r="D235" i="6"/>
  <c r="D236" i="6"/>
  <c r="D237" i="6"/>
  <c r="D238" i="6"/>
  <c r="D239" i="6"/>
  <c r="D250" i="7"/>
  <c r="D252" i="7"/>
  <c r="D255" i="7"/>
  <c r="D264" i="7"/>
  <c r="D266" i="7"/>
  <c r="D271" i="7"/>
  <c r="D274" i="7"/>
  <c r="F12" i="4" l="1"/>
  <c r="F13" i="4"/>
  <c r="F14" i="4"/>
  <c r="F30" i="4"/>
  <c r="F31" i="4"/>
  <c r="F32" i="4"/>
  <c r="F33" i="4"/>
  <c r="F34" i="4"/>
  <c r="F35" i="4"/>
  <c r="F36" i="4"/>
  <c r="F37" i="4"/>
  <c r="F42" i="4"/>
  <c r="F43" i="4"/>
  <c r="F44" i="4"/>
  <c r="F45" i="4"/>
  <c r="F46" i="4"/>
  <c r="F47" i="4"/>
  <c r="F48" i="4"/>
  <c r="F53" i="4"/>
  <c r="F54" i="4"/>
  <c r="F55" i="4"/>
  <c r="F56" i="4"/>
  <c r="F57" i="4"/>
  <c r="F58" i="4"/>
  <c r="F59" i="4"/>
  <c r="F66" i="4"/>
  <c r="O66" i="4"/>
  <c r="F68" i="4"/>
  <c r="O68" i="4"/>
  <c r="O79" i="4"/>
  <c r="Z79" i="4"/>
  <c r="AH79" i="4"/>
  <c r="O80" i="4"/>
  <c r="Z80" i="4"/>
  <c r="AH80" i="4"/>
  <c r="O81" i="4"/>
  <c r="Z81" i="4"/>
  <c r="AH81" i="4"/>
  <c r="Z82" i="4"/>
  <c r="AH82" i="4"/>
  <c r="O83" i="4"/>
  <c r="Z83" i="4"/>
  <c r="AH83" i="4"/>
  <c r="O84" i="4"/>
  <c r="Z84" i="4"/>
  <c r="AH84" i="4"/>
  <c r="Q85" i="4"/>
  <c r="R85" i="4"/>
  <c r="T85" i="4"/>
  <c r="U85" i="4"/>
  <c r="Z85" i="4"/>
  <c r="AH85" i="4"/>
  <c r="O86" i="4"/>
  <c r="Z86" i="4"/>
  <c r="AH86" i="4"/>
  <c r="O87" i="4"/>
  <c r="Z87" i="4"/>
  <c r="AH87" i="4"/>
  <c r="O88" i="4"/>
  <c r="Z88" i="4"/>
  <c r="AH88" i="4"/>
  <c r="O89" i="4"/>
  <c r="Z89" i="4"/>
  <c r="AH89" i="4"/>
  <c r="O90" i="4"/>
  <c r="Z90" i="4"/>
  <c r="AH90" i="4"/>
  <c r="Z91" i="4"/>
  <c r="AH91" i="4"/>
  <c r="O92" i="4"/>
  <c r="Z92" i="4"/>
  <c r="AH92" i="4"/>
  <c r="A104" i="4"/>
  <c r="A105" i="4"/>
  <c r="A106" i="4" s="1"/>
  <c r="A107" i="4" s="1"/>
  <c r="A108" i="4" s="1"/>
  <c r="A109" i="4" s="1"/>
  <c r="A110" i="4" s="1"/>
  <c r="F142" i="4"/>
  <c r="N142" i="4"/>
  <c r="O142" i="4"/>
  <c r="F146" i="4"/>
  <c r="F147" i="4"/>
  <c r="O147" i="4"/>
  <c r="Z147" i="4"/>
  <c r="F170" i="4"/>
  <c r="L180" i="4"/>
  <c r="M180" i="4"/>
  <c r="N191" i="4"/>
  <c r="O191" i="4"/>
  <c r="S14" i="1"/>
  <c r="S34" i="1"/>
  <c r="S42" i="1"/>
  <c r="T42" i="1" s="1"/>
  <c r="S43" i="1"/>
  <c r="T43" i="1" s="1"/>
  <c r="S44" i="1"/>
  <c r="T44" i="1" s="1"/>
  <c r="S45" i="1"/>
  <c r="T45" i="1"/>
  <c r="S46" i="1"/>
  <c r="T46" i="1" s="1"/>
  <c r="S47" i="1"/>
  <c r="T47" i="1" s="1"/>
  <c r="S48" i="1"/>
  <c r="T48" i="1" s="1"/>
  <c r="S50" i="1"/>
  <c r="T50" i="1" s="1"/>
  <c r="G338" i="1"/>
  <c r="S66" i="1"/>
  <c r="F67" i="1"/>
  <c r="H67" i="1" s="1"/>
  <c r="I67" i="1" s="1"/>
  <c r="S68" i="1"/>
  <c r="F69" i="1"/>
  <c r="H69" i="1" s="1"/>
  <c r="I69" i="1" s="1"/>
  <c r="F70" i="1"/>
  <c r="H70" i="1" s="1"/>
  <c r="I70" i="1" s="1"/>
  <c r="F72" i="1"/>
  <c r="H72" i="1" s="1"/>
  <c r="I72" i="1" s="1"/>
  <c r="F73" i="1"/>
  <c r="H73" i="1" s="1"/>
  <c r="I73" i="1" s="1"/>
  <c r="F74" i="1"/>
  <c r="H74" i="1" s="1"/>
  <c r="I74" i="1" s="1"/>
  <c r="E76" i="1"/>
  <c r="J76" i="1"/>
  <c r="L76" i="1"/>
  <c r="F79" i="1"/>
  <c r="H79" i="1"/>
  <c r="S79" i="1"/>
  <c r="F81" i="1"/>
  <c r="H81" i="1" s="1"/>
  <c r="S81" i="1"/>
  <c r="F82" i="1"/>
  <c r="H82" i="1" s="1"/>
  <c r="F83" i="1"/>
  <c r="H83" i="1" s="1"/>
  <c r="F84" i="1"/>
  <c r="H84" i="1" s="1"/>
  <c r="I84" i="1" s="1"/>
  <c r="L84" i="1" s="1"/>
  <c r="F85" i="1"/>
  <c r="H85" i="1" s="1"/>
  <c r="F86" i="1"/>
  <c r="H86" i="1" s="1"/>
  <c r="G358" i="1"/>
  <c r="F87" i="1"/>
  <c r="H87" i="1"/>
  <c r="F88" i="1"/>
  <c r="H88" i="1" s="1"/>
  <c r="I88" i="1" s="1"/>
  <c r="L88" i="1" s="1"/>
  <c r="G360" i="1"/>
  <c r="F89" i="1"/>
  <c r="H89" i="1" s="1"/>
  <c r="F90" i="1"/>
  <c r="H90" i="1" s="1"/>
  <c r="G362" i="1"/>
  <c r="F91" i="1"/>
  <c r="H91" i="1" s="1"/>
  <c r="F92" i="1"/>
  <c r="H92" i="1" s="1"/>
  <c r="I92" i="1" s="1"/>
  <c r="L92" i="1" s="1"/>
  <c r="G364" i="1"/>
  <c r="E94" i="1"/>
  <c r="J94" i="1"/>
  <c r="K94" i="1"/>
  <c r="N94" i="1"/>
  <c r="O94" i="1"/>
  <c r="Q94" i="1"/>
  <c r="O96" i="1"/>
  <c r="O98" i="1"/>
  <c r="J375" i="1"/>
  <c r="S103" i="1"/>
  <c r="T103" i="1" s="1"/>
  <c r="F104" i="1"/>
  <c r="G104" i="1" s="1"/>
  <c r="S104" i="1"/>
  <c r="T104" i="1" s="1"/>
  <c r="S105" i="1"/>
  <c r="T105" i="1" s="1"/>
  <c r="F106" i="1"/>
  <c r="G106" i="1" s="1"/>
  <c r="S106" i="1"/>
  <c r="T106" i="1" s="1"/>
  <c r="S107" i="1"/>
  <c r="T107" i="1" s="1"/>
  <c r="S108" i="1"/>
  <c r="T108" i="1" s="1"/>
  <c r="S109" i="1"/>
  <c r="T109" i="1" s="1"/>
  <c r="F110" i="1"/>
  <c r="G110" i="1" s="1"/>
  <c r="S110" i="1"/>
  <c r="T110" i="1" s="1"/>
  <c r="S111" i="1"/>
  <c r="T111" i="1" s="1"/>
  <c r="F112" i="1"/>
  <c r="G112" i="1" s="1"/>
  <c r="S112" i="1"/>
  <c r="T112" i="1" s="1"/>
  <c r="S113" i="1"/>
  <c r="T113" i="1" s="1"/>
  <c r="E115" i="1"/>
  <c r="E117" i="1" s="1"/>
  <c r="F121" i="1"/>
  <c r="H121" i="1" s="1"/>
  <c r="F122" i="1"/>
  <c r="F123" i="1"/>
  <c r="H123" i="1" s="1"/>
  <c r="I123" i="1" s="1"/>
  <c r="F124" i="1"/>
  <c r="H124" i="1" s="1"/>
  <c r="I124" i="1" s="1"/>
  <c r="F125" i="1"/>
  <c r="H125" i="1" s="1"/>
  <c r="I125" i="1" s="1"/>
  <c r="F126" i="1"/>
  <c r="F127" i="1"/>
  <c r="H127" i="1" s="1"/>
  <c r="I127" i="1" s="1"/>
  <c r="F128" i="1"/>
  <c r="F129" i="1"/>
  <c r="H129" i="1" s="1"/>
  <c r="I129" i="1" s="1"/>
  <c r="F130" i="1"/>
  <c r="H130" i="1" s="1"/>
  <c r="I130" i="1" s="1"/>
  <c r="E132" i="1"/>
  <c r="F137" i="1"/>
  <c r="F140" i="1" s="1"/>
  <c r="D140" i="1"/>
  <c r="E140" i="1"/>
  <c r="S196" i="1"/>
  <c r="F203" i="1"/>
  <c r="H203" i="1" s="1"/>
  <c r="I203" i="1" s="1"/>
  <c r="F204" i="1"/>
  <c r="H204" i="1" s="1"/>
  <c r="I204" i="1" s="1"/>
  <c r="S204" i="1"/>
  <c r="F206" i="1"/>
  <c r="H206" i="1" s="1"/>
  <c r="I206" i="1" s="1"/>
  <c r="F207" i="1"/>
  <c r="H207" i="1" s="1"/>
  <c r="I207" i="1"/>
  <c r="D344" i="1"/>
  <c r="F208" i="1"/>
  <c r="H208" i="1" s="1"/>
  <c r="I208" i="1" s="1"/>
  <c r="L208" i="1"/>
  <c r="N208" i="1"/>
  <c r="N344" i="1" s="1"/>
  <c r="O208" i="1"/>
  <c r="O344" i="1" s="1"/>
  <c r="F209" i="1"/>
  <c r="H209" i="1" s="1"/>
  <c r="I209" i="1" s="1"/>
  <c r="F210" i="1"/>
  <c r="H210" i="1" s="1"/>
  <c r="I210" i="1" s="1"/>
  <c r="E212" i="1"/>
  <c r="F215" i="1"/>
  <c r="H215" i="1" s="1"/>
  <c r="F216" i="1"/>
  <c r="H216" i="1" s="1"/>
  <c r="I216" i="1" s="1"/>
  <c r="F217" i="1"/>
  <c r="S217" i="1"/>
  <c r="F218" i="1"/>
  <c r="H218" i="1" s="1"/>
  <c r="I218" i="1" s="1"/>
  <c r="F219" i="1"/>
  <c r="H219" i="1" s="1"/>
  <c r="I219" i="1" s="1"/>
  <c r="D356" i="1"/>
  <c r="F222" i="1"/>
  <c r="H222" i="1" s="1"/>
  <c r="I222" i="1" s="1"/>
  <c r="F223" i="1"/>
  <c r="H223" i="1" s="1"/>
  <c r="I223" i="1" s="1"/>
  <c r="D360" i="1"/>
  <c r="F224" i="1"/>
  <c r="H224" i="1" s="1"/>
  <c r="I224" i="1" s="1"/>
  <c r="F226" i="1"/>
  <c r="F362" i="1" s="1"/>
  <c r="D364" i="1"/>
  <c r="F228" i="1"/>
  <c r="H228" i="1" s="1"/>
  <c r="I228" i="1" s="1"/>
  <c r="E230" i="1"/>
  <c r="F239" i="1"/>
  <c r="G239" i="1" s="1"/>
  <c r="S239" i="1"/>
  <c r="T239" i="1" s="1"/>
  <c r="F240" i="1"/>
  <c r="F376" i="1" s="1"/>
  <c r="S240" i="1"/>
  <c r="T240" i="1" s="1"/>
  <c r="S241" i="1"/>
  <c r="T241" i="1" s="1"/>
  <c r="F242" i="1"/>
  <c r="G242" i="1" s="1"/>
  <c r="S242" i="1"/>
  <c r="T242" i="1"/>
  <c r="S243" i="1"/>
  <c r="T243" i="1" s="1"/>
  <c r="F244" i="1"/>
  <c r="G244" i="1" s="1"/>
  <c r="S244" i="1"/>
  <c r="T244" i="1" s="1"/>
  <c r="S245" i="1"/>
  <c r="T245" i="1" s="1"/>
  <c r="F246" i="1"/>
  <c r="S246" i="1"/>
  <c r="T246" i="1" s="1"/>
  <c r="F247" i="1"/>
  <c r="G247" i="1" s="1"/>
  <c r="S247" i="1"/>
  <c r="T247" i="1" s="1"/>
  <c r="F248" i="1"/>
  <c r="G248" i="1" s="1"/>
  <c r="S248" i="1"/>
  <c r="T248" i="1" s="1"/>
  <c r="S249" i="1"/>
  <c r="T249" i="1" s="1"/>
  <c r="E251" i="1"/>
  <c r="E253" i="1" s="1"/>
  <c r="F257" i="1"/>
  <c r="H257" i="1" s="1"/>
  <c r="F258" i="1"/>
  <c r="F394" i="1" s="1"/>
  <c r="K394" i="1"/>
  <c r="F259" i="1"/>
  <c r="H259" i="1" s="1"/>
  <c r="I259" i="1" s="1"/>
  <c r="J395" i="1"/>
  <c r="F260" i="1"/>
  <c r="F261" i="1"/>
  <c r="H261" i="1" s="1"/>
  <c r="K397" i="1"/>
  <c r="F263" i="1"/>
  <c r="H263" i="1" s="1"/>
  <c r="F264" i="1"/>
  <c r="F400" i="1" s="1"/>
  <c r="F265" i="1"/>
  <c r="H265" i="1" s="1"/>
  <c r="F266" i="1"/>
  <c r="H266" i="1" s="1"/>
  <c r="I266" i="1" s="1"/>
  <c r="E268" i="1"/>
  <c r="J268" i="1"/>
  <c r="F274" i="1"/>
  <c r="H274" i="1" s="1"/>
  <c r="S274" i="1"/>
  <c r="E276" i="1"/>
  <c r="G276" i="1"/>
  <c r="S321" i="1"/>
  <c r="E338" i="1"/>
  <c r="J338" i="1"/>
  <c r="L338" i="1"/>
  <c r="M338" i="1"/>
  <c r="N338" i="1"/>
  <c r="O338" i="1"/>
  <c r="P338" i="1"/>
  <c r="Q338" i="1"/>
  <c r="D339" i="1"/>
  <c r="E339" i="1"/>
  <c r="E348" i="1" s="1"/>
  <c r="F339" i="1"/>
  <c r="G339" i="1"/>
  <c r="D340" i="1"/>
  <c r="E340" i="1"/>
  <c r="G340" i="1"/>
  <c r="J340" i="1"/>
  <c r="K340" i="1"/>
  <c r="L340" i="1"/>
  <c r="S340" i="1" s="1"/>
  <c r="M340" i="1"/>
  <c r="N340" i="1"/>
  <c r="O340" i="1"/>
  <c r="P340" i="1"/>
  <c r="Q340" i="1"/>
  <c r="D341" i="1"/>
  <c r="E341" i="1"/>
  <c r="G341" i="1"/>
  <c r="D342" i="1"/>
  <c r="E342" i="1"/>
  <c r="G342" i="1"/>
  <c r="D343" i="1"/>
  <c r="E343" i="1"/>
  <c r="G343" i="1"/>
  <c r="E344" i="1"/>
  <c r="G344" i="1"/>
  <c r="L344" i="1"/>
  <c r="E345" i="1"/>
  <c r="G345" i="1"/>
  <c r="D346" i="1"/>
  <c r="E346" i="1"/>
  <c r="G346" i="1"/>
  <c r="D351" i="1"/>
  <c r="E351" i="1"/>
  <c r="E352" i="1"/>
  <c r="G352" i="1"/>
  <c r="E353" i="1"/>
  <c r="F353" i="1"/>
  <c r="G353" i="1"/>
  <c r="J353" i="1"/>
  <c r="K353" i="1"/>
  <c r="L353" i="1"/>
  <c r="M353" i="1"/>
  <c r="N353" i="1"/>
  <c r="O353" i="1"/>
  <c r="P353" i="1"/>
  <c r="Q353" i="1"/>
  <c r="D354" i="1"/>
  <c r="E354" i="1"/>
  <c r="G354" i="1"/>
  <c r="E355" i="1"/>
  <c r="F355" i="1"/>
  <c r="G355" i="1"/>
  <c r="E356" i="1"/>
  <c r="G356" i="1"/>
  <c r="E357" i="1"/>
  <c r="G357" i="1"/>
  <c r="D358" i="1"/>
  <c r="E358" i="1"/>
  <c r="E359" i="1"/>
  <c r="F359" i="1"/>
  <c r="G359" i="1"/>
  <c r="E360" i="1"/>
  <c r="E361" i="1"/>
  <c r="G361" i="1"/>
  <c r="D362" i="1"/>
  <c r="E362" i="1"/>
  <c r="E363" i="1"/>
  <c r="G363" i="1"/>
  <c r="E364" i="1"/>
  <c r="D375" i="1"/>
  <c r="E375" i="1"/>
  <c r="H375" i="1"/>
  <c r="I375" i="1"/>
  <c r="K375" i="1"/>
  <c r="L375" i="1"/>
  <c r="M375" i="1"/>
  <c r="N375" i="1"/>
  <c r="O375" i="1"/>
  <c r="P375" i="1"/>
  <c r="Q375" i="1"/>
  <c r="A376" i="1"/>
  <c r="D376" i="1"/>
  <c r="E376" i="1"/>
  <c r="H376" i="1"/>
  <c r="I376" i="1"/>
  <c r="K376" i="1"/>
  <c r="L376" i="1"/>
  <c r="M376" i="1"/>
  <c r="N376" i="1"/>
  <c r="O376" i="1"/>
  <c r="P376" i="1"/>
  <c r="Q376" i="1"/>
  <c r="A377" i="1"/>
  <c r="A378" i="1" s="1"/>
  <c r="A379" i="1" s="1"/>
  <c r="A380" i="1" s="1"/>
  <c r="A381" i="1" s="1"/>
  <c r="A382" i="1" s="1"/>
  <c r="E377" i="1"/>
  <c r="H377" i="1"/>
  <c r="I377" i="1"/>
  <c r="J377" i="1"/>
  <c r="K377" i="1"/>
  <c r="L377" i="1"/>
  <c r="M377" i="1"/>
  <c r="N377" i="1"/>
  <c r="O377" i="1"/>
  <c r="P377" i="1"/>
  <c r="Q377" i="1"/>
  <c r="D378" i="1"/>
  <c r="E378" i="1"/>
  <c r="H378" i="1"/>
  <c r="I378" i="1"/>
  <c r="J378" i="1"/>
  <c r="K378" i="1"/>
  <c r="L378" i="1"/>
  <c r="M378" i="1"/>
  <c r="N378" i="1"/>
  <c r="O378" i="1"/>
  <c r="P378" i="1"/>
  <c r="Q378" i="1"/>
  <c r="D379" i="1"/>
  <c r="E379" i="1"/>
  <c r="H379" i="1"/>
  <c r="I379" i="1"/>
  <c r="J379" i="1"/>
  <c r="K379" i="1"/>
  <c r="L379" i="1"/>
  <c r="M379" i="1"/>
  <c r="N379" i="1"/>
  <c r="O379" i="1"/>
  <c r="P379" i="1"/>
  <c r="Q379" i="1"/>
  <c r="E380" i="1"/>
  <c r="H380" i="1"/>
  <c r="I380" i="1"/>
  <c r="J380" i="1"/>
  <c r="K380" i="1"/>
  <c r="L380" i="1"/>
  <c r="M380" i="1"/>
  <c r="N380" i="1"/>
  <c r="O380" i="1"/>
  <c r="P380" i="1"/>
  <c r="Q380" i="1"/>
  <c r="D381" i="1"/>
  <c r="E381" i="1"/>
  <c r="H381" i="1"/>
  <c r="I381" i="1"/>
  <c r="J381" i="1"/>
  <c r="K381" i="1"/>
  <c r="L381" i="1"/>
  <c r="M381" i="1"/>
  <c r="N381" i="1"/>
  <c r="O381" i="1"/>
  <c r="P381" i="1"/>
  <c r="Q381" i="1"/>
  <c r="E382" i="1"/>
  <c r="H382" i="1"/>
  <c r="I382" i="1"/>
  <c r="J382" i="1"/>
  <c r="K382" i="1"/>
  <c r="L382" i="1"/>
  <c r="M382" i="1"/>
  <c r="N382" i="1"/>
  <c r="O382" i="1"/>
  <c r="P382" i="1"/>
  <c r="Q382" i="1"/>
  <c r="E383" i="1"/>
  <c r="H383" i="1"/>
  <c r="I383" i="1"/>
  <c r="K383" i="1"/>
  <c r="L383" i="1"/>
  <c r="M383" i="1"/>
  <c r="N383" i="1"/>
  <c r="O383" i="1"/>
  <c r="P383" i="1"/>
  <c r="Q383" i="1"/>
  <c r="D384" i="1"/>
  <c r="E384" i="1"/>
  <c r="H384" i="1"/>
  <c r="I384" i="1"/>
  <c r="J384" i="1"/>
  <c r="K384" i="1"/>
  <c r="L384" i="1"/>
  <c r="M384" i="1"/>
  <c r="N384" i="1"/>
  <c r="O384" i="1"/>
  <c r="P384" i="1"/>
  <c r="Q384" i="1"/>
  <c r="E385" i="1"/>
  <c r="H385" i="1"/>
  <c r="I385" i="1"/>
  <c r="J385" i="1"/>
  <c r="K385" i="1"/>
  <c r="L385" i="1"/>
  <c r="M385" i="1"/>
  <c r="N385" i="1"/>
  <c r="O385" i="1"/>
  <c r="P385" i="1"/>
  <c r="Q385" i="1"/>
  <c r="D393" i="1"/>
  <c r="E393" i="1"/>
  <c r="F393" i="1"/>
  <c r="J393" i="1"/>
  <c r="D394" i="1"/>
  <c r="E394" i="1"/>
  <c r="J394" i="1"/>
  <c r="D395" i="1"/>
  <c r="E395" i="1"/>
  <c r="G395" i="1"/>
  <c r="K395" i="1"/>
  <c r="D396" i="1"/>
  <c r="E396" i="1"/>
  <c r="J396" i="1"/>
  <c r="D397" i="1"/>
  <c r="E397" i="1"/>
  <c r="F397" i="1"/>
  <c r="E398" i="1"/>
  <c r="J398" i="1"/>
  <c r="K398" i="1"/>
  <c r="D399" i="1"/>
  <c r="E399" i="1"/>
  <c r="G399" i="1"/>
  <c r="J399" i="1"/>
  <c r="K399" i="1"/>
  <c r="D400" i="1"/>
  <c r="E400" i="1"/>
  <c r="G400" i="1"/>
  <c r="J400" i="1"/>
  <c r="D401" i="1"/>
  <c r="E401" i="1"/>
  <c r="G401" i="1"/>
  <c r="J401" i="1"/>
  <c r="K401" i="1"/>
  <c r="D402" i="1"/>
  <c r="E402" i="1"/>
  <c r="G402" i="1"/>
  <c r="J402" i="1"/>
  <c r="K402" i="1"/>
  <c r="D409" i="1"/>
  <c r="E409" i="1"/>
  <c r="D410" i="1"/>
  <c r="E410" i="1"/>
  <c r="E412" i="1" s="1"/>
  <c r="F410" i="1"/>
  <c r="G410" i="1"/>
  <c r="J410" i="1"/>
  <c r="K410" i="1"/>
  <c r="L410" i="1"/>
  <c r="M410" i="1"/>
  <c r="N410" i="1"/>
  <c r="O410" i="1"/>
  <c r="P410" i="1"/>
  <c r="Q410" i="1"/>
  <c r="F418" i="1"/>
  <c r="H418" i="1" s="1"/>
  <c r="I418" i="1" s="1"/>
  <c r="F419" i="1"/>
  <c r="H419" i="1" s="1"/>
  <c r="F426" i="1"/>
  <c r="S426" i="1"/>
  <c r="F428" i="1"/>
  <c r="H428" i="1" s="1"/>
  <c r="I428" i="1" s="1"/>
  <c r="S428" i="1"/>
  <c r="F431" i="1"/>
  <c r="F432" i="1"/>
  <c r="F433" i="1"/>
  <c r="F434" i="1"/>
  <c r="F435" i="1"/>
  <c r="F436" i="1"/>
  <c r="F437" i="1"/>
  <c r="D438" i="1"/>
  <c r="E438" i="1"/>
  <c r="F442" i="1"/>
  <c r="H442" i="1" s="1"/>
  <c r="I442" i="1" s="1"/>
  <c r="F443" i="1"/>
  <c r="F459" i="1"/>
  <c r="F460" i="1"/>
  <c r="F461" i="1"/>
  <c r="F462" i="1"/>
  <c r="D463" i="1"/>
  <c r="E463" i="1"/>
  <c r="G463" i="1"/>
  <c r="H463" i="1"/>
  <c r="I463" i="1"/>
  <c r="J463" i="1"/>
  <c r="K463" i="1"/>
  <c r="L463" i="1"/>
  <c r="S463" i="1" s="1"/>
  <c r="M463" i="1"/>
  <c r="N463" i="1"/>
  <c r="O463" i="1"/>
  <c r="P463" i="1"/>
  <c r="Q463" i="1"/>
  <c r="Q98" i="1" l="1"/>
  <c r="Q96" i="1"/>
  <c r="F438" i="1"/>
  <c r="J228" i="1"/>
  <c r="J364" i="1" s="1"/>
  <c r="I360" i="1"/>
  <c r="S384" i="1"/>
  <c r="E366" i="1"/>
  <c r="J224" i="1"/>
  <c r="J360" i="1" s="1"/>
  <c r="G137" i="1"/>
  <c r="G140" i="1" s="1"/>
  <c r="O85" i="4"/>
  <c r="P210" i="1"/>
  <c r="P346" i="1" s="1"/>
  <c r="L210" i="1"/>
  <c r="L346" i="1" s="1"/>
  <c r="M210" i="1"/>
  <c r="M346" i="1" s="1"/>
  <c r="P203" i="1"/>
  <c r="P339" i="1" s="1"/>
  <c r="N203" i="1"/>
  <c r="N339" i="1" s="1"/>
  <c r="E387" i="1"/>
  <c r="T428" i="1"/>
  <c r="S320" i="1"/>
  <c r="T320" i="1" s="1"/>
  <c r="S308" i="1"/>
  <c r="G240" i="1"/>
  <c r="G376" i="1" s="1"/>
  <c r="S380" i="1"/>
  <c r="T380" i="1" s="1"/>
  <c r="E404" i="1"/>
  <c r="E405" i="1" s="1"/>
  <c r="S382" i="1"/>
  <c r="T308" i="1"/>
  <c r="I274" i="1"/>
  <c r="T274" i="1" s="1"/>
  <c r="H410" i="1"/>
  <c r="H443" i="1"/>
  <c r="I443" i="1" s="1"/>
  <c r="F401" i="1"/>
  <c r="I261" i="1"/>
  <c r="I397" i="1" s="1"/>
  <c r="H397" i="1"/>
  <c r="H264" i="1"/>
  <c r="I264" i="1" s="1"/>
  <c r="I395" i="1"/>
  <c r="H260" i="1"/>
  <c r="I260" i="1" s="1"/>
  <c r="F399" i="1"/>
  <c r="G378" i="1"/>
  <c r="F360" i="1"/>
  <c r="P228" i="1"/>
  <c r="P364" i="1" s="1"/>
  <c r="O224" i="1"/>
  <c r="O360" i="1" s="1"/>
  <c r="P224" i="1"/>
  <c r="P360" i="1" s="1"/>
  <c r="I364" i="1"/>
  <c r="F358" i="1"/>
  <c r="O228" i="1"/>
  <c r="O364" i="1" s="1"/>
  <c r="H226" i="1"/>
  <c r="I226" i="1" s="1"/>
  <c r="K224" i="1"/>
  <c r="K360" i="1" s="1"/>
  <c r="F345" i="1"/>
  <c r="S318" i="1"/>
  <c r="T318" i="1" s="1"/>
  <c r="S317" i="1"/>
  <c r="T317" i="1" s="1"/>
  <c r="S315" i="1"/>
  <c r="T315" i="1" s="1"/>
  <c r="H128" i="1"/>
  <c r="I128" i="1" s="1"/>
  <c r="H402" i="1"/>
  <c r="F396" i="1"/>
  <c r="S381" i="1"/>
  <c r="S377" i="1"/>
  <c r="T377" i="1" s="1"/>
  <c r="N205" i="1"/>
  <c r="N341" i="1" s="1"/>
  <c r="Q205" i="1"/>
  <c r="Q341" i="1" s="1"/>
  <c r="M205" i="1"/>
  <c r="M341" i="1" s="1"/>
  <c r="J205" i="1"/>
  <c r="J341" i="1" s="1"/>
  <c r="G370" i="1"/>
  <c r="T14" i="1"/>
  <c r="E389" i="1"/>
  <c r="D412" i="1"/>
  <c r="F412" i="1" s="1"/>
  <c r="I263" i="1"/>
  <c r="H399" i="1"/>
  <c r="I396" i="1"/>
  <c r="N206" i="1"/>
  <c r="I419" i="1"/>
  <c r="Q419" i="1"/>
  <c r="S419" i="1" s="1"/>
  <c r="S410" i="1"/>
  <c r="S385" i="1"/>
  <c r="T385" i="1" s="1"/>
  <c r="S378" i="1"/>
  <c r="T378" i="1" s="1"/>
  <c r="E370" i="1"/>
  <c r="E414" i="1" s="1"/>
  <c r="G246" i="1"/>
  <c r="F382" i="1"/>
  <c r="I215" i="1"/>
  <c r="T381" i="1"/>
  <c r="S353" i="1"/>
  <c r="H217" i="1"/>
  <c r="I217" i="1" s="1"/>
  <c r="T217" i="1" s="1"/>
  <c r="T463" i="1"/>
  <c r="F463" i="1"/>
  <c r="J418" i="1"/>
  <c r="S418" i="1" s="1"/>
  <c r="T418" i="1" s="1"/>
  <c r="I265" i="1"/>
  <c r="H401" i="1"/>
  <c r="K396" i="1"/>
  <c r="D363" i="1"/>
  <c r="F202" i="1"/>
  <c r="D212" i="1"/>
  <c r="S180" i="1"/>
  <c r="T180" i="1" s="1"/>
  <c r="S178" i="1"/>
  <c r="G396" i="1"/>
  <c r="G394" i="1"/>
  <c r="F105" i="1"/>
  <c r="D377" i="1"/>
  <c r="I79" i="1"/>
  <c r="K73" i="1"/>
  <c r="M209" i="1"/>
  <c r="M345" i="1" s="1"/>
  <c r="Q209" i="1"/>
  <c r="Q345" i="1" s="1"/>
  <c r="J209" i="1"/>
  <c r="O209" i="1"/>
  <c r="O345" i="1" s="1"/>
  <c r="I345" i="1"/>
  <c r="K70" i="1"/>
  <c r="L206" i="1"/>
  <c r="L342" i="1" s="1"/>
  <c r="P206" i="1"/>
  <c r="P342" i="1" s="1"/>
  <c r="J206" i="1"/>
  <c r="O206" i="1"/>
  <c r="O342" i="1" s="1"/>
  <c r="I342" i="1"/>
  <c r="H426" i="1"/>
  <c r="I426" i="1" s="1"/>
  <c r="T426" i="1" s="1"/>
  <c r="H395" i="1"/>
  <c r="T384" i="1"/>
  <c r="T382" i="1"/>
  <c r="D382" i="1"/>
  <c r="F354" i="1"/>
  <c r="H351" i="1"/>
  <c r="H346" i="1"/>
  <c r="F344" i="1"/>
  <c r="H342" i="1"/>
  <c r="D338" i="1"/>
  <c r="S319" i="1"/>
  <c r="G268" i="1"/>
  <c r="F262" i="1"/>
  <c r="D268" i="1"/>
  <c r="I257" i="1"/>
  <c r="F249" i="1"/>
  <c r="G249" i="1" s="1"/>
  <c r="F225" i="1"/>
  <c r="D361" i="1"/>
  <c r="D359" i="1"/>
  <c r="P209" i="1"/>
  <c r="P345" i="1" s="1"/>
  <c r="M206" i="1"/>
  <c r="M342" i="1" s="1"/>
  <c r="I121" i="1"/>
  <c r="G384" i="1"/>
  <c r="F108" i="1"/>
  <c r="F107" i="1"/>
  <c r="S375" i="1"/>
  <c r="T375" i="1" s="1"/>
  <c r="I91" i="1"/>
  <c r="I89" i="1"/>
  <c r="I87" i="1"/>
  <c r="H359" i="1"/>
  <c r="I85" i="1"/>
  <c r="I83" i="1"/>
  <c r="H355" i="1"/>
  <c r="D94" i="1"/>
  <c r="F80" i="1"/>
  <c r="D352" i="1"/>
  <c r="J203" i="1"/>
  <c r="O203" i="1"/>
  <c r="K67" i="1"/>
  <c r="L203" i="1"/>
  <c r="Q203" i="1"/>
  <c r="I339" i="1"/>
  <c r="F66" i="1"/>
  <c r="D76" i="1"/>
  <c r="J397" i="1"/>
  <c r="J404" i="1" s="1"/>
  <c r="H393" i="1"/>
  <c r="J383" i="1"/>
  <c r="S383" i="1" s="1"/>
  <c r="D380" i="1"/>
  <c r="F378" i="1"/>
  <c r="J376" i="1"/>
  <c r="S376" i="1" s="1"/>
  <c r="T376" i="1" s="1"/>
  <c r="G351" i="1"/>
  <c r="H345" i="1"/>
  <c r="D345" i="1"/>
  <c r="H339" i="1"/>
  <c r="F273" i="1"/>
  <c r="D276" i="1"/>
  <c r="F243" i="1"/>
  <c r="G243" i="1" s="1"/>
  <c r="D230" i="1"/>
  <c r="L228" i="1"/>
  <c r="F221" i="1"/>
  <c r="D357" i="1"/>
  <c r="D355" i="1"/>
  <c r="N209" i="1"/>
  <c r="N345" i="1" s="1"/>
  <c r="F205" i="1"/>
  <c r="T204" i="1"/>
  <c r="M203" i="1"/>
  <c r="S181" i="1"/>
  <c r="T181" i="1" s="1"/>
  <c r="I402" i="1"/>
  <c r="G132" i="1"/>
  <c r="G393" i="1"/>
  <c r="I81" i="1"/>
  <c r="F351" i="1"/>
  <c r="K74" i="1"/>
  <c r="N210" i="1"/>
  <c r="N346" i="1" s="1"/>
  <c r="O210" i="1"/>
  <c r="O346" i="1" s="1"/>
  <c r="I346" i="1"/>
  <c r="F68" i="1"/>
  <c r="E98" i="1"/>
  <c r="E142" i="1" s="1"/>
  <c r="I410" i="1"/>
  <c r="T410" i="1" s="1"/>
  <c r="F402" i="1"/>
  <c r="K400" i="1"/>
  <c r="D398" i="1"/>
  <c r="D404" i="1" s="1"/>
  <c r="D405" i="1" s="1"/>
  <c r="F395" i="1"/>
  <c r="D385" i="1"/>
  <c r="F384" i="1"/>
  <c r="T383" i="1"/>
  <c r="D383" i="1"/>
  <c r="S379" i="1"/>
  <c r="T379" i="1" s="1"/>
  <c r="F364" i="1"/>
  <c r="F346" i="1"/>
  <c r="H344" i="1"/>
  <c r="F342" i="1"/>
  <c r="K268" i="1"/>
  <c r="H258" i="1"/>
  <c r="I258" i="1" s="1"/>
  <c r="F241" i="1"/>
  <c r="K228" i="1"/>
  <c r="K364" i="1" s="1"/>
  <c r="F227" i="1"/>
  <c r="L224" i="1"/>
  <c r="F220" i="1"/>
  <c r="Q210" i="1"/>
  <c r="Q346" i="1" s="1"/>
  <c r="J210" i="1"/>
  <c r="L209" i="1"/>
  <c r="L345" i="1" s="1"/>
  <c r="Q206" i="1"/>
  <c r="Q342" i="1" s="1"/>
  <c r="S184" i="1"/>
  <c r="T184" i="1" s="1"/>
  <c r="S182" i="1"/>
  <c r="T182" i="1" s="1"/>
  <c r="F132" i="1"/>
  <c r="D132" i="1"/>
  <c r="J132" i="1"/>
  <c r="F113" i="1"/>
  <c r="S92" i="1"/>
  <c r="T92" i="1" s="1"/>
  <c r="L364" i="1"/>
  <c r="I90" i="1"/>
  <c r="H362" i="1"/>
  <c r="S88" i="1"/>
  <c r="T88" i="1" s="1"/>
  <c r="L360" i="1"/>
  <c r="I86" i="1"/>
  <c r="H358" i="1"/>
  <c r="S84" i="1"/>
  <c r="T84" i="1" s="1"/>
  <c r="I82" i="1"/>
  <c r="H354" i="1"/>
  <c r="M208" i="1"/>
  <c r="M344" i="1" s="1"/>
  <c r="Q208" i="1"/>
  <c r="Q344" i="1" s="1"/>
  <c r="K72" i="1"/>
  <c r="J208" i="1"/>
  <c r="P208" i="1"/>
  <c r="P344" i="1" s="1"/>
  <c r="I344" i="1"/>
  <c r="K69" i="1"/>
  <c r="L205" i="1"/>
  <c r="P205" i="1"/>
  <c r="P341" i="1" s="1"/>
  <c r="O205" i="1"/>
  <c r="O341" i="1" s="1"/>
  <c r="H122" i="1"/>
  <c r="K132" i="1"/>
  <c r="F111" i="1"/>
  <c r="D115" i="1"/>
  <c r="F103" i="1"/>
  <c r="M228" i="1"/>
  <c r="M364" i="1" s="1"/>
  <c r="Q228" i="1"/>
  <c r="Q364" i="1" s="1"/>
  <c r="M224" i="1"/>
  <c r="M360" i="1" s="1"/>
  <c r="Q224" i="1"/>
  <c r="Q360" i="1" s="1"/>
  <c r="G409" i="1"/>
  <c r="G412" i="1" s="1"/>
  <c r="G398" i="1"/>
  <c r="G397" i="1"/>
  <c r="K393" i="1"/>
  <c r="G382" i="1"/>
  <c r="H364" i="1"/>
  <c r="H360" i="1"/>
  <c r="D353" i="1"/>
  <c r="F245" i="1"/>
  <c r="G245" i="1" s="1"/>
  <c r="D251" i="1"/>
  <c r="N228" i="1"/>
  <c r="N364" i="1" s="1"/>
  <c r="N224" i="1"/>
  <c r="N360" i="1" s="1"/>
  <c r="S183" i="1"/>
  <c r="T183" i="1" s="1"/>
  <c r="S179" i="1"/>
  <c r="T179" i="1" s="1"/>
  <c r="H126" i="1"/>
  <c r="F109" i="1"/>
  <c r="N96" i="1"/>
  <c r="N98" i="1"/>
  <c r="F71" i="1"/>
  <c r="T34" i="1"/>
  <c r="E96" i="1"/>
  <c r="E368" i="1" l="1"/>
  <c r="E390" i="1" s="1"/>
  <c r="I400" i="1"/>
  <c r="S360" i="1"/>
  <c r="T360" i="1" s="1"/>
  <c r="T419" i="1"/>
  <c r="K404" i="1"/>
  <c r="K405" i="1" s="1"/>
  <c r="H400" i="1"/>
  <c r="H396" i="1"/>
  <c r="D387" i="1"/>
  <c r="H353" i="1"/>
  <c r="S316" i="1"/>
  <c r="T316" i="1" s="1"/>
  <c r="S186" i="1"/>
  <c r="T186" i="1" s="1"/>
  <c r="D366" i="1"/>
  <c r="S364" i="1"/>
  <c r="T364" i="1" s="1"/>
  <c r="S224" i="1"/>
  <c r="T224" i="1" s="1"/>
  <c r="S168" i="1"/>
  <c r="T168" i="1" s="1"/>
  <c r="D389" i="1"/>
  <c r="H71" i="1"/>
  <c r="F343" i="1"/>
  <c r="S21" i="1"/>
  <c r="T21" i="1" s="1"/>
  <c r="S31" i="1"/>
  <c r="S32" i="1"/>
  <c r="T32" i="1" s="1"/>
  <c r="S304" i="1"/>
  <c r="T304" i="1" s="1"/>
  <c r="I122" i="1"/>
  <c r="H394" i="1"/>
  <c r="L341" i="1"/>
  <c r="S205" i="1"/>
  <c r="S210" i="1"/>
  <c r="T210" i="1" s="1"/>
  <c r="J346" i="1"/>
  <c r="G241" i="1"/>
  <c r="F251" i="1"/>
  <c r="F253" i="1" s="1"/>
  <c r="S58" i="1"/>
  <c r="T58" i="1" s="1"/>
  <c r="H221" i="1"/>
  <c r="F357" i="1"/>
  <c r="O339" i="1"/>
  <c r="H80" i="1"/>
  <c r="F94" i="1"/>
  <c r="F352" i="1"/>
  <c r="M223" i="1"/>
  <c r="M359" i="1" s="1"/>
  <c r="Q223" i="1"/>
  <c r="Q359" i="1" s="1"/>
  <c r="L87" i="1"/>
  <c r="J223" i="1"/>
  <c r="O223" i="1"/>
  <c r="O359" i="1" s="1"/>
  <c r="P223" i="1"/>
  <c r="P359" i="1" s="1"/>
  <c r="K223" i="1"/>
  <c r="K359" i="1" s="1"/>
  <c r="I359" i="1"/>
  <c r="N223" i="1"/>
  <c r="N359" i="1" s="1"/>
  <c r="G107" i="1"/>
  <c r="F379" i="1"/>
  <c r="S158" i="1"/>
  <c r="T158" i="1" s="1"/>
  <c r="S70" i="1"/>
  <c r="T70" i="1" s="1"/>
  <c r="S73" i="1"/>
  <c r="T73" i="1" s="1"/>
  <c r="K209" i="1"/>
  <c r="K345" i="1" s="1"/>
  <c r="J405" i="1"/>
  <c r="D253" i="1"/>
  <c r="G111" i="1"/>
  <c r="F383" i="1"/>
  <c r="S54" i="1"/>
  <c r="T54" i="1" s="1"/>
  <c r="S208" i="1"/>
  <c r="T208" i="1" s="1"/>
  <c r="J344" i="1"/>
  <c r="F363" i="1"/>
  <c r="H227" i="1"/>
  <c r="K346" i="1"/>
  <c r="S74" i="1"/>
  <c r="T74" i="1" s="1"/>
  <c r="T81" i="1"/>
  <c r="I353" i="1"/>
  <c r="T353" i="1" s="1"/>
  <c r="E232" i="1"/>
  <c r="E234" i="1"/>
  <c r="E278" i="1" s="1"/>
  <c r="F409" i="1"/>
  <c r="H273" i="1"/>
  <c r="F276" i="1"/>
  <c r="Q339" i="1"/>
  <c r="S203" i="1"/>
  <c r="T203" i="1" s="1"/>
  <c r="J339" i="1"/>
  <c r="L85" i="1"/>
  <c r="H262" i="1"/>
  <c r="I262" i="1" s="1"/>
  <c r="I268" i="1" s="1"/>
  <c r="F398" i="1"/>
  <c r="F404" i="1" s="1"/>
  <c r="F405" i="1" s="1"/>
  <c r="K406" i="1" s="1"/>
  <c r="S423" i="1"/>
  <c r="T423" i="1" s="1"/>
  <c r="S25" i="1"/>
  <c r="T25" i="1" s="1"/>
  <c r="J342" i="1"/>
  <c r="J345" i="1"/>
  <c r="G105" i="1"/>
  <c r="F377" i="1"/>
  <c r="F212" i="1"/>
  <c r="H202" i="1"/>
  <c r="S322" i="1"/>
  <c r="S228" i="1"/>
  <c r="T228" i="1" s="1"/>
  <c r="I126" i="1"/>
  <c r="H398" i="1"/>
  <c r="S59" i="1"/>
  <c r="T59" i="1" s="1"/>
  <c r="G103" i="1"/>
  <c r="F115" i="1"/>
  <c r="F117" i="1" s="1"/>
  <c r="F375" i="1"/>
  <c r="S69" i="1"/>
  <c r="T69" i="1" s="1"/>
  <c r="K341" i="1"/>
  <c r="S72" i="1"/>
  <c r="T72" i="1" s="1"/>
  <c r="K344" i="1"/>
  <c r="D96" i="1"/>
  <c r="H205" i="1"/>
  <c r="F341" i="1"/>
  <c r="S159" i="1"/>
  <c r="T159" i="1" s="1"/>
  <c r="H66" i="1"/>
  <c r="F76" i="1"/>
  <c r="F338" i="1"/>
  <c r="L339" i="1"/>
  <c r="M227" i="1"/>
  <c r="M363" i="1" s="1"/>
  <c r="Q227" i="1"/>
  <c r="Q363" i="1" s="1"/>
  <c r="P91" i="1"/>
  <c r="J227" i="1"/>
  <c r="O227" i="1"/>
  <c r="O363" i="1" s="1"/>
  <c r="N227" i="1"/>
  <c r="N363" i="1" s="1"/>
  <c r="P227" i="1"/>
  <c r="K227" i="1"/>
  <c r="K363" i="1" s="1"/>
  <c r="L227" i="1"/>
  <c r="L363" i="1" s="1"/>
  <c r="G108" i="1"/>
  <c r="F380" i="1"/>
  <c r="H132" i="1"/>
  <c r="D348" i="1"/>
  <c r="S161" i="1"/>
  <c r="T161" i="1" s="1"/>
  <c r="I401" i="1"/>
  <c r="F230" i="1"/>
  <c r="T319" i="1"/>
  <c r="I399" i="1"/>
  <c r="S33" i="1"/>
  <c r="G109" i="1"/>
  <c r="F381" i="1"/>
  <c r="S157" i="1"/>
  <c r="T157" i="1" s="1"/>
  <c r="D117" i="1"/>
  <c r="S35" i="1"/>
  <c r="T35" i="1" s="1"/>
  <c r="M218" i="1"/>
  <c r="M354" i="1" s="1"/>
  <c r="Q218" i="1"/>
  <c r="Q354" i="1" s="1"/>
  <c r="L82" i="1"/>
  <c r="K218" i="1"/>
  <c r="K354" i="1" s="1"/>
  <c r="P218" i="1"/>
  <c r="P354" i="1" s="1"/>
  <c r="O218" i="1"/>
  <c r="O354" i="1" s="1"/>
  <c r="I354" i="1"/>
  <c r="J218" i="1"/>
  <c r="L218" i="1"/>
  <c r="N218" i="1"/>
  <c r="N354" i="1" s="1"/>
  <c r="M222" i="1"/>
  <c r="M358" i="1" s="1"/>
  <c r="Q222" i="1"/>
  <c r="Q358" i="1" s="1"/>
  <c r="L86" i="1"/>
  <c r="L222" i="1" s="1"/>
  <c r="K222" i="1"/>
  <c r="K358" i="1" s="1"/>
  <c r="P222" i="1"/>
  <c r="P358" i="1" s="1"/>
  <c r="N222" i="1"/>
  <c r="N358" i="1" s="1"/>
  <c r="O222" i="1"/>
  <c r="O358" i="1" s="1"/>
  <c r="I358" i="1"/>
  <c r="J222" i="1"/>
  <c r="M226" i="1"/>
  <c r="M362" i="1" s="1"/>
  <c r="Q226" i="1"/>
  <c r="Q362" i="1" s="1"/>
  <c r="P90" i="1"/>
  <c r="K226" i="1"/>
  <c r="K362" i="1" s="1"/>
  <c r="P226" i="1"/>
  <c r="L226" i="1"/>
  <c r="L362" i="1" s="1"/>
  <c r="N226" i="1"/>
  <c r="N362" i="1" s="1"/>
  <c r="O226" i="1"/>
  <c r="O362" i="1" s="1"/>
  <c r="I362" i="1"/>
  <c r="J226" i="1"/>
  <c r="G113" i="1"/>
  <c r="F385" i="1"/>
  <c r="G234" i="1"/>
  <c r="H220" i="1"/>
  <c r="F356" i="1"/>
  <c r="H68" i="1"/>
  <c r="F340" i="1"/>
  <c r="G404" i="1"/>
  <c r="G405" i="1" s="1"/>
  <c r="M339" i="1"/>
  <c r="K206" i="1"/>
  <c r="K342" i="1" s="1"/>
  <c r="F268" i="1"/>
  <c r="S23" i="1"/>
  <c r="T23" i="1" s="1"/>
  <c r="S295" i="1"/>
  <c r="T295" i="1" s="1"/>
  <c r="S67" i="1"/>
  <c r="T67" i="1" s="1"/>
  <c r="K339" i="1"/>
  <c r="M219" i="1"/>
  <c r="M355" i="1" s="1"/>
  <c r="Q219" i="1"/>
  <c r="Q355" i="1" s="1"/>
  <c r="L83" i="1"/>
  <c r="L219" i="1" s="1"/>
  <c r="J219" i="1"/>
  <c r="O219" i="1"/>
  <c r="O355" i="1" s="1"/>
  <c r="K219" i="1"/>
  <c r="K355" i="1" s="1"/>
  <c r="I355" i="1"/>
  <c r="N219" i="1"/>
  <c r="N355" i="1" s="1"/>
  <c r="P219" i="1"/>
  <c r="P355" i="1" s="1"/>
  <c r="M89" i="1"/>
  <c r="I393" i="1"/>
  <c r="S150" i="1"/>
  <c r="T150" i="1" s="1"/>
  <c r="S152" i="1"/>
  <c r="T152" i="1" s="1"/>
  <c r="S286" i="1"/>
  <c r="T286" i="1" s="1"/>
  <c r="H225" i="1"/>
  <c r="F361" i="1"/>
  <c r="S22" i="1"/>
  <c r="T22" i="1" s="1"/>
  <c r="S294" i="1"/>
  <c r="T294" i="1" s="1"/>
  <c r="K215" i="1"/>
  <c r="O215" i="1"/>
  <c r="J215" i="1"/>
  <c r="P215" i="1"/>
  <c r="T79" i="1"/>
  <c r="N215" i="1"/>
  <c r="Q215" i="1"/>
  <c r="L215" i="1"/>
  <c r="M215" i="1"/>
  <c r="I351" i="1"/>
  <c r="T178" i="1"/>
  <c r="S314" i="1"/>
  <c r="N342" i="1"/>
  <c r="S341" i="1" l="1"/>
  <c r="H268" i="1"/>
  <c r="S206" i="1"/>
  <c r="T206" i="1" s="1"/>
  <c r="D370" i="1"/>
  <c r="D414" i="1" s="1"/>
  <c r="H404" i="1"/>
  <c r="H405" i="1" s="1"/>
  <c r="H406" i="1" s="1"/>
  <c r="J406" i="1"/>
  <c r="G406" i="1"/>
  <c r="F387" i="1"/>
  <c r="F366" i="1"/>
  <c r="S346" i="1"/>
  <c r="T346" i="1" s="1"/>
  <c r="F98" i="1"/>
  <c r="F142" i="1" s="1"/>
  <c r="F348" i="1"/>
  <c r="S297" i="1"/>
  <c r="T297" i="1" s="1"/>
  <c r="S13" i="1"/>
  <c r="T13" i="1" s="1"/>
  <c r="S285" i="1"/>
  <c r="T285" i="1" s="1"/>
  <c r="M351" i="1"/>
  <c r="K351" i="1"/>
  <c r="I220" i="1"/>
  <c r="H230" i="1"/>
  <c r="H356" i="1"/>
  <c r="G385" i="1"/>
  <c r="S86" i="1"/>
  <c r="T86" i="1" s="1"/>
  <c r="L358" i="1"/>
  <c r="G381" i="1"/>
  <c r="F389" i="1"/>
  <c r="G377" i="1"/>
  <c r="S192" i="1"/>
  <c r="T192" i="1" s="1"/>
  <c r="S85" i="1"/>
  <c r="T85" i="1" s="1"/>
  <c r="G379" i="1"/>
  <c r="J359" i="1"/>
  <c r="F234" i="1"/>
  <c r="F278" i="1" s="1"/>
  <c r="T314" i="1"/>
  <c r="T322" i="1"/>
  <c r="L351" i="1"/>
  <c r="P351" i="1"/>
  <c r="S226" i="1"/>
  <c r="T226" i="1" s="1"/>
  <c r="J362" i="1"/>
  <c r="S90" i="1"/>
  <c r="T90" i="1" s="1"/>
  <c r="P94" i="1"/>
  <c r="P362" i="1"/>
  <c r="S222" i="1"/>
  <c r="T222" i="1" s="1"/>
  <c r="J358" i="1"/>
  <c r="S218" i="1"/>
  <c r="T218" i="1" s="1"/>
  <c r="J354" i="1"/>
  <c r="F232" i="1"/>
  <c r="I398" i="1"/>
  <c r="S209" i="1"/>
  <c r="T209" i="1" s="1"/>
  <c r="S170" i="1"/>
  <c r="T170" i="1" s="1"/>
  <c r="S306" i="1"/>
  <c r="T306" i="1" s="1"/>
  <c r="D234" i="1"/>
  <c r="D278" i="1" s="1"/>
  <c r="S87" i="1"/>
  <c r="T87" i="1" s="1"/>
  <c r="F96" i="1"/>
  <c r="I221" i="1"/>
  <c r="H357" i="1"/>
  <c r="I394" i="1"/>
  <c r="I404" i="1" s="1"/>
  <c r="I71" i="1"/>
  <c r="H343" i="1"/>
  <c r="Q351" i="1"/>
  <c r="J351" i="1"/>
  <c r="S89" i="1"/>
  <c r="T89" i="1" s="1"/>
  <c r="M94" i="1"/>
  <c r="S219" i="1"/>
  <c r="T219" i="1" s="1"/>
  <c r="J355" i="1"/>
  <c r="H340" i="1"/>
  <c r="I68" i="1"/>
  <c r="G380" i="1"/>
  <c r="S227" i="1"/>
  <c r="J363" i="1"/>
  <c r="I66" i="1"/>
  <c r="H76" i="1"/>
  <c r="H338" i="1"/>
  <c r="I205" i="1"/>
  <c r="H341" i="1"/>
  <c r="D98" i="1"/>
  <c r="D142" i="1" s="1"/>
  <c r="G115" i="1"/>
  <c r="G375" i="1"/>
  <c r="S345" i="1"/>
  <c r="T345" i="1" s="1"/>
  <c r="S56" i="1"/>
  <c r="T56" i="1" s="1"/>
  <c r="S328" i="1"/>
  <c r="T328" i="1" s="1"/>
  <c r="H276" i="1"/>
  <c r="H409" i="1"/>
  <c r="H412" i="1" s="1"/>
  <c r="I273" i="1"/>
  <c r="I227" i="1"/>
  <c r="H363" i="1"/>
  <c r="S344" i="1"/>
  <c r="T344" i="1" s="1"/>
  <c r="S171" i="1"/>
  <c r="T171" i="1" s="1"/>
  <c r="L223" i="1"/>
  <c r="S223" i="1" s="1"/>
  <c r="T223" i="1" s="1"/>
  <c r="H352" i="1"/>
  <c r="I80" i="1"/>
  <c r="H94" i="1"/>
  <c r="S293" i="1"/>
  <c r="T293" i="1" s="1"/>
  <c r="N351" i="1"/>
  <c r="O351" i="1"/>
  <c r="I225" i="1"/>
  <c r="H361" i="1"/>
  <c r="I132" i="1"/>
  <c r="S83" i="1"/>
  <c r="T83" i="1" s="1"/>
  <c r="L355" i="1"/>
  <c r="D232" i="1"/>
  <c r="S82" i="1"/>
  <c r="T82" i="1" s="1"/>
  <c r="L354" i="1"/>
  <c r="S307" i="1"/>
  <c r="T307" i="1" s="1"/>
  <c r="G98" i="1"/>
  <c r="S91" i="1"/>
  <c r="T91" i="1" s="1"/>
  <c r="P363" i="1"/>
  <c r="I202" i="1"/>
  <c r="H212" i="1"/>
  <c r="S342" i="1"/>
  <c r="T342" i="1" s="1"/>
  <c r="S339" i="1"/>
  <c r="T339" i="1" s="1"/>
  <c r="G383" i="1"/>
  <c r="G251" i="1"/>
  <c r="D368" i="1" l="1"/>
  <c r="D390" i="1" s="1"/>
  <c r="S358" i="1"/>
  <c r="T358" i="1" s="1"/>
  <c r="H234" i="1"/>
  <c r="H278" i="1" s="1"/>
  <c r="L359" i="1"/>
  <c r="S359" i="1" s="1"/>
  <c r="T359" i="1" s="1"/>
  <c r="S362" i="1"/>
  <c r="T362" i="1" s="1"/>
  <c r="H96" i="1"/>
  <c r="S155" i="1"/>
  <c r="T155" i="1" s="1"/>
  <c r="F370" i="1"/>
  <c r="F414" i="1" s="1"/>
  <c r="F368" i="1"/>
  <c r="F390" i="1" s="1"/>
  <c r="T227" i="1"/>
  <c r="I363" i="1"/>
  <c r="H348" i="1"/>
  <c r="S363" i="1"/>
  <c r="T68" i="1"/>
  <c r="I340" i="1"/>
  <c r="T340" i="1" s="1"/>
  <c r="S355" i="1"/>
  <c r="T355" i="1" s="1"/>
  <c r="M96" i="1"/>
  <c r="M98" i="1"/>
  <c r="K71" i="1"/>
  <c r="L207" i="1"/>
  <c r="P207" i="1"/>
  <c r="J207" i="1"/>
  <c r="O207" i="1"/>
  <c r="I343" i="1"/>
  <c r="M207" i="1"/>
  <c r="N207" i="1"/>
  <c r="Q207" i="1"/>
  <c r="K207" i="1"/>
  <c r="M221" i="1"/>
  <c r="M357" i="1" s="1"/>
  <c r="K221" i="1"/>
  <c r="K357" i="1" s="1"/>
  <c r="J221" i="1"/>
  <c r="Q221" i="1"/>
  <c r="Q357" i="1" s="1"/>
  <c r="I357" i="1"/>
  <c r="P221" i="1"/>
  <c r="P357" i="1" s="1"/>
  <c r="L221" i="1"/>
  <c r="L357" i="1" s="1"/>
  <c r="N221" i="1"/>
  <c r="N357" i="1" s="1"/>
  <c r="O221" i="1"/>
  <c r="O357" i="1" s="1"/>
  <c r="S354" i="1"/>
  <c r="T354" i="1" s="1"/>
  <c r="T31" i="1"/>
  <c r="M216" i="1"/>
  <c r="Q216" i="1"/>
  <c r="K216" i="1"/>
  <c r="P216" i="1"/>
  <c r="L80" i="1"/>
  <c r="L216" i="1"/>
  <c r="N216" i="1"/>
  <c r="I352" i="1"/>
  <c r="O216" i="1"/>
  <c r="J216" i="1"/>
  <c r="I94" i="1"/>
  <c r="G387" i="1"/>
  <c r="P96" i="1"/>
  <c r="P98" i="1"/>
  <c r="S422" i="1"/>
  <c r="T422" i="1" s="1"/>
  <c r="S424" i="1"/>
  <c r="T424" i="1" s="1"/>
  <c r="G253" i="1"/>
  <c r="G278" i="1" s="1"/>
  <c r="H98" i="1"/>
  <c r="H142" i="1" s="1"/>
  <c r="T33" i="1"/>
  <c r="K202" i="1"/>
  <c r="I212" i="1"/>
  <c r="H366" i="1"/>
  <c r="G117" i="1"/>
  <c r="G142" i="1" s="1"/>
  <c r="I76" i="1"/>
  <c r="I338" i="1"/>
  <c r="T66" i="1"/>
  <c r="I405" i="1"/>
  <c r="I406" i="1" s="1"/>
  <c r="S12" i="1"/>
  <c r="T12" i="1" s="1"/>
  <c r="S16" i="1"/>
  <c r="H232" i="1"/>
  <c r="S19" i="1"/>
  <c r="T19" i="1" s="1"/>
  <c r="L225" i="1"/>
  <c r="L361" i="1" s="1"/>
  <c r="K225" i="1"/>
  <c r="K361" i="1" s="1"/>
  <c r="I361" i="1"/>
  <c r="M225" i="1"/>
  <c r="M361" i="1" s="1"/>
  <c r="J225" i="1"/>
  <c r="N225" i="1"/>
  <c r="N361" i="1" s="1"/>
  <c r="Q225" i="1"/>
  <c r="Q361" i="1" s="1"/>
  <c r="P225" i="1"/>
  <c r="P361" i="1" s="1"/>
  <c r="O225" i="1"/>
  <c r="O361" i="1" s="1"/>
  <c r="I276" i="1"/>
  <c r="I409" i="1"/>
  <c r="T205" i="1"/>
  <c r="I341" i="1"/>
  <c r="T341" i="1" s="1"/>
  <c r="T16" i="1"/>
  <c r="O220" i="1"/>
  <c r="O356" i="1" s="1"/>
  <c r="I356" i="1"/>
  <c r="J220" i="1"/>
  <c r="P220" i="1"/>
  <c r="P356" i="1" s="1"/>
  <c r="K220" i="1"/>
  <c r="K356" i="1" s="1"/>
  <c r="L220" i="1"/>
  <c r="L356" i="1" s="1"/>
  <c r="Q220" i="1"/>
  <c r="Q356" i="1" s="1"/>
  <c r="N220" i="1"/>
  <c r="N356" i="1" s="1"/>
  <c r="M220" i="1"/>
  <c r="M356" i="1" s="1"/>
  <c r="I230" i="1"/>
  <c r="H370" i="1" l="1"/>
  <c r="H414" i="1" s="1"/>
  <c r="G389" i="1"/>
  <c r="G414" i="1" s="1"/>
  <c r="G390" i="1"/>
  <c r="G391" i="1" s="1"/>
  <c r="I366" i="1"/>
  <c r="P352" i="1"/>
  <c r="P366" i="1" s="1"/>
  <c r="P230" i="1"/>
  <c r="M343" i="1"/>
  <c r="M348" i="1" s="1"/>
  <c r="M212" i="1"/>
  <c r="S193" i="1"/>
  <c r="T193" i="1" s="1"/>
  <c r="S191" i="1"/>
  <c r="T191" i="1" s="1"/>
  <c r="I96" i="1"/>
  <c r="J356" i="1"/>
  <c r="S356" i="1" s="1"/>
  <c r="T356" i="1" s="1"/>
  <c r="S220" i="1"/>
  <c r="T220" i="1" s="1"/>
  <c r="S291" i="1"/>
  <c r="T291" i="1" s="1"/>
  <c r="S305" i="1"/>
  <c r="T305" i="1" s="1"/>
  <c r="S169" i="1"/>
  <c r="T169" i="1" s="1"/>
  <c r="S194" i="1"/>
  <c r="T194" i="1" s="1"/>
  <c r="S330" i="1"/>
  <c r="S160" i="1"/>
  <c r="T160" i="1" s="1"/>
  <c r="S27" i="1"/>
  <c r="T27" i="1" s="1"/>
  <c r="S284" i="1"/>
  <c r="T284" i="1" s="1"/>
  <c r="S288" i="1"/>
  <c r="T288" i="1" s="1"/>
  <c r="I348" i="1"/>
  <c r="S20" i="1"/>
  <c r="T20" i="1" s="1"/>
  <c r="S202" i="1"/>
  <c r="T202" i="1" s="1"/>
  <c r="K212" i="1"/>
  <c r="K338" i="1"/>
  <c r="S166" i="1"/>
  <c r="T166" i="1" s="1"/>
  <c r="I232" i="1"/>
  <c r="N352" i="1"/>
  <c r="N366" i="1" s="1"/>
  <c r="N230" i="1"/>
  <c r="K352" i="1"/>
  <c r="K366" i="1" s="1"/>
  <c r="K230" i="1"/>
  <c r="T330" i="1"/>
  <c r="S189" i="1"/>
  <c r="T189" i="1" s="1"/>
  <c r="S221" i="1"/>
  <c r="T221" i="1" s="1"/>
  <c r="J357" i="1"/>
  <c r="S357" i="1" s="1"/>
  <c r="T357" i="1" s="1"/>
  <c r="P343" i="1"/>
  <c r="P348" i="1" s="1"/>
  <c r="P212" i="1"/>
  <c r="I412" i="1"/>
  <c r="S225" i="1"/>
  <c r="T225" i="1" s="1"/>
  <c r="J361" i="1"/>
  <c r="S361" i="1" s="1"/>
  <c r="T361" i="1" s="1"/>
  <c r="S190" i="1"/>
  <c r="T190" i="1" s="1"/>
  <c r="S326" i="1"/>
  <c r="T326" i="1" s="1"/>
  <c r="S156" i="1"/>
  <c r="T156" i="1" s="1"/>
  <c r="H368" i="1"/>
  <c r="H390" i="1" s="1"/>
  <c r="H391" i="1" s="1"/>
  <c r="S39" i="1"/>
  <c r="T39" i="1" s="1"/>
  <c r="S30" i="1"/>
  <c r="T30" i="1" s="1"/>
  <c r="S195" i="1"/>
  <c r="T195" i="1" s="1"/>
  <c r="S331" i="1"/>
  <c r="S37" i="1"/>
  <c r="T37" i="1" s="1"/>
  <c r="S309" i="1"/>
  <c r="T309" i="1" s="1"/>
  <c r="J352" i="1"/>
  <c r="S216" i="1"/>
  <c r="T216" i="1" s="1"/>
  <c r="J230" i="1"/>
  <c r="L230" i="1"/>
  <c r="Q352" i="1"/>
  <c r="Q366" i="1" s="1"/>
  <c r="Q230" i="1"/>
  <c r="S61" i="1"/>
  <c r="T61" i="1" s="1"/>
  <c r="S53" i="1"/>
  <c r="T53" i="1" s="1"/>
  <c r="Q343" i="1"/>
  <c r="Q348" i="1" s="1"/>
  <c r="Q212" i="1"/>
  <c r="O343" i="1"/>
  <c r="O348" i="1" s="1"/>
  <c r="O212" i="1"/>
  <c r="L343" i="1"/>
  <c r="L348" i="1" s="1"/>
  <c r="L212" i="1"/>
  <c r="S57" i="1"/>
  <c r="T57" i="1" s="1"/>
  <c r="S329" i="1"/>
  <c r="T329" i="1" s="1"/>
  <c r="S55" i="1"/>
  <c r="T55" i="1" s="1"/>
  <c r="S327" i="1"/>
  <c r="T327" i="1" s="1"/>
  <c r="T331" i="1"/>
  <c r="O352" i="1"/>
  <c r="O366" i="1" s="1"/>
  <c r="O230" i="1"/>
  <c r="S80" i="1"/>
  <c r="T80" i="1" s="1"/>
  <c r="L352" i="1"/>
  <c r="L366" i="1" s="1"/>
  <c r="L94" i="1"/>
  <c r="M352" i="1"/>
  <c r="M366" i="1" s="1"/>
  <c r="M230" i="1"/>
  <c r="S24" i="1"/>
  <c r="T24" i="1" s="1"/>
  <c r="S296" i="1"/>
  <c r="T296" i="1" s="1"/>
  <c r="S303" i="1"/>
  <c r="T303" i="1" s="1"/>
  <c r="S167" i="1"/>
  <c r="T167" i="1" s="1"/>
  <c r="N343" i="1"/>
  <c r="N348" i="1" s="1"/>
  <c r="N212" i="1"/>
  <c r="J343" i="1"/>
  <c r="S207" i="1"/>
  <c r="T207" i="1" s="1"/>
  <c r="J212" i="1"/>
  <c r="K343" i="1"/>
  <c r="S71" i="1"/>
  <c r="T71" i="1" s="1"/>
  <c r="K76" i="1"/>
  <c r="T363" i="1"/>
  <c r="P234" i="1" l="1"/>
  <c r="S212" i="1"/>
  <c r="T212" i="1" s="1"/>
  <c r="L234" i="1"/>
  <c r="S197" i="1"/>
  <c r="T197" i="1" s="1"/>
  <c r="P370" i="1"/>
  <c r="M234" i="1"/>
  <c r="K234" i="1"/>
  <c r="Q370" i="1"/>
  <c r="J98" i="1"/>
  <c r="S352" i="1"/>
  <c r="T352" i="1" s="1"/>
  <c r="J366" i="1"/>
  <c r="S302" i="1"/>
  <c r="T302" i="1" s="1"/>
  <c r="L232" i="1"/>
  <c r="O370" i="1"/>
  <c r="S343" i="1"/>
  <c r="T343" i="1" s="1"/>
  <c r="J348" i="1"/>
  <c r="O234" i="1"/>
  <c r="M370" i="1"/>
  <c r="S230" i="1"/>
  <c r="T230" i="1" s="1"/>
  <c r="S292" i="1"/>
  <c r="T292" i="1" s="1"/>
  <c r="N234" i="1"/>
  <c r="P232" i="1"/>
  <c r="K96" i="1"/>
  <c r="S76" i="1"/>
  <c r="T76" i="1" s="1"/>
  <c r="K98" i="1"/>
  <c r="K142" i="1" s="1"/>
  <c r="S325" i="1"/>
  <c r="T325" i="1" s="1"/>
  <c r="S333" i="1"/>
  <c r="T333" i="1" s="1"/>
  <c r="S63" i="1"/>
  <c r="T63" i="1" s="1"/>
  <c r="S94" i="1"/>
  <c r="T94" i="1" s="1"/>
  <c r="L96" i="1"/>
  <c r="L98" i="1"/>
  <c r="I234" i="1"/>
  <c r="S175" i="1"/>
  <c r="T175" i="1" s="1"/>
  <c r="K348" i="1"/>
  <c r="S338" i="1"/>
  <c r="T338" i="1" s="1"/>
  <c r="N370" i="1"/>
  <c r="Q234" i="1"/>
  <c r="S163" i="1"/>
  <c r="T163" i="1" s="1"/>
  <c r="I98" i="1"/>
  <c r="J96" i="1" l="1"/>
  <c r="P368" i="1"/>
  <c r="P390" i="1" s="1"/>
  <c r="P391" i="1" s="1"/>
  <c r="K232" i="1"/>
  <c r="N232" i="1"/>
  <c r="M232" i="1"/>
  <c r="Q368" i="1"/>
  <c r="Q390" i="1" s="1"/>
  <c r="Q391" i="1" s="1"/>
  <c r="K370" i="1"/>
  <c r="N368" i="1"/>
  <c r="N390" i="1" s="1"/>
  <c r="N391" i="1" s="1"/>
  <c r="L370" i="1"/>
  <c r="L368" i="1"/>
  <c r="L390" i="1" s="1"/>
  <c r="L391" i="1" s="1"/>
  <c r="S199" i="1"/>
  <c r="T199" i="1" s="1"/>
  <c r="J234" i="1"/>
  <c r="I142" i="1"/>
  <c r="I370" i="1"/>
  <c r="K368" i="1"/>
  <c r="K390" i="1" s="1"/>
  <c r="K391" i="1" s="1"/>
  <c r="S348" i="1"/>
  <c r="T348" i="1" s="1"/>
  <c r="S311" i="1"/>
  <c r="T311" i="1" s="1"/>
  <c r="I278" i="1"/>
  <c r="Q232" i="1"/>
  <c r="S96" i="1"/>
  <c r="T96" i="1" s="1"/>
  <c r="J368" i="1"/>
  <c r="S299" i="1"/>
  <c r="T299" i="1" s="1"/>
  <c r="J232" i="1"/>
  <c r="S366" i="1"/>
  <c r="T366" i="1" s="1"/>
  <c r="O368" i="1"/>
  <c r="O390" i="1" s="1"/>
  <c r="O391" i="1" s="1"/>
  <c r="I368" i="1"/>
  <c r="O232" i="1"/>
  <c r="S98" i="1"/>
  <c r="T98" i="1" s="1"/>
  <c r="J142" i="1"/>
  <c r="M368" i="1"/>
  <c r="M390" i="1" s="1"/>
  <c r="M391" i="1" s="1"/>
  <c r="S232" i="1" l="1"/>
  <c r="T232" i="1" s="1"/>
  <c r="S368" i="1"/>
  <c r="T368" i="1" s="1"/>
  <c r="J390" i="1"/>
  <c r="J391" i="1" s="1"/>
  <c r="J370" i="1"/>
  <c r="S335" i="1"/>
  <c r="T335" i="1" s="1"/>
  <c r="I390" i="1"/>
  <c r="I414" i="1"/>
  <c r="S234" i="1"/>
  <c r="T234" i="1" s="1"/>
  <c r="S370" i="1" l="1"/>
  <c r="T370" i="1" s="1"/>
  <c r="J49" i="35" l="1"/>
  <c r="A3" i="12" l="1"/>
  <c r="A3" i="13" s="1"/>
  <c r="A3" i="14" s="1"/>
  <c r="A3" i="15" s="1"/>
  <c r="A3" i="16" s="1"/>
  <c r="A3" i="17" s="1"/>
  <c r="A3" i="6"/>
  <c r="A3" i="7" s="1"/>
  <c r="A3" i="5"/>
  <c r="A3" i="3"/>
  <c r="A3" i="2"/>
  <c r="A3" i="75"/>
  <c r="D121" i="3"/>
  <c r="D122" i="3"/>
  <c r="D123" i="3"/>
  <c r="D124" i="3"/>
  <c r="D125" i="3"/>
  <c r="D66" i="3"/>
  <c r="I66" i="3" s="1"/>
  <c r="D68" i="3"/>
  <c r="I68" i="3" s="1"/>
  <c r="D126" i="3"/>
  <c r="D127" i="3"/>
  <c r="D128" i="3"/>
  <c r="D129" i="3"/>
  <c r="D130" i="3"/>
  <c r="M83" i="3"/>
  <c r="R83" i="3" s="1"/>
  <c r="M84" i="3"/>
  <c r="U84" i="3" s="1"/>
  <c r="M85" i="3"/>
  <c r="Q85" i="3" s="1"/>
  <c r="M86" i="3"/>
  <c r="M87" i="3"/>
  <c r="U87" i="3" s="1"/>
  <c r="M79" i="3"/>
  <c r="Q79" i="3" s="1"/>
  <c r="M80" i="3"/>
  <c r="V80" i="3" s="1"/>
  <c r="M81" i="3"/>
  <c r="W81" i="3" s="1"/>
  <c r="N85" i="3"/>
  <c r="M88" i="3"/>
  <c r="S88" i="3" s="1"/>
  <c r="M92" i="3"/>
  <c r="U92" i="3" s="1"/>
  <c r="M66" i="3"/>
  <c r="S66" i="3" s="1"/>
  <c r="M68" i="3"/>
  <c r="U68" i="3" s="1"/>
  <c r="O79" i="3"/>
  <c r="O88" i="3"/>
  <c r="R79" i="3"/>
  <c r="R88" i="3"/>
  <c r="T83" i="3"/>
  <c r="T66" i="3"/>
  <c r="W79" i="3"/>
  <c r="W88" i="3"/>
  <c r="M90" i="3"/>
  <c r="W90" i="3" s="1"/>
  <c r="M138" i="3"/>
  <c r="M147" i="3"/>
  <c r="O147" i="3" s="1"/>
  <c r="O15" i="21" s="1"/>
  <c r="O107" i="21" s="1"/>
  <c r="M154" i="3"/>
  <c r="M17" i="21" s="1"/>
  <c r="M156" i="3"/>
  <c r="M170" i="3"/>
  <c r="X89" i="3"/>
  <c r="J66" i="2"/>
  <c r="J67" i="2"/>
  <c r="J68" i="2"/>
  <c r="J69" i="2"/>
  <c r="J70" i="2"/>
  <c r="J71" i="2"/>
  <c r="J72" i="2"/>
  <c r="J73" i="2"/>
  <c r="J74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121" i="2"/>
  <c r="J122" i="2"/>
  <c r="J123" i="2"/>
  <c r="J124" i="2"/>
  <c r="J125" i="2"/>
  <c r="J126" i="2"/>
  <c r="J127" i="2"/>
  <c r="J128" i="2"/>
  <c r="J129" i="2"/>
  <c r="J130" i="2"/>
  <c r="J138" i="2"/>
  <c r="J146" i="2"/>
  <c r="J147" i="2"/>
  <c r="J154" i="2"/>
  <c r="J156" i="2"/>
  <c r="J170" i="2"/>
  <c r="J182" i="2"/>
  <c r="J183" i="2"/>
  <c r="G103" i="2"/>
  <c r="G104" i="2"/>
  <c r="G105" i="2"/>
  <c r="G106" i="2"/>
  <c r="G107" i="2"/>
  <c r="G108" i="2"/>
  <c r="G109" i="2"/>
  <c r="G110" i="2"/>
  <c r="G111" i="2"/>
  <c r="G112" i="2"/>
  <c r="G113" i="2"/>
  <c r="G121" i="2"/>
  <c r="G122" i="2"/>
  <c r="G123" i="2"/>
  <c r="G124" i="2"/>
  <c r="G125" i="2"/>
  <c r="G126" i="2"/>
  <c r="G127" i="2"/>
  <c r="G128" i="2"/>
  <c r="G129" i="2"/>
  <c r="G130" i="2"/>
  <c r="G137" i="2"/>
  <c r="G140" i="2" s="1"/>
  <c r="G138" i="2"/>
  <c r="G146" i="2"/>
  <c r="G147" i="2"/>
  <c r="G154" i="2"/>
  <c r="D17" i="20" s="1"/>
  <c r="D109" i="20" s="1"/>
  <c r="G156" i="2"/>
  <c r="G281" i="8"/>
  <c r="G170" i="2"/>
  <c r="G171" i="2"/>
  <c r="G181" i="2"/>
  <c r="G182" i="2"/>
  <c r="G183" i="2"/>
  <c r="G184" i="2"/>
  <c r="K66" i="2"/>
  <c r="K67" i="2"/>
  <c r="K68" i="2"/>
  <c r="K69" i="2"/>
  <c r="K70" i="2"/>
  <c r="K71" i="2"/>
  <c r="K72" i="2"/>
  <c r="K73" i="2"/>
  <c r="K74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121" i="2"/>
  <c r="K122" i="2"/>
  <c r="K123" i="2"/>
  <c r="K124" i="2"/>
  <c r="K125" i="2"/>
  <c r="K126" i="2"/>
  <c r="K127" i="2"/>
  <c r="K128" i="2"/>
  <c r="K129" i="2"/>
  <c r="K130" i="2"/>
  <c r="K138" i="2"/>
  <c r="K146" i="2"/>
  <c r="K147" i="2"/>
  <c r="K154" i="2"/>
  <c r="K156" i="2"/>
  <c r="K281" i="8"/>
  <c r="K170" i="2"/>
  <c r="K171" i="2"/>
  <c r="K181" i="2"/>
  <c r="K182" i="2"/>
  <c r="K183" i="2"/>
  <c r="K184" i="2"/>
  <c r="L66" i="2"/>
  <c r="L67" i="2"/>
  <c r="L68" i="2"/>
  <c r="L69" i="2"/>
  <c r="L70" i="2"/>
  <c r="L71" i="2"/>
  <c r="L72" i="2"/>
  <c r="L73" i="2"/>
  <c r="L74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138" i="2"/>
  <c r="L146" i="2"/>
  <c r="L147" i="2"/>
  <c r="L154" i="2"/>
  <c r="L156" i="2"/>
  <c r="L170" i="2"/>
  <c r="L182" i="2"/>
  <c r="L183" i="2"/>
  <c r="M66" i="2"/>
  <c r="M67" i="2"/>
  <c r="M68" i="2"/>
  <c r="M69" i="2"/>
  <c r="M70" i="2"/>
  <c r="M71" i="2"/>
  <c r="M72" i="2"/>
  <c r="M73" i="2"/>
  <c r="M74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138" i="2"/>
  <c r="M146" i="2"/>
  <c r="M147" i="2"/>
  <c r="I16" i="20"/>
  <c r="I108" i="20" s="1"/>
  <c r="M154" i="2"/>
  <c r="M156" i="2"/>
  <c r="M170" i="2"/>
  <c r="M182" i="2"/>
  <c r="M183" i="2"/>
  <c r="N66" i="2"/>
  <c r="N67" i="2"/>
  <c r="N68" i="2"/>
  <c r="N69" i="2"/>
  <c r="N70" i="2"/>
  <c r="N71" i="2"/>
  <c r="N72" i="2"/>
  <c r="N73" i="2"/>
  <c r="N74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138" i="2"/>
  <c r="N146" i="2"/>
  <c r="N147" i="2"/>
  <c r="J16" i="20"/>
  <c r="J108" i="20" s="1"/>
  <c r="N154" i="2"/>
  <c r="N156" i="2"/>
  <c r="N170" i="2"/>
  <c r="N182" i="2"/>
  <c r="N183" i="2"/>
  <c r="O66" i="2"/>
  <c r="O67" i="2"/>
  <c r="O68" i="2"/>
  <c r="O69" i="2"/>
  <c r="O70" i="2"/>
  <c r="O71" i="2"/>
  <c r="O72" i="2"/>
  <c r="O73" i="2"/>
  <c r="O74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138" i="2"/>
  <c r="O146" i="2"/>
  <c r="O147" i="2"/>
  <c r="O154" i="2"/>
  <c r="K17" i="20" s="1"/>
  <c r="K109" i="20" s="1"/>
  <c r="O156" i="2"/>
  <c r="O170" i="2"/>
  <c r="O182" i="2"/>
  <c r="O183" i="2"/>
  <c r="P66" i="2"/>
  <c r="P67" i="2"/>
  <c r="P68" i="2"/>
  <c r="P69" i="2"/>
  <c r="P70" i="2"/>
  <c r="P71" i="2"/>
  <c r="P72" i="2"/>
  <c r="P73" i="2"/>
  <c r="P74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138" i="2"/>
  <c r="P146" i="2"/>
  <c r="P147" i="2"/>
  <c r="P154" i="2"/>
  <c r="L17" i="20" s="1"/>
  <c r="L109" i="20" s="1"/>
  <c r="P156" i="2"/>
  <c r="P170" i="2"/>
  <c r="P182" i="2"/>
  <c r="P183" i="2"/>
  <c r="Q66" i="2"/>
  <c r="Q67" i="2"/>
  <c r="Q68" i="2"/>
  <c r="Q69" i="2"/>
  <c r="Q70" i="2"/>
  <c r="Q71" i="2"/>
  <c r="Q72" i="2"/>
  <c r="Q73" i="2"/>
  <c r="Q74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138" i="2"/>
  <c r="Q146" i="2"/>
  <c r="Q147" i="2"/>
  <c r="M15" i="20" s="1"/>
  <c r="M107" i="20" s="1"/>
  <c r="Q154" i="2"/>
  <c r="Q156" i="2"/>
  <c r="M11" i="20" s="1"/>
  <c r="M103" i="20" s="1"/>
  <c r="Q170" i="2"/>
  <c r="Q183" i="2"/>
  <c r="D138" i="3"/>
  <c r="D146" i="3"/>
  <c r="D147" i="3"/>
  <c r="E147" i="3" s="1"/>
  <c r="E15" i="21" s="1"/>
  <c r="D154" i="3"/>
  <c r="D156" i="3"/>
  <c r="D170" i="3"/>
  <c r="J146" i="3"/>
  <c r="N147" i="3"/>
  <c r="N15" i="21" s="1"/>
  <c r="N107" i="21" s="1"/>
  <c r="P147" i="3"/>
  <c r="P15" i="21" s="1"/>
  <c r="P107" i="21" s="1"/>
  <c r="Q147" i="3"/>
  <c r="S147" i="3"/>
  <c r="S15" i="21" s="1"/>
  <c r="S107" i="21" s="1"/>
  <c r="T147" i="3"/>
  <c r="T15" i="21" s="1"/>
  <c r="T107" i="21" s="1"/>
  <c r="U147" i="3"/>
  <c r="U15" i="21" s="1"/>
  <c r="U107" i="21" s="1"/>
  <c r="V147" i="3"/>
  <c r="V15" i="21" s="1"/>
  <c r="V107" i="21" s="1"/>
  <c r="W147" i="3"/>
  <c r="W15" i="21" s="1"/>
  <c r="W107" i="21" s="1"/>
  <c r="X138" i="3"/>
  <c r="X16" i="21"/>
  <c r="X154" i="3"/>
  <c r="X17" i="21" s="1"/>
  <c r="X156" i="3"/>
  <c r="X170" i="3"/>
  <c r="Y170" i="3" s="1"/>
  <c r="Z170" i="3" s="1"/>
  <c r="AB138" i="3"/>
  <c r="AB156" i="3"/>
  <c r="AB170" i="3"/>
  <c r="AC170" i="3" s="1"/>
  <c r="AD170" i="3" s="1"/>
  <c r="AE170" i="3" s="1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146" i="3"/>
  <c r="AB147" i="3"/>
  <c r="AB16" i="21"/>
  <c r="AB154" i="3"/>
  <c r="AB17" i="21" s="1"/>
  <c r="AF92" i="3"/>
  <c r="AG92" i="3" s="1"/>
  <c r="AG94" i="3" s="1"/>
  <c r="AF138" i="3"/>
  <c r="AF154" i="3"/>
  <c r="AF156" i="3"/>
  <c r="AF170" i="3"/>
  <c r="AG170" i="3" s="1"/>
  <c r="Q15" i="21"/>
  <c r="Q107" i="21" s="1"/>
  <c r="AA66" i="3"/>
  <c r="AA67" i="3"/>
  <c r="AA68" i="3"/>
  <c r="AA69" i="3"/>
  <c r="AA70" i="3"/>
  <c r="AA71" i="3"/>
  <c r="AA72" i="3"/>
  <c r="AA73" i="3"/>
  <c r="AA74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138" i="3"/>
  <c r="AA156" i="3"/>
  <c r="AA11" i="21" s="1"/>
  <c r="AA103" i="21" s="1"/>
  <c r="AA170" i="3"/>
  <c r="AA147" i="3"/>
  <c r="AA15" i="21" s="1"/>
  <c r="AA107" i="21" s="1"/>
  <c r="AA16" i="21"/>
  <c r="AA108" i="21" s="1"/>
  <c r="AA154" i="3"/>
  <c r="AA17" i="21" s="1"/>
  <c r="AA109" i="21" s="1"/>
  <c r="AH79" i="3"/>
  <c r="AH80" i="3"/>
  <c r="AH81" i="3"/>
  <c r="AH82" i="3"/>
  <c r="AH83" i="3"/>
  <c r="AH84" i="3"/>
  <c r="AH85" i="3"/>
  <c r="AH86" i="3"/>
  <c r="AH87" i="3"/>
  <c r="AH88" i="3"/>
  <c r="AH89" i="3"/>
  <c r="AH90" i="3"/>
  <c r="AH91" i="3"/>
  <c r="AH92" i="3"/>
  <c r="AH138" i="3"/>
  <c r="AH156" i="3"/>
  <c r="AH11" i="21" s="1"/>
  <c r="AH103" i="21"/>
  <c r="AH170" i="3"/>
  <c r="AH147" i="3"/>
  <c r="AH15" i="21" s="1"/>
  <c r="AH107" i="21" s="1"/>
  <c r="AH16" i="21"/>
  <c r="AH108" i="21" s="1"/>
  <c r="AH154" i="3"/>
  <c r="AH17" i="21" s="1"/>
  <c r="AH109" i="21" s="1"/>
  <c r="P176" i="36"/>
  <c r="A3" i="36"/>
  <c r="A143" i="36" s="1"/>
  <c r="A141" i="36"/>
  <c r="G63" i="36"/>
  <c r="A33" i="20"/>
  <c r="A1" i="21"/>
  <c r="AH146" i="3"/>
  <c r="AA146" i="3"/>
  <c r="L66" i="3"/>
  <c r="L67" i="3"/>
  <c r="L68" i="3"/>
  <c r="L69" i="3"/>
  <c r="L70" i="3"/>
  <c r="L71" i="3"/>
  <c r="L72" i="3"/>
  <c r="L73" i="3"/>
  <c r="L74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121" i="3"/>
  <c r="L122" i="3"/>
  <c r="L123" i="3"/>
  <c r="L124" i="3"/>
  <c r="L125" i="3"/>
  <c r="L126" i="3"/>
  <c r="L127" i="3"/>
  <c r="L128" i="3"/>
  <c r="L129" i="3"/>
  <c r="L130" i="3"/>
  <c r="L138" i="3"/>
  <c r="L146" i="3"/>
  <c r="L147" i="3"/>
  <c r="L15" i="21" s="1"/>
  <c r="L154" i="3"/>
  <c r="L17" i="21" s="1"/>
  <c r="L156" i="3"/>
  <c r="L170" i="3"/>
  <c r="L171" i="3"/>
  <c r="AJ66" i="3"/>
  <c r="AJ67" i="3"/>
  <c r="AJ68" i="3"/>
  <c r="AJ69" i="3"/>
  <c r="AJ70" i="3"/>
  <c r="AJ71" i="3"/>
  <c r="AJ72" i="3"/>
  <c r="AJ73" i="3"/>
  <c r="AJ74" i="3"/>
  <c r="AJ79" i="3"/>
  <c r="AJ80" i="3"/>
  <c r="AJ81" i="3"/>
  <c r="AJ82" i="3"/>
  <c r="AJ83" i="3"/>
  <c r="AJ84" i="3"/>
  <c r="AJ85" i="3"/>
  <c r="AJ86" i="3"/>
  <c r="AJ87" i="3"/>
  <c r="AJ88" i="3"/>
  <c r="AJ89" i="3"/>
  <c r="AJ90" i="3"/>
  <c r="AJ91" i="3"/>
  <c r="AJ92" i="3"/>
  <c r="AJ121" i="3"/>
  <c r="AJ122" i="3"/>
  <c r="AJ123" i="3"/>
  <c r="AJ124" i="3"/>
  <c r="AJ125" i="3"/>
  <c r="AJ126" i="3"/>
  <c r="AJ127" i="3"/>
  <c r="AJ128" i="3"/>
  <c r="AJ129" i="3"/>
  <c r="AJ130" i="3"/>
  <c r="AJ140" i="3"/>
  <c r="AJ146" i="3"/>
  <c r="AJ147" i="3"/>
  <c r="AJ150" i="3"/>
  <c r="AJ151" i="3"/>
  <c r="AJ154" i="3"/>
  <c r="AJ156" i="3"/>
  <c r="D281" i="8"/>
  <c r="E281" i="8"/>
  <c r="AJ170" i="3"/>
  <c r="AJ171" i="3"/>
  <c r="AJ185" i="3"/>
  <c r="M67" i="3"/>
  <c r="M69" i="3"/>
  <c r="M70" i="3"/>
  <c r="M71" i="3"/>
  <c r="M72" i="3"/>
  <c r="M73" i="3"/>
  <c r="M74" i="3"/>
  <c r="M82" i="3"/>
  <c r="M89" i="3"/>
  <c r="M91" i="3"/>
  <c r="M146" i="3"/>
  <c r="M16" i="21"/>
  <c r="X66" i="3"/>
  <c r="X67" i="3"/>
  <c r="X68" i="3"/>
  <c r="X69" i="3"/>
  <c r="X70" i="3"/>
  <c r="X71" i="3"/>
  <c r="X72" i="3"/>
  <c r="X73" i="3"/>
  <c r="X74" i="3"/>
  <c r="X79" i="3"/>
  <c r="X80" i="3"/>
  <c r="X81" i="3"/>
  <c r="X82" i="3"/>
  <c r="X83" i="3"/>
  <c r="X84" i="3"/>
  <c r="X85" i="3"/>
  <c r="X86" i="3"/>
  <c r="X87" i="3"/>
  <c r="X88" i="3"/>
  <c r="X90" i="3"/>
  <c r="X91" i="3"/>
  <c r="X92" i="3"/>
  <c r="X146" i="3"/>
  <c r="X147" i="3"/>
  <c r="X15" i="21" s="1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146" i="3"/>
  <c r="AF147" i="3"/>
  <c r="AF15" i="21" s="1"/>
  <c r="D67" i="3"/>
  <c r="D69" i="3"/>
  <c r="D70" i="3"/>
  <c r="D71" i="3"/>
  <c r="D72" i="3"/>
  <c r="D73" i="3"/>
  <c r="D74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I66" i="2"/>
  <c r="I67" i="2"/>
  <c r="I68" i="2"/>
  <c r="I69" i="2"/>
  <c r="I70" i="2"/>
  <c r="I71" i="2"/>
  <c r="I72" i="2"/>
  <c r="I73" i="2"/>
  <c r="I74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121" i="2"/>
  <c r="I122" i="2"/>
  <c r="I123" i="2"/>
  <c r="I124" i="2"/>
  <c r="I125" i="2"/>
  <c r="I126" i="2"/>
  <c r="I127" i="2"/>
  <c r="I128" i="2"/>
  <c r="I129" i="2"/>
  <c r="I130" i="2"/>
  <c r="I137" i="2"/>
  <c r="I138" i="2"/>
  <c r="I140" i="2" s="1"/>
  <c r="I146" i="2"/>
  <c r="I147" i="2"/>
  <c r="I154" i="2"/>
  <c r="I156" i="2"/>
  <c r="I170" i="2"/>
  <c r="I171" i="2"/>
  <c r="I181" i="2"/>
  <c r="I182" i="2"/>
  <c r="I183" i="2"/>
  <c r="I184" i="2"/>
  <c r="E66" i="2"/>
  <c r="E76" i="2" s="1"/>
  <c r="E67" i="2"/>
  <c r="E68" i="2"/>
  <c r="E69" i="2"/>
  <c r="E70" i="2"/>
  <c r="E71" i="2"/>
  <c r="E72" i="2"/>
  <c r="E73" i="2"/>
  <c r="E74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103" i="2"/>
  <c r="E104" i="2"/>
  <c r="E105" i="2"/>
  <c r="E106" i="2"/>
  <c r="E107" i="2"/>
  <c r="E108" i="2"/>
  <c r="E109" i="2"/>
  <c r="E110" i="2"/>
  <c r="E111" i="2"/>
  <c r="E112" i="2"/>
  <c r="E113" i="2"/>
  <c r="E121" i="2"/>
  <c r="E122" i="2"/>
  <c r="E123" i="2"/>
  <c r="E124" i="2"/>
  <c r="E132" i="2" s="1"/>
  <c r="E125" i="2"/>
  <c r="E126" i="2"/>
  <c r="E127" i="2"/>
  <c r="E128" i="2"/>
  <c r="E129" i="2"/>
  <c r="E130" i="2"/>
  <c r="E137" i="2"/>
  <c r="E138" i="2"/>
  <c r="E146" i="2"/>
  <c r="E147" i="2"/>
  <c r="E154" i="2"/>
  <c r="E156" i="2"/>
  <c r="E170" i="2"/>
  <c r="E171" i="2"/>
  <c r="E181" i="2"/>
  <c r="E182" i="2"/>
  <c r="E183" i="2"/>
  <c r="E184" i="2"/>
  <c r="F66" i="2"/>
  <c r="F67" i="2"/>
  <c r="F68" i="2"/>
  <c r="F69" i="2"/>
  <c r="F70" i="2"/>
  <c r="F71" i="2"/>
  <c r="F72" i="2"/>
  <c r="F73" i="2"/>
  <c r="F74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103" i="2"/>
  <c r="F104" i="2"/>
  <c r="F105" i="2"/>
  <c r="F106" i="2"/>
  <c r="F107" i="2"/>
  <c r="F108" i="2"/>
  <c r="F109" i="2"/>
  <c r="F110" i="2"/>
  <c r="F111" i="2"/>
  <c r="F112" i="2"/>
  <c r="F113" i="2"/>
  <c r="F121" i="2"/>
  <c r="F122" i="2"/>
  <c r="F123" i="2"/>
  <c r="F124" i="2"/>
  <c r="F125" i="2"/>
  <c r="F126" i="2"/>
  <c r="F127" i="2"/>
  <c r="F128" i="2"/>
  <c r="F129" i="2"/>
  <c r="F130" i="2"/>
  <c r="F137" i="2"/>
  <c r="F138" i="2"/>
  <c r="F146" i="2"/>
  <c r="F147" i="2"/>
  <c r="F154" i="2"/>
  <c r="F156" i="2"/>
  <c r="F170" i="2"/>
  <c r="F171" i="2"/>
  <c r="F181" i="2"/>
  <c r="F182" i="2"/>
  <c r="F183" i="2"/>
  <c r="F184" i="2"/>
  <c r="H66" i="2"/>
  <c r="H67" i="2"/>
  <c r="H68" i="2"/>
  <c r="H69" i="2"/>
  <c r="H70" i="2"/>
  <c r="H71" i="2"/>
  <c r="H72" i="2"/>
  <c r="H73" i="2"/>
  <c r="H74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121" i="2"/>
  <c r="H122" i="2"/>
  <c r="H123" i="2"/>
  <c r="H124" i="2"/>
  <c r="H125" i="2"/>
  <c r="H126" i="2"/>
  <c r="H127" i="2"/>
  <c r="H128" i="2"/>
  <c r="H129" i="2"/>
  <c r="H130" i="2"/>
  <c r="H137" i="2"/>
  <c r="H138" i="2"/>
  <c r="H146" i="2"/>
  <c r="H147" i="2"/>
  <c r="H154" i="2"/>
  <c r="H156" i="2"/>
  <c r="H170" i="2"/>
  <c r="H171" i="2"/>
  <c r="H181" i="2"/>
  <c r="H182" i="2"/>
  <c r="H183" i="2"/>
  <c r="H184" i="2"/>
  <c r="D66" i="2"/>
  <c r="D67" i="2"/>
  <c r="D68" i="2"/>
  <c r="D69" i="2"/>
  <c r="D70" i="2"/>
  <c r="D71" i="2"/>
  <c r="D72" i="2"/>
  <c r="D73" i="2"/>
  <c r="D74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103" i="2"/>
  <c r="D104" i="2"/>
  <c r="D105" i="2"/>
  <c r="D106" i="2"/>
  <c r="D107" i="2"/>
  <c r="D108" i="2"/>
  <c r="D109" i="2"/>
  <c r="D110" i="2"/>
  <c r="D111" i="2"/>
  <c r="D112" i="2"/>
  <c r="D113" i="2"/>
  <c r="D121" i="2"/>
  <c r="D122" i="2"/>
  <c r="D123" i="2"/>
  <c r="D124" i="2"/>
  <c r="D125" i="2"/>
  <c r="D126" i="2"/>
  <c r="D127" i="2"/>
  <c r="D128" i="2"/>
  <c r="D129" i="2"/>
  <c r="D130" i="2"/>
  <c r="D137" i="2"/>
  <c r="D138" i="2"/>
  <c r="D146" i="2"/>
  <c r="D147" i="2"/>
  <c r="D154" i="2"/>
  <c r="D156" i="2"/>
  <c r="D170" i="2"/>
  <c r="D171" i="2"/>
  <c r="D181" i="2"/>
  <c r="D182" i="2"/>
  <c r="D183" i="2"/>
  <c r="D184" i="2"/>
  <c r="K66" i="21"/>
  <c r="K156" i="21"/>
  <c r="K207" i="21" s="1"/>
  <c r="E20" i="59" s="1"/>
  <c r="AH84" i="21"/>
  <c r="AH157" i="21" s="1"/>
  <c r="AH208" i="21" s="1"/>
  <c r="B77" i="21"/>
  <c r="L90" i="21"/>
  <c r="C82" i="21"/>
  <c r="A3" i="33"/>
  <c r="A3" i="23"/>
  <c r="A3" i="24"/>
  <c r="A3" i="25" s="1"/>
  <c r="A3" i="55" s="1"/>
  <c r="A3" i="26" s="1"/>
  <c r="A3" i="27" s="1"/>
  <c r="A3" i="28" s="1"/>
  <c r="A3" i="29" s="1"/>
  <c r="A3" i="30" s="1"/>
  <c r="A3" i="31" s="1"/>
  <c r="A3" i="21"/>
  <c r="F59" i="20"/>
  <c r="F147" i="20" s="1"/>
  <c r="H59" i="20"/>
  <c r="H147" i="20" s="1"/>
  <c r="H220" i="20" s="1"/>
  <c r="I59" i="20"/>
  <c r="I147" i="20" s="1"/>
  <c r="I220" i="20" s="1"/>
  <c r="J59" i="20"/>
  <c r="J147" i="20" s="1"/>
  <c r="J220" i="20" s="1"/>
  <c r="K59" i="20"/>
  <c r="K147" i="20" s="1"/>
  <c r="K220" i="20" s="1"/>
  <c r="L59" i="20"/>
  <c r="L147" i="20" s="1"/>
  <c r="L220" i="20" s="1"/>
  <c r="M59" i="20"/>
  <c r="M147" i="20" s="1"/>
  <c r="M220" i="20" s="1"/>
  <c r="D59" i="20"/>
  <c r="D147" i="20" s="1"/>
  <c r="D220" i="20" s="1"/>
  <c r="G82" i="20"/>
  <c r="E82" i="20" s="1"/>
  <c r="C82" i="20" s="1"/>
  <c r="AM82" i="21" s="1"/>
  <c r="G149" i="20"/>
  <c r="G196" i="20" s="1"/>
  <c r="E15" i="18"/>
  <c r="D57" i="20" s="1"/>
  <c r="G15" i="18"/>
  <c r="F57" i="20" s="1"/>
  <c r="I15" i="18"/>
  <c r="H57" i="20" s="1"/>
  <c r="H71" i="20" s="1"/>
  <c r="H72" i="20" s="1"/>
  <c r="J15" i="18"/>
  <c r="I57" i="20" s="1"/>
  <c r="I71" i="20" s="1"/>
  <c r="I72" i="20" s="1"/>
  <c r="K15" i="18"/>
  <c r="J57" i="20" s="1"/>
  <c r="J71" i="20" s="1"/>
  <c r="J72" i="20" s="1"/>
  <c r="L15" i="18"/>
  <c r="K57" i="20" s="1"/>
  <c r="K71" i="20" s="1"/>
  <c r="K72" i="20" s="1"/>
  <c r="M15" i="18"/>
  <c r="L57" i="20" s="1"/>
  <c r="L71" i="20" s="1"/>
  <c r="L72" i="20" s="1"/>
  <c r="N15" i="18"/>
  <c r="M57" i="20" s="1"/>
  <c r="M71" i="20" s="1"/>
  <c r="M72" i="20" s="1"/>
  <c r="F53" i="20"/>
  <c r="F141" i="20" s="1"/>
  <c r="F188" i="20" s="1"/>
  <c r="D53" i="20"/>
  <c r="F54" i="20"/>
  <c r="F55" i="20" s="1"/>
  <c r="D54" i="20"/>
  <c r="D142" i="20" s="1"/>
  <c r="D189" i="20" s="1"/>
  <c r="D78" i="20"/>
  <c r="J36" i="66" s="1"/>
  <c r="I36" i="66" s="1"/>
  <c r="C78" i="20"/>
  <c r="AM78" i="21" s="1"/>
  <c r="A95" i="20"/>
  <c r="G59" i="20"/>
  <c r="H15" i="18"/>
  <c r="G57" i="20" s="1"/>
  <c r="G71" i="20" s="1"/>
  <c r="G72" i="20" s="1"/>
  <c r="F18" i="18"/>
  <c r="D18" i="18" s="1"/>
  <c r="P18" i="18" s="1"/>
  <c r="F17" i="18"/>
  <c r="D17" i="18" s="1"/>
  <c r="G53" i="20"/>
  <c r="G54" i="20"/>
  <c r="F11" i="20"/>
  <c r="F15" i="20"/>
  <c r="F17" i="20"/>
  <c r="G11" i="20"/>
  <c r="G15" i="20"/>
  <c r="G17" i="20"/>
  <c r="H11" i="20"/>
  <c r="H15" i="20"/>
  <c r="H17" i="20"/>
  <c r="H109" i="20" s="1"/>
  <c r="I11" i="20"/>
  <c r="I15" i="20"/>
  <c r="I107" i="20" s="1"/>
  <c r="I17" i="20"/>
  <c r="I109" i="20" s="1"/>
  <c r="J11" i="20"/>
  <c r="J15" i="20"/>
  <c r="J17" i="20"/>
  <c r="K11" i="20"/>
  <c r="K15" i="20"/>
  <c r="K107" i="20" s="1"/>
  <c r="L11" i="20"/>
  <c r="L15" i="20"/>
  <c r="M17" i="20"/>
  <c r="M109" i="20" s="1"/>
  <c r="D11" i="20"/>
  <c r="D103" i="20" s="1"/>
  <c r="D15" i="20"/>
  <c r="M17" i="19"/>
  <c r="M59" i="21" s="1"/>
  <c r="M147" i="21" s="1"/>
  <c r="M220" i="21" s="1"/>
  <c r="X17" i="19"/>
  <c r="X59" i="21" s="1"/>
  <c r="X147" i="21" s="1"/>
  <c r="X220" i="21" s="1"/>
  <c r="AA17" i="19"/>
  <c r="AA59" i="21" s="1"/>
  <c r="AA147" i="21" s="1"/>
  <c r="AA220" i="21" s="1"/>
  <c r="AB17" i="19"/>
  <c r="AB59" i="21" s="1"/>
  <c r="AB147" i="21" s="1"/>
  <c r="AB220" i="21" s="1"/>
  <c r="AF17" i="19"/>
  <c r="AH17" i="19"/>
  <c r="AH59" i="21" s="1"/>
  <c r="AH147" i="21" s="1"/>
  <c r="AH220" i="21" s="1"/>
  <c r="D17" i="19"/>
  <c r="D59" i="21" s="1"/>
  <c r="D11" i="19"/>
  <c r="D13" i="19"/>
  <c r="D54" i="21" s="1"/>
  <c r="K53" i="21"/>
  <c r="K141" i="21" s="1"/>
  <c r="K188" i="21" s="1"/>
  <c r="K54" i="21"/>
  <c r="K142" i="21"/>
  <c r="K189" i="21" s="1"/>
  <c r="K59" i="21"/>
  <c r="K147" i="21"/>
  <c r="K220" i="21" s="1"/>
  <c r="H63" i="36"/>
  <c r="I63" i="36"/>
  <c r="I71" i="36" s="1"/>
  <c r="J63" i="36"/>
  <c r="J71" i="36" s="1"/>
  <c r="K63" i="36"/>
  <c r="L63" i="36"/>
  <c r="M63" i="36"/>
  <c r="N63" i="36"/>
  <c r="H12" i="60"/>
  <c r="I12" i="60"/>
  <c r="J12" i="60"/>
  <c r="K12" i="60"/>
  <c r="L12" i="60"/>
  <c r="M12" i="60"/>
  <c r="F12" i="60"/>
  <c r="S12" i="60" s="1"/>
  <c r="G12" i="60"/>
  <c r="F11" i="33"/>
  <c r="F10" i="33"/>
  <c r="G24" i="75"/>
  <c r="F281" i="8"/>
  <c r="F20" i="18"/>
  <c r="AJ17" i="19" s="1"/>
  <c r="F16" i="18"/>
  <c r="F15" i="18" s="1"/>
  <c r="AJ15" i="19" s="1"/>
  <c r="F11" i="18"/>
  <c r="F56" i="33"/>
  <c r="F40" i="33"/>
  <c r="F11" i="34"/>
  <c r="F18" i="33"/>
  <c r="F13" i="33"/>
  <c r="I10" i="66"/>
  <c r="F68" i="36"/>
  <c r="F138" i="36" s="1"/>
  <c r="N49" i="35"/>
  <c r="N12" i="60" s="1"/>
  <c r="M98" i="12"/>
  <c r="N98" i="12"/>
  <c r="O98" i="12"/>
  <c r="P98" i="12"/>
  <c r="E98" i="12"/>
  <c r="S96" i="12"/>
  <c r="D96" i="12"/>
  <c r="F96" i="12" s="1"/>
  <c r="E207" i="5"/>
  <c r="E209" i="5" s="1"/>
  <c r="E194" i="5"/>
  <c r="E179" i="5"/>
  <c r="E164" i="5"/>
  <c r="E165" i="5" s="1"/>
  <c r="F49" i="35"/>
  <c r="F63" i="36" s="1"/>
  <c r="AF227" i="9"/>
  <c r="X91" i="14"/>
  <c r="A78" i="20"/>
  <c r="A78" i="21" s="1"/>
  <c r="A77" i="20"/>
  <c r="A77" i="21" s="1"/>
  <c r="D111" i="12"/>
  <c r="G91" i="12"/>
  <c r="D91" i="12"/>
  <c r="D93" i="12"/>
  <c r="D103" i="12"/>
  <c r="D90" i="12"/>
  <c r="G31" i="66"/>
  <c r="M273" i="9"/>
  <c r="AH265" i="9"/>
  <c r="L269" i="9"/>
  <c r="L265" i="9"/>
  <c r="L263" i="9"/>
  <c r="S233" i="15"/>
  <c r="T233" i="15" s="1"/>
  <c r="S232" i="15"/>
  <c r="T232" i="15"/>
  <c r="S205" i="15"/>
  <c r="T205" i="15" s="1"/>
  <c r="S204" i="15"/>
  <c r="T204" i="15" s="1"/>
  <c r="S203" i="15"/>
  <c r="T203" i="15" s="1"/>
  <c r="S202" i="15"/>
  <c r="T202" i="15"/>
  <c r="S201" i="15"/>
  <c r="T201" i="15" s="1"/>
  <c r="S200" i="15"/>
  <c r="T200" i="15" s="1"/>
  <c r="S199" i="15"/>
  <c r="T199" i="15" s="1"/>
  <c r="S198" i="15"/>
  <c r="T198" i="15"/>
  <c r="S197" i="15"/>
  <c r="T197" i="15" s="1"/>
  <c r="S196" i="15"/>
  <c r="T196" i="15" s="1"/>
  <c r="S192" i="15"/>
  <c r="T192" i="15" s="1"/>
  <c r="S191" i="15"/>
  <c r="T191" i="15"/>
  <c r="S190" i="15"/>
  <c r="T190" i="15" s="1"/>
  <c r="S189" i="15"/>
  <c r="T189" i="15" s="1"/>
  <c r="S188" i="15"/>
  <c r="T188" i="15" s="1"/>
  <c r="S187" i="15"/>
  <c r="T187" i="15"/>
  <c r="S186" i="15"/>
  <c r="T186" i="15" s="1"/>
  <c r="S185" i="15"/>
  <c r="T185" i="15" s="1"/>
  <c r="S184" i="15"/>
  <c r="T184" i="15" s="1"/>
  <c r="S183" i="15"/>
  <c r="T183" i="15"/>
  <c r="S182" i="15"/>
  <c r="T182" i="15" s="1"/>
  <c r="S177" i="15"/>
  <c r="T177" i="15" s="1"/>
  <c r="S176" i="15"/>
  <c r="T176" i="15" s="1"/>
  <c r="S175" i="15"/>
  <c r="T175" i="15" s="1"/>
  <c r="S174" i="15"/>
  <c r="T174" i="15" s="1"/>
  <c r="S173" i="15"/>
  <c r="T173" i="15"/>
  <c r="S172" i="15"/>
  <c r="T172" i="15" s="1"/>
  <c r="S171" i="15"/>
  <c r="T171" i="15"/>
  <c r="S170" i="15"/>
  <c r="T170" i="15" s="1"/>
  <c r="S169" i="15"/>
  <c r="T169" i="15"/>
  <c r="S168" i="15"/>
  <c r="T168" i="15" s="1"/>
  <c r="S164" i="15"/>
  <c r="T164" i="15"/>
  <c r="S163" i="15"/>
  <c r="T163" i="15" s="1"/>
  <c r="S162" i="15"/>
  <c r="T162" i="15"/>
  <c r="S161" i="15"/>
  <c r="T161" i="15" s="1"/>
  <c r="S160" i="15"/>
  <c r="T160" i="15" s="1"/>
  <c r="F175" i="15"/>
  <c r="F174" i="15"/>
  <c r="G174" i="15"/>
  <c r="G175" i="15"/>
  <c r="G111" i="8"/>
  <c r="G137" i="8"/>
  <c r="G148" i="8"/>
  <c r="G120" i="8"/>
  <c r="G149" i="8"/>
  <c r="G136" i="8"/>
  <c r="P179" i="5"/>
  <c r="L179" i="5"/>
  <c r="J179" i="5"/>
  <c r="K179" i="5"/>
  <c r="P111" i="5"/>
  <c r="H234" i="5"/>
  <c r="I234" i="5" s="1"/>
  <c r="P234" i="5" s="1"/>
  <c r="S234" i="5" s="1"/>
  <c r="S256" i="5"/>
  <c r="F175" i="8"/>
  <c r="H175" i="8"/>
  <c r="I175" i="8" s="1"/>
  <c r="F174" i="8"/>
  <c r="H174" i="8" s="1"/>
  <c r="I174" i="8" s="1"/>
  <c r="D111" i="5"/>
  <c r="F175" i="5"/>
  <c r="G175" i="5" s="1"/>
  <c r="F174" i="5"/>
  <c r="G174" i="5" s="1"/>
  <c r="D136" i="5"/>
  <c r="D137" i="5"/>
  <c r="E21" i="75" s="1"/>
  <c r="D138" i="21"/>
  <c r="E43" i="35"/>
  <c r="E41" i="35"/>
  <c r="J14" i="75"/>
  <c r="J13" i="75"/>
  <c r="F177" i="15"/>
  <c r="G177" i="15"/>
  <c r="E178" i="15"/>
  <c r="H178" i="15"/>
  <c r="I178" i="15"/>
  <c r="J178" i="15"/>
  <c r="K178" i="15"/>
  <c r="L178" i="15"/>
  <c r="M178" i="15"/>
  <c r="N178" i="15"/>
  <c r="O178" i="15"/>
  <c r="P178" i="15"/>
  <c r="Q178" i="15"/>
  <c r="D111" i="15"/>
  <c r="D122" i="15" s="1"/>
  <c r="D120" i="15"/>
  <c r="D136" i="15"/>
  <c r="D148" i="15"/>
  <c r="D178" i="15"/>
  <c r="AE97" i="13"/>
  <c r="AD97" i="13"/>
  <c r="AC97" i="13"/>
  <c r="Z97" i="13"/>
  <c r="M175" i="4"/>
  <c r="AC98" i="3"/>
  <c r="AD98" i="3"/>
  <c r="F172" i="5"/>
  <c r="G172" i="5" s="1"/>
  <c r="D240" i="5"/>
  <c r="D179" i="5"/>
  <c r="F177" i="5"/>
  <c r="G177" i="5" s="1"/>
  <c r="H177" i="5" s="1"/>
  <c r="I177" i="5" s="1"/>
  <c r="F178" i="5"/>
  <c r="G178" i="5" s="1"/>
  <c r="H178" i="5" s="1"/>
  <c r="I178" i="5" s="1"/>
  <c r="Q165" i="5"/>
  <c r="P165" i="5"/>
  <c r="O165" i="5"/>
  <c r="N165" i="5"/>
  <c r="M165" i="5"/>
  <c r="L165" i="5"/>
  <c r="K165" i="5"/>
  <c r="J165" i="5"/>
  <c r="D165" i="5"/>
  <c r="S160" i="5"/>
  <c r="F160" i="5"/>
  <c r="F178" i="8"/>
  <c r="F172" i="8"/>
  <c r="D179" i="8"/>
  <c r="S89" i="5"/>
  <c r="T89" i="5" s="1"/>
  <c r="G160" i="5"/>
  <c r="H160" i="5" s="1"/>
  <c r="E241" i="8"/>
  <c r="D241" i="8"/>
  <c r="G241" i="8"/>
  <c r="J241" i="8"/>
  <c r="K241" i="8"/>
  <c r="L241" i="8"/>
  <c r="M241" i="8"/>
  <c r="N241" i="8"/>
  <c r="O241" i="8"/>
  <c r="Q241" i="8"/>
  <c r="D222" i="8"/>
  <c r="C12" i="76"/>
  <c r="E9" i="76" s="1"/>
  <c r="O246" i="15" s="1"/>
  <c r="E102" i="12"/>
  <c r="F95" i="12"/>
  <c r="H95" i="12" s="1"/>
  <c r="H32" i="12"/>
  <c r="J32" i="12" s="1"/>
  <c r="AK30" i="6"/>
  <c r="AI185" i="21"/>
  <c r="AK145" i="21"/>
  <c r="AK244" i="9"/>
  <c r="AK224" i="9"/>
  <c r="AK223" i="9"/>
  <c r="AK81" i="9"/>
  <c r="AK80" i="9"/>
  <c r="AK70" i="6"/>
  <c r="AK62" i="6"/>
  <c r="AK190" i="3"/>
  <c r="AK189" i="3"/>
  <c r="AK188" i="3"/>
  <c r="AK187" i="3"/>
  <c r="AK141" i="3"/>
  <c r="AK139" i="3"/>
  <c r="AK29" i="3"/>
  <c r="AK28" i="3"/>
  <c r="D106" i="14"/>
  <c r="D102" i="14"/>
  <c r="D272" i="17"/>
  <c r="D269" i="17"/>
  <c r="D264" i="17"/>
  <c r="D262" i="17"/>
  <c r="D260" i="17"/>
  <c r="D253" i="17"/>
  <c r="D250" i="17"/>
  <c r="D248" i="17"/>
  <c r="AK105" i="21"/>
  <c r="AN105" i="21" s="1"/>
  <c r="D120" i="7"/>
  <c r="G13" i="75"/>
  <c r="E13" i="75" s="1"/>
  <c r="G14" i="75"/>
  <c r="E14" i="75" s="1"/>
  <c r="T14" i="75"/>
  <c r="U14" i="75" s="1"/>
  <c r="U13" i="75"/>
  <c r="D222" i="15"/>
  <c r="E16" i="75" s="1"/>
  <c r="F22" i="75"/>
  <c r="H22" i="75"/>
  <c r="Q27" i="75"/>
  <c r="P27" i="75"/>
  <c r="O27" i="75"/>
  <c r="N27" i="75"/>
  <c r="M27" i="75"/>
  <c r="L27" i="75"/>
  <c r="K27" i="75"/>
  <c r="T27" i="75" s="1"/>
  <c r="U27" i="75" s="1"/>
  <c r="H27" i="75"/>
  <c r="E27" i="75"/>
  <c r="G27" i="75" s="1"/>
  <c r="I27" i="75" s="1"/>
  <c r="J27" i="75" s="1"/>
  <c r="D231" i="5"/>
  <c r="E231" i="5"/>
  <c r="G231" i="5"/>
  <c r="E223" i="5"/>
  <c r="F15" i="75"/>
  <c r="D223" i="5"/>
  <c r="E15" i="75" s="1"/>
  <c r="E11" i="76"/>
  <c r="P246" i="15" s="1"/>
  <c r="E8" i="76"/>
  <c r="N246" i="15" s="1"/>
  <c r="E6" i="76"/>
  <c r="L246" i="15" s="1"/>
  <c r="D11" i="76"/>
  <c r="D9" i="76"/>
  <c r="D4" i="76"/>
  <c r="F164" i="2"/>
  <c r="F16" i="75"/>
  <c r="D223" i="8"/>
  <c r="E17" i="75" s="1"/>
  <c r="E223" i="8"/>
  <c r="F17" i="75" s="1"/>
  <c r="G223" i="8"/>
  <c r="F20" i="75"/>
  <c r="H20" i="75"/>
  <c r="F23" i="75"/>
  <c r="H23" i="75"/>
  <c r="K23" i="75"/>
  <c r="F18" i="75"/>
  <c r="H18" i="75"/>
  <c r="F21" i="75"/>
  <c r="H21" i="75"/>
  <c r="K108" i="14"/>
  <c r="F110" i="12"/>
  <c r="Q110" i="12" s="1"/>
  <c r="AH108" i="13" s="1"/>
  <c r="M15" i="35"/>
  <c r="M31" i="33" s="1"/>
  <c r="M14" i="35"/>
  <c r="M29" i="33" s="1"/>
  <c r="M13" i="35"/>
  <c r="M12" i="35"/>
  <c r="M12" i="34" s="1"/>
  <c r="A3" i="62"/>
  <c r="A3" i="32" s="1"/>
  <c r="A3" i="57" s="1"/>
  <c r="A3" i="61" s="1"/>
  <c r="A3" i="58" s="1"/>
  <c r="A3" i="59" s="1"/>
  <c r="A3" i="60"/>
  <c r="E109" i="12"/>
  <c r="L266" i="16"/>
  <c r="M266" i="16"/>
  <c r="X266" i="16"/>
  <c r="AA266" i="16"/>
  <c r="AB266" i="16"/>
  <c r="AF266" i="16"/>
  <c r="AH266" i="16"/>
  <c r="AB218" i="17"/>
  <c r="AB219" i="17"/>
  <c r="G171" i="15"/>
  <c r="G173" i="15"/>
  <c r="G176" i="15"/>
  <c r="G169" i="15"/>
  <c r="F176" i="15"/>
  <c r="F173" i="15"/>
  <c r="F171" i="15"/>
  <c r="F169" i="15"/>
  <c r="E240" i="9"/>
  <c r="I240" i="9"/>
  <c r="J240" i="9"/>
  <c r="K240" i="9"/>
  <c r="N240" i="9"/>
  <c r="O240" i="9"/>
  <c r="P240" i="9"/>
  <c r="Q240" i="9"/>
  <c r="R240" i="9"/>
  <c r="S240" i="9"/>
  <c r="T240" i="9"/>
  <c r="U240" i="9"/>
  <c r="V240" i="9"/>
  <c r="W240" i="9"/>
  <c r="Y240" i="9"/>
  <c r="Z240" i="9"/>
  <c r="E240" i="8"/>
  <c r="J240" i="8"/>
  <c r="K240" i="8"/>
  <c r="M240" i="8"/>
  <c r="N240" i="8"/>
  <c r="O240" i="8"/>
  <c r="Q240" i="8"/>
  <c r="Z240" i="6"/>
  <c r="Y240" i="6"/>
  <c r="E240" i="6"/>
  <c r="I240" i="6"/>
  <c r="J240" i="6"/>
  <c r="W238" i="16"/>
  <c r="V238" i="16"/>
  <c r="U238" i="16"/>
  <c r="T238" i="16"/>
  <c r="S238" i="16"/>
  <c r="R238" i="16"/>
  <c r="Q238" i="16"/>
  <c r="P238" i="16"/>
  <c r="O238" i="16"/>
  <c r="N238" i="16"/>
  <c r="E238" i="16"/>
  <c r="I238" i="16"/>
  <c r="J238" i="16"/>
  <c r="AJ231" i="16"/>
  <c r="AH231" i="16"/>
  <c r="AF231" i="16"/>
  <c r="AB231" i="16"/>
  <c r="AA231" i="16"/>
  <c r="X231" i="16"/>
  <c r="M231" i="16"/>
  <c r="L231" i="16"/>
  <c r="D231" i="16"/>
  <c r="E239" i="15"/>
  <c r="G239" i="15"/>
  <c r="J239" i="15"/>
  <c r="K239" i="15"/>
  <c r="L239" i="15"/>
  <c r="M239" i="15"/>
  <c r="N239" i="15"/>
  <c r="O239" i="15"/>
  <c r="Q239" i="15"/>
  <c r="D239" i="15"/>
  <c r="AH233" i="9"/>
  <c r="AB233" i="9"/>
  <c r="AA233" i="9"/>
  <c r="X233" i="9"/>
  <c r="M233" i="9"/>
  <c r="L233" i="9"/>
  <c r="D233" i="9"/>
  <c r="AF233" i="7"/>
  <c r="AF235" i="7"/>
  <c r="AH233" i="6"/>
  <c r="AB233" i="6"/>
  <c r="AA233" i="6"/>
  <c r="X233" i="6"/>
  <c r="M233" i="6"/>
  <c r="L233" i="6"/>
  <c r="Q240" i="5"/>
  <c r="O240" i="5"/>
  <c r="N240" i="5"/>
  <c r="M240" i="5"/>
  <c r="L240" i="5"/>
  <c r="K240" i="5"/>
  <c r="J240" i="5"/>
  <c r="G240" i="5"/>
  <c r="E240" i="5"/>
  <c r="F233" i="5"/>
  <c r="H233" i="5" s="1"/>
  <c r="F176" i="5"/>
  <c r="G176" i="5" s="1"/>
  <c r="H176" i="5" s="1"/>
  <c r="I176" i="5" s="1"/>
  <c r="F173" i="5"/>
  <c r="F171" i="5"/>
  <c r="G171" i="5" s="1"/>
  <c r="H171" i="5" s="1"/>
  <c r="I171" i="5" s="1"/>
  <c r="F169" i="5"/>
  <c r="G169" i="5" s="1"/>
  <c r="L239" i="8"/>
  <c r="L240" i="8" s="1"/>
  <c r="G240" i="8"/>
  <c r="D240" i="8"/>
  <c r="F233" i="8"/>
  <c r="H233" i="8" s="1"/>
  <c r="F173" i="8"/>
  <c r="F176" i="8"/>
  <c r="H176" i="8" s="1"/>
  <c r="F177" i="8"/>
  <c r="H177" i="8" s="1"/>
  <c r="F171" i="8"/>
  <c r="H171" i="8" s="1"/>
  <c r="I171" i="8" s="1"/>
  <c r="F169" i="8"/>
  <c r="H169" i="8" s="1"/>
  <c r="I169" i="8" s="1"/>
  <c r="H173" i="8"/>
  <c r="I173" i="8" s="1"/>
  <c r="G179" i="8"/>
  <c r="P16" i="18"/>
  <c r="AB221" i="7"/>
  <c r="X221" i="7"/>
  <c r="I10" i="33"/>
  <c r="G10" i="33"/>
  <c r="H10" i="33"/>
  <c r="J10" i="33"/>
  <c r="K10" i="33"/>
  <c r="L10" i="33"/>
  <c r="M10" i="33"/>
  <c r="N10" i="33"/>
  <c r="I11" i="33"/>
  <c r="I49" i="33" s="1"/>
  <c r="F49" i="33"/>
  <c r="G11" i="33"/>
  <c r="H11" i="33"/>
  <c r="J11" i="33"/>
  <c r="J48" i="33" s="1"/>
  <c r="K11" i="33"/>
  <c r="K49" i="33" s="1"/>
  <c r="L11" i="33"/>
  <c r="M11" i="33"/>
  <c r="N11" i="33"/>
  <c r="I13" i="33"/>
  <c r="I68" i="36" s="1"/>
  <c r="G13" i="33"/>
  <c r="H13" i="33"/>
  <c r="H68" i="36"/>
  <c r="H72" i="36" s="1"/>
  <c r="J13" i="33"/>
  <c r="K13" i="33"/>
  <c r="L13" i="33"/>
  <c r="L68" i="36" s="1"/>
  <c r="L72" i="36" s="1"/>
  <c r="M13" i="33"/>
  <c r="M68" i="36" s="1"/>
  <c r="M138" i="36" s="1"/>
  <c r="N13" i="33"/>
  <c r="I18" i="33"/>
  <c r="G18" i="33"/>
  <c r="H18" i="33"/>
  <c r="J18" i="33"/>
  <c r="K18" i="33"/>
  <c r="L18" i="33"/>
  <c r="M18" i="33"/>
  <c r="N18" i="33"/>
  <c r="L22" i="33"/>
  <c r="L23" i="33"/>
  <c r="I24" i="33"/>
  <c r="J24" i="33"/>
  <c r="K24" i="33"/>
  <c r="L24" i="33"/>
  <c r="L29" i="33"/>
  <c r="I30" i="33"/>
  <c r="J30" i="33"/>
  <c r="K30" i="33"/>
  <c r="L30" i="33"/>
  <c r="I31" i="33"/>
  <c r="J31" i="33"/>
  <c r="K31" i="33"/>
  <c r="L31" i="33"/>
  <c r="I15" i="34"/>
  <c r="I19" i="34"/>
  <c r="I21" i="34" s="1"/>
  <c r="I32" i="33" s="1"/>
  <c r="J15" i="34"/>
  <c r="J19" i="34" s="1"/>
  <c r="J21" i="34" s="1"/>
  <c r="J32" i="33" s="1"/>
  <c r="K15" i="34"/>
  <c r="K19" i="34" s="1"/>
  <c r="K21" i="34" s="1"/>
  <c r="K32" i="33" s="1"/>
  <c r="L15" i="34"/>
  <c r="L19" i="34" s="1"/>
  <c r="L21" i="34" s="1"/>
  <c r="L32" i="33" s="1"/>
  <c r="I56" i="33"/>
  <c r="G56" i="33"/>
  <c r="H56" i="33"/>
  <c r="J56" i="33"/>
  <c r="K56" i="33"/>
  <c r="F59" i="35"/>
  <c r="G59" i="35"/>
  <c r="H59" i="35"/>
  <c r="I59" i="35"/>
  <c r="J59" i="35"/>
  <c r="K59" i="35"/>
  <c r="L59" i="35"/>
  <c r="M59" i="35"/>
  <c r="N59" i="35"/>
  <c r="P26" i="35"/>
  <c r="O59" i="35"/>
  <c r="P43" i="35"/>
  <c r="P19" i="35"/>
  <c r="H55" i="35"/>
  <c r="I55" i="35"/>
  <c r="J55" i="35"/>
  <c r="K55" i="35"/>
  <c r="L55" i="35"/>
  <c r="M55" i="35"/>
  <c r="N55" i="35"/>
  <c r="F55" i="35"/>
  <c r="G55" i="35"/>
  <c r="E19" i="35"/>
  <c r="F21" i="35"/>
  <c r="F22" i="33" s="1"/>
  <c r="G21" i="35"/>
  <c r="G22" i="33" s="1"/>
  <c r="H21" i="35"/>
  <c r="I21" i="35"/>
  <c r="J21" i="35"/>
  <c r="K21" i="35"/>
  <c r="M21" i="35"/>
  <c r="M22" i="33" s="1"/>
  <c r="N21" i="35"/>
  <c r="N22" i="33" s="1"/>
  <c r="F22" i="35"/>
  <c r="F23" i="33" s="1"/>
  <c r="G22" i="35"/>
  <c r="H22" i="35"/>
  <c r="I22" i="35"/>
  <c r="J22" i="35"/>
  <c r="K22" i="35"/>
  <c r="M22" i="35"/>
  <c r="N22" i="35"/>
  <c r="N14" i="35" s="1"/>
  <c r="F30" i="35"/>
  <c r="F24" i="33" s="1"/>
  <c r="G30" i="35"/>
  <c r="G24" i="33" s="1"/>
  <c r="H30" i="35"/>
  <c r="M30" i="35"/>
  <c r="N30" i="35"/>
  <c r="N24" i="33" s="1"/>
  <c r="F23" i="35"/>
  <c r="G23" i="35"/>
  <c r="H23" i="35"/>
  <c r="I38" i="35"/>
  <c r="I25" i="33" s="1"/>
  <c r="J38" i="35"/>
  <c r="K38" i="35"/>
  <c r="K25" i="33" s="1"/>
  <c r="L38" i="35"/>
  <c r="L25" i="33"/>
  <c r="M23" i="35"/>
  <c r="N23" i="35"/>
  <c r="F14" i="35"/>
  <c r="G14" i="35"/>
  <c r="G14" i="34"/>
  <c r="H14" i="35"/>
  <c r="I14" i="35"/>
  <c r="J14" i="35"/>
  <c r="K14" i="35"/>
  <c r="F15" i="35"/>
  <c r="F31" i="33" s="1"/>
  <c r="G15" i="35"/>
  <c r="G30" i="33" s="1"/>
  <c r="H15" i="35"/>
  <c r="H30" i="33" s="1"/>
  <c r="F12" i="35"/>
  <c r="F12" i="34"/>
  <c r="G12" i="35"/>
  <c r="H12" i="35"/>
  <c r="I12" i="35"/>
  <c r="I12" i="34" s="1"/>
  <c r="J12" i="35"/>
  <c r="J12" i="34" s="1"/>
  <c r="K12" i="35"/>
  <c r="L12" i="35"/>
  <c r="N20" i="35"/>
  <c r="F50" i="35"/>
  <c r="F55" i="60" s="1"/>
  <c r="F46" i="60" s="1"/>
  <c r="G50" i="35"/>
  <c r="H50" i="35"/>
  <c r="I50" i="35"/>
  <c r="J50" i="35"/>
  <c r="K50" i="35"/>
  <c r="K55" i="60" s="1"/>
  <c r="K46" i="60" s="1"/>
  <c r="L50" i="35"/>
  <c r="L55" i="60" s="1"/>
  <c r="M50" i="35"/>
  <c r="M55" i="60" s="1"/>
  <c r="M47" i="60" s="1"/>
  <c r="N50" i="35"/>
  <c r="E45" i="35"/>
  <c r="E47" i="35"/>
  <c r="E49" i="35"/>
  <c r="E33" i="33"/>
  <c r="G40" i="33"/>
  <c r="H40" i="33"/>
  <c r="I40" i="33"/>
  <c r="J40" i="33"/>
  <c r="K40" i="33"/>
  <c r="L40" i="33"/>
  <c r="M40" i="33"/>
  <c r="N40" i="33"/>
  <c r="E64" i="21"/>
  <c r="E154" i="21"/>
  <c r="E205" i="21" s="1"/>
  <c r="E10" i="61" s="1"/>
  <c r="I64" i="21"/>
  <c r="J64" i="21"/>
  <c r="J154" i="21" s="1"/>
  <c r="J205" i="21" s="1"/>
  <c r="E17" i="61" s="1"/>
  <c r="K64" i="21"/>
  <c r="K154" i="21" s="1"/>
  <c r="K205" i="21" s="1"/>
  <c r="K213" i="21" s="1"/>
  <c r="N64" i="21"/>
  <c r="N154" i="21" s="1"/>
  <c r="N205" i="21" s="1"/>
  <c r="E26" i="61" s="1"/>
  <c r="O64" i="21"/>
  <c r="O154" i="21" s="1"/>
  <c r="O205" i="21" s="1"/>
  <c r="O213" i="21" s="1"/>
  <c r="P64" i="21"/>
  <c r="P154" i="21" s="1"/>
  <c r="P205" i="21" s="1"/>
  <c r="Q64" i="21"/>
  <c r="Q154" i="21" s="1"/>
  <c r="Q205" i="21" s="1"/>
  <c r="Q213" i="21" s="1"/>
  <c r="R64" i="21"/>
  <c r="R154" i="21" s="1"/>
  <c r="R205" i="21" s="1"/>
  <c r="E33" i="61" s="1"/>
  <c r="S64" i="21"/>
  <c r="S154" i="21"/>
  <c r="S205" i="21" s="1"/>
  <c r="S213" i="21" s="1"/>
  <c r="T64" i="21"/>
  <c r="T154" i="21" s="1"/>
  <c r="T205" i="21" s="1"/>
  <c r="E35" i="61" s="1"/>
  <c r="U64" i="21"/>
  <c r="U154" i="21"/>
  <c r="U205" i="21" s="1"/>
  <c r="E36" i="61" s="1"/>
  <c r="V64" i="21"/>
  <c r="V154" i="21" s="1"/>
  <c r="V205" i="21" s="1"/>
  <c r="W64" i="21"/>
  <c r="W154" i="21" s="1"/>
  <c r="W205" i="21" s="1"/>
  <c r="E38" i="61" s="1"/>
  <c r="Y64" i="21"/>
  <c r="Y154" i="21" s="1"/>
  <c r="Y205" i="21" s="1"/>
  <c r="Z64" i="21"/>
  <c r="Z154" i="21" s="1"/>
  <c r="Z205" i="21" s="1"/>
  <c r="E45" i="61" s="1"/>
  <c r="AA90" i="13"/>
  <c r="AA64" i="21" s="1"/>
  <c r="AA154" i="21" s="1"/>
  <c r="AA205" i="21" s="1"/>
  <c r="E48" i="61" s="1"/>
  <c r="AC64" i="21"/>
  <c r="AC154" i="21"/>
  <c r="AC205" i="21" s="1"/>
  <c r="AD64" i="21"/>
  <c r="AD154" i="21" s="1"/>
  <c r="AD205" i="21" s="1"/>
  <c r="AE64" i="21"/>
  <c r="AE154" i="21" s="1"/>
  <c r="AE205" i="21" s="1"/>
  <c r="AG64" i="21"/>
  <c r="AG154" i="21" s="1"/>
  <c r="AG205" i="21" s="1"/>
  <c r="E142" i="15"/>
  <c r="E143" i="15"/>
  <c r="F143" i="15" s="1"/>
  <c r="H143" i="15" s="1"/>
  <c r="E145" i="15"/>
  <c r="F145" i="15" s="1"/>
  <c r="H145" i="15" s="1"/>
  <c r="K101" i="14"/>
  <c r="K109" i="14"/>
  <c r="D88" i="13"/>
  <c r="E88" i="13" s="1"/>
  <c r="K112" i="13"/>
  <c r="M110" i="13"/>
  <c r="M11" i="21"/>
  <c r="F270" i="8"/>
  <c r="H270" i="8" s="1"/>
  <c r="F249" i="8"/>
  <c r="H249" i="8" s="1"/>
  <c r="I249" i="8" s="1"/>
  <c r="F253" i="8"/>
  <c r="F140" i="8"/>
  <c r="E142" i="8"/>
  <c r="F142" i="8"/>
  <c r="E143" i="8"/>
  <c r="F143" i="8"/>
  <c r="E145" i="8"/>
  <c r="F145" i="8"/>
  <c r="H145" i="8" s="1"/>
  <c r="I145" i="8" s="1"/>
  <c r="F135" i="8"/>
  <c r="M263" i="9"/>
  <c r="M265" i="9"/>
  <c r="M146" i="9"/>
  <c r="P146" i="9" s="1"/>
  <c r="M132" i="9"/>
  <c r="M268" i="9"/>
  <c r="M269" i="9"/>
  <c r="M235" i="9"/>
  <c r="M236" i="9"/>
  <c r="M237" i="9"/>
  <c r="M238" i="9"/>
  <c r="M241" i="9" s="1"/>
  <c r="M225" i="9"/>
  <c r="M226" i="9"/>
  <c r="M227" i="9"/>
  <c r="M229" i="9"/>
  <c r="M218" i="9"/>
  <c r="M219" i="9"/>
  <c r="M114" i="9"/>
  <c r="M115" i="9"/>
  <c r="M116" i="9"/>
  <c r="M117" i="9"/>
  <c r="M118" i="9"/>
  <c r="M119" i="9"/>
  <c r="M103" i="9"/>
  <c r="M104" i="9"/>
  <c r="M105" i="9"/>
  <c r="M106" i="9"/>
  <c r="M107" i="9"/>
  <c r="M108" i="9"/>
  <c r="M109" i="9"/>
  <c r="M110" i="9"/>
  <c r="M88" i="13"/>
  <c r="R88" i="13"/>
  <c r="AA100" i="13"/>
  <c r="AA102" i="13"/>
  <c r="AA106" i="13"/>
  <c r="AA107" i="13"/>
  <c r="AA110" i="13"/>
  <c r="AA86" i="13"/>
  <c r="AA87" i="13"/>
  <c r="AA88" i="13"/>
  <c r="AA89" i="13"/>
  <c r="AA91" i="13"/>
  <c r="AA92" i="13"/>
  <c r="AA93" i="13"/>
  <c r="AA94" i="13"/>
  <c r="AH100" i="13"/>
  <c r="AH102" i="13"/>
  <c r="AH103" i="13"/>
  <c r="AH104" i="13"/>
  <c r="AH105" i="13"/>
  <c r="AH106" i="13"/>
  <c r="AH110" i="13"/>
  <c r="AH86" i="13"/>
  <c r="AH87" i="13"/>
  <c r="AH89" i="13"/>
  <c r="AH92" i="13"/>
  <c r="AH93" i="13"/>
  <c r="F103" i="20"/>
  <c r="F269" i="8"/>
  <c r="H269" i="8" s="1"/>
  <c r="I269" i="8" s="1"/>
  <c r="D107" i="20"/>
  <c r="F198" i="8"/>
  <c r="F202" i="8"/>
  <c r="H202" i="8" s="1"/>
  <c r="F206" i="8"/>
  <c r="F185" i="8"/>
  <c r="F186" i="8"/>
  <c r="F164" i="8"/>
  <c r="F115" i="8"/>
  <c r="F118" i="8"/>
  <c r="H118" i="8" s="1"/>
  <c r="F119" i="8"/>
  <c r="F107" i="8"/>
  <c r="F108" i="8"/>
  <c r="H108" i="8" s="1"/>
  <c r="I108" i="8" s="1"/>
  <c r="F110" i="8"/>
  <c r="H110" i="8" s="1"/>
  <c r="H107" i="20"/>
  <c r="H103" i="20"/>
  <c r="X263" i="9"/>
  <c r="X265" i="9"/>
  <c r="J107" i="20"/>
  <c r="J109" i="20"/>
  <c r="J103" i="20"/>
  <c r="AA263" i="9"/>
  <c r="AB263" i="9"/>
  <c r="AB265" i="9"/>
  <c r="L107" i="20"/>
  <c r="AF263" i="9"/>
  <c r="F273" i="8"/>
  <c r="D17" i="21"/>
  <c r="D11" i="21"/>
  <c r="D263" i="9"/>
  <c r="D267" i="9"/>
  <c r="D268" i="9"/>
  <c r="D235" i="9"/>
  <c r="D236" i="9"/>
  <c r="D237" i="9"/>
  <c r="D238" i="9"/>
  <c r="D239" i="9"/>
  <c r="D225" i="9"/>
  <c r="D226" i="9"/>
  <c r="D227" i="9"/>
  <c r="D228" i="9"/>
  <c r="D229" i="9"/>
  <c r="D218" i="9"/>
  <c r="D219" i="9"/>
  <c r="D220" i="9"/>
  <c r="D221" i="9"/>
  <c r="D140" i="9"/>
  <c r="D141" i="9"/>
  <c r="D142" i="9"/>
  <c r="D143" i="9"/>
  <c r="D144" i="9"/>
  <c r="D145" i="9"/>
  <c r="D146" i="9"/>
  <c r="D127" i="9"/>
  <c r="D128" i="9"/>
  <c r="D129" i="9"/>
  <c r="D130" i="9"/>
  <c r="D131" i="9"/>
  <c r="D132" i="9"/>
  <c r="D133" i="9"/>
  <c r="D135" i="9"/>
  <c r="D114" i="9"/>
  <c r="D115" i="9"/>
  <c r="D116" i="9"/>
  <c r="E116" i="9" s="1"/>
  <c r="D117" i="9"/>
  <c r="D118" i="9"/>
  <c r="I118" i="9" s="1"/>
  <c r="D119" i="9"/>
  <c r="D103" i="9"/>
  <c r="D104" i="9"/>
  <c r="D105" i="9"/>
  <c r="D106" i="9"/>
  <c r="D107" i="9"/>
  <c r="D108" i="9"/>
  <c r="D109" i="9"/>
  <c r="D110" i="9"/>
  <c r="X11" i="21"/>
  <c r="X267" i="9"/>
  <c r="X268" i="9"/>
  <c r="X269" i="9"/>
  <c r="X273" i="9"/>
  <c r="Z273" i="9" s="1"/>
  <c r="X140" i="9"/>
  <c r="X141" i="9"/>
  <c r="X142" i="9"/>
  <c r="X143" i="9"/>
  <c r="X144" i="9"/>
  <c r="X145" i="9"/>
  <c r="X127" i="9"/>
  <c r="X128" i="9"/>
  <c r="X129" i="9"/>
  <c r="X130" i="9"/>
  <c r="X131" i="9"/>
  <c r="X133" i="9"/>
  <c r="X135" i="9"/>
  <c r="X235" i="9"/>
  <c r="X236" i="9"/>
  <c r="X237" i="9"/>
  <c r="X238" i="9"/>
  <c r="X239" i="9"/>
  <c r="X225" i="9"/>
  <c r="X226" i="9"/>
  <c r="X227" i="9"/>
  <c r="X228" i="9"/>
  <c r="X229" i="9"/>
  <c r="X219" i="9"/>
  <c r="X220" i="9"/>
  <c r="X221" i="9"/>
  <c r="X114" i="9"/>
  <c r="X115" i="9"/>
  <c r="X116" i="9"/>
  <c r="X117" i="9"/>
  <c r="X118" i="9"/>
  <c r="X119" i="9"/>
  <c r="X103" i="9"/>
  <c r="X104" i="9"/>
  <c r="X105" i="9"/>
  <c r="X106" i="9"/>
  <c r="X107" i="9"/>
  <c r="X108" i="9"/>
  <c r="X109" i="9"/>
  <c r="X110" i="9"/>
  <c r="AB11" i="21"/>
  <c r="AB140" i="16"/>
  <c r="AB142" i="16"/>
  <c r="AB143" i="16"/>
  <c r="AB144" i="16"/>
  <c r="AB145" i="16"/>
  <c r="AB146" i="16"/>
  <c r="AB147" i="16"/>
  <c r="AB127" i="16"/>
  <c r="AB129" i="16"/>
  <c r="AB130" i="16"/>
  <c r="AB131" i="16"/>
  <c r="AB132" i="16"/>
  <c r="AB133" i="16"/>
  <c r="AB135" i="16"/>
  <c r="AB114" i="16"/>
  <c r="AB115" i="16"/>
  <c r="AB117" i="16"/>
  <c r="AB118" i="16"/>
  <c r="AB119" i="16"/>
  <c r="AB103" i="16"/>
  <c r="AB104" i="16"/>
  <c r="AB105" i="16"/>
  <c r="AB106" i="16"/>
  <c r="AB108" i="16"/>
  <c r="AB109" i="16"/>
  <c r="AB110" i="16"/>
  <c r="AB216" i="16"/>
  <c r="AB218" i="16"/>
  <c r="AB223" i="16"/>
  <c r="AB224" i="16"/>
  <c r="AB225" i="16"/>
  <c r="AB226" i="16"/>
  <c r="AB233" i="16"/>
  <c r="AB234" i="16"/>
  <c r="AB235" i="16"/>
  <c r="AB239" i="16" s="1"/>
  <c r="AB236" i="16"/>
  <c r="AB237" i="16"/>
  <c r="AB273" i="9"/>
  <c r="AD273" i="9" s="1"/>
  <c r="AB267" i="9"/>
  <c r="AB268" i="9"/>
  <c r="AB269" i="9"/>
  <c r="AB235" i="9"/>
  <c r="AB236" i="9"/>
  <c r="AB237" i="9"/>
  <c r="AB238" i="9"/>
  <c r="AB239" i="9"/>
  <c r="AB226" i="9"/>
  <c r="AB228" i="9"/>
  <c r="AB218" i="9"/>
  <c r="AB220" i="9"/>
  <c r="AB140" i="9"/>
  <c r="AB141" i="9"/>
  <c r="AB142" i="9"/>
  <c r="AB143" i="9"/>
  <c r="AB144" i="9"/>
  <c r="AB145" i="9"/>
  <c r="AB146" i="9"/>
  <c r="AB147" i="9"/>
  <c r="AB127" i="9"/>
  <c r="AB128" i="9"/>
  <c r="AB129" i="9"/>
  <c r="AB130" i="9"/>
  <c r="AB131" i="9"/>
  <c r="AB132" i="9"/>
  <c r="AB133" i="9"/>
  <c r="AB135" i="9"/>
  <c r="AB114" i="9"/>
  <c r="AB115" i="9"/>
  <c r="AB116" i="9"/>
  <c r="AB117" i="9"/>
  <c r="AB118" i="9"/>
  <c r="AB119" i="9"/>
  <c r="AB103" i="9"/>
  <c r="AB104" i="9"/>
  <c r="AB105" i="9"/>
  <c r="AB106" i="9"/>
  <c r="AB107" i="9"/>
  <c r="AB108" i="9"/>
  <c r="AB109" i="9"/>
  <c r="AB110" i="9"/>
  <c r="AB15" i="21"/>
  <c r="AF11" i="21"/>
  <c r="AF267" i="9"/>
  <c r="AF268" i="9"/>
  <c r="AF269" i="9"/>
  <c r="AF273" i="9"/>
  <c r="AF226" i="9"/>
  <c r="AG226" i="9" s="1"/>
  <c r="AG230" i="9" s="1"/>
  <c r="AF225" i="9"/>
  <c r="AF228" i="9"/>
  <c r="AF229" i="9"/>
  <c r="AF218" i="9"/>
  <c r="AF219" i="9"/>
  <c r="AF220" i="9"/>
  <c r="AF221" i="9"/>
  <c r="AF140" i="9"/>
  <c r="AF141" i="9"/>
  <c r="AF142" i="9"/>
  <c r="AF143" i="9"/>
  <c r="AF144" i="9"/>
  <c r="AF145" i="9"/>
  <c r="AF146" i="9"/>
  <c r="AF147" i="9"/>
  <c r="AF127" i="9"/>
  <c r="AF128" i="9"/>
  <c r="AF129" i="9"/>
  <c r="AF130" i="9"/>
  <c r="AF131" i="9"/>
  <c r="AF132" i="9"/>
  <c r="AF133" i="9"/>
  <c r="AF135" i="9"/>
  <c r="AF137" i="9" s="1"/>
  <c r="AF114" i="9"/>
  <c r="AF115" i="9"/>
  <c r="AF116" i="9"/>
  <c r="AF117" i="9"/>
  <c r="AF118" i="9"/>
  <c r="AF119" i="9"/>
  <c r="AF103" i="9"/>
  <c r="AF104" i="9"/>
  <c r="AF105" i="9"/>
  <c r="AF106" i="9"/>
  <c r="AF107" i="9"/>
  <c r="AF108" i="9"/>
  <c r="AF109" i="9"/>
  <c r="AF110" i="9"/>
  <c r="K41" i="21"/>
  <c r="K42" i="21"/>
  <c r="K130" i="21" s="1"/>
  <c r="K177" i="21" s="1"/>
  <c r="E20" i="27" s="1"/>
  <c r="K45" i="21"/>
  <c r="K133" i="21" s="1"/>
  <c r="K180" i="21" s="1"/>
  <c r="E20" i="31" s="1"/>
  <c r="M146" i="6"/>
  <c r="P146" i="6" s="1"/>
  <c r="N146" i="6"/>
  <c r="M132" i="6"/>
  <c r="N44" i="21"/>
  <c r="N132" i="21" s="1"/>
  <c r="N179" i="21" s="1"/>
  <c r="E26" i="30" s="1"/>
  <c r="O44" i="21"/>
  <c r="O132" i="21" s="1"/>
  <c r="O179" i="21" s="1"/>
  <c r="E27" i="30" s="1"/>
  <c r="P44" i="21"/>
  <c r="P132" i="21" s="1"/>
  <c r="P179" i="21" s="1"/>
  <c r="Q44" i="21"/>
  <c r="Q132" i="21" s="1"/>
  <c r="Q179" i="21" s="1"/>
  <c r="E29" i="30" s="1"/>
  <c r="R44" i="21"/>
  <c r="R132" i="21"/>
  <c r="R179" i="21" s="1"/>
  <c r="E33" i="30" s="1"/>
  <c r="S44" i="21"/>
  <c r="S132" i="21" s="1"/>
  <c r="S179" i="21" s="1"/>
  <c r="E34" i="30" s="1"/>
  <c r="T44" i="21"/>
  <c r="T132" i="21" s="1"/>
  <c r="T179" i="21" s="1"/>
  <c r="E35" i="30" s="1"/>
  <c r="U44" i="21"/>
  <c r="U132" i="21" s="1"/>
  <c r="U179" i="21" s="1"/>
  <c r="E36" i="30" s="1"/>
  <c r="V44" i="21"/>
  <c r="V132" i="21"/>
  <c r="V179" i="21" s="1"/>
  <c r="E37" i="30" s="1"/>
  <c r="M37" i="30" s="1"/>
  <c r="W44" i="21"/>
  <c r="W132" i="21" s="1"/>
  <c r="W179" i="21" s="1"/>
  <c r="E38" i="30" s="1"/>
  <c r="X140" i="6"/>
  <c r="X141" i="6"/>
  <c r="X142" i="6"/>
  <c r="X143" i="6"/>
  <c r="X144" i="6"/>
  <c r="X145" i="6"/>
  <c r="X127" i="6"/>
  <c r="X128" i="6"/>
  <c r="X129" i="6"/>
  <c r="X130" i="6"/>
  <c r="X131" i="6"/>
  <c r="X133" i="6"/>
  <c r="X135" i="6"/>
  <c r="X263" i="6"/>
  <c r="X265" i="6"/>
  <c r="X267" i="6"/>
  <c r="X268" i="6"/>
  <c r="X269" i="6"/>
  <c r="X273" i="6"/>
  <c r="Z273" i="6" s="1"/>
  <c r="Y44" i="21"/>
  <c r="Y132" i="21" s="1"/>
  <c r="Y179" i="21" s="1"/>
  <c r="E44" i="30" s="1"/>
  <c r="Z44" i="21"/>
  <c r="Z132" i="21" s="1"/>
  <c r="Z179" i="21" s="1"/>
  <c r="E45" i="30" s="1"/>
  <c r="AA140" i="6"/>
  <c r="AA141" i="6"/>
  <c r="AA142" i="6"/>
  <c r="AA143" i="6"/>
  <c r="AA144" i="6"/>
  <c r="AA145" i="6"/>
  <c r="AA146" i="6"/>
  <c r="AA127" i="6"/>
  <c r="AA128" i="6"/>
  <c r="AA129" i="6"/>
  <c r="AA130" i="6"/>
  <c r="AA131" i="6"/>
  <c r="AA132" i="6"/>
  <c r="AA133" i="6"/>
  <c r="AA135" i="6"/>
  <c r="AA114" i="6"/>
  <c r="AA115" i="6"/>
  <c r="AA116" i="6"/>
  <c r="AA117" i="6"/>
  <c r="AA118" i="6"/>
  <c r="AA119" i="6"/>
  <c r="AA103" i="6"/>
  <c r="AA104" i="6"/>
  <c r="AA105" i="6"/>
  <c r="AA106" i="6"/>
  <c r="AA107" i="6"/>
  <c r="AA108" i="6"/>
  <c r="AA109" i="6"/>
  <c r="AA110" i="6"/>
  <c r="AA235" i="6"/>
  <c r="AA236" i="6"/>
  <c r="AA237" i="6"/>
  <c r="AA238" i="6"/>
  <c r="AA239" i="6"/>
  <c r="AA225" i="6"/>
  <c r="AA226" i="6"/>
  <c r="AA227" i="6"/>
  <c r="AA228" i="6"/>
  <c r="AA218" i="6"/>
  <c r="AA220" i="6"/>
  <c r="AA263" i="6"/>
  <c r="AA265" i="6"/>
  <c r="AA267" i="6"/>
  <c r="AA268" i="6"/>
  <c r="AA269" i="6"/>
  <c r="AA273" i="6"/>
  <c r="AA83" i="13"/>
  <c r="AA44" i="21" s="1"/>
  <c r="AB263" i="6"/>
  <c r="AB265" i="6"/>
  <c r="AB273" i="6"/>
  <c r="AE273" i="6" s="1"/>
  <c r="AC44" i="21"/>
  <c r="AC132" i="21" s="1"/>
  <c r="AC179" i="21" s="1"/>
  <c r="E51" i="30" s="1"/>
  <c r="AD44" i="21"/>
  <c r="AD132" i="21" s="1"/>
  <c r="AD179" i="21" s="1"/>
  <c r="E52" i="30" s="1"/>
  <c r="AE44" i="21"/>
  <c r="AE132" i="21" s="1"/>
  <c r="AE179" i="21" s="1"/>
  <c r="E53" i="30" s="1"/>
  <c r="AF226" i="6"/>
  <c r="AG226" i="6" s="1"/>
  <c r="AF227" i="6"/>
  <c r="AG227" i="6" s="1"/>
  <c r="AF263" i="6"/>
  <c r="AF267" i="6"/>
  <c r="AF268" i="6"/>
  <c r="AF269" i="6"/>
  <c r="AG44" i="21"/>
  <c r="AG132" i="21" s="1"/>
  <c r="AG179" i="21" s="1"/>
  <c r="E57" i="30" s="1"/>
  <c r="E58" i="30" s="1"/>
  <c r="AH140" i="6"/>
  <c r="AH141" i="6"/>
  <c r="AH142" i="6"/>
  <c r="AH143" i="6"/>
  <c r="AH144" i="6"/>
  <c r="AH145" i="6"/>
  <c r="AH146" i="6"/>
  <c r="AH127" i="6"/>
  <c r="AH128" i="6"/>
  <c r="AH129" i="6"/>
  <c r="AH130" i="6"/>
  <c r="AH131" i="6"/>
  <c r="AH132" i="6"/>
  <c r="AH133" i="6"/>
  <c r="AH135" i="6"/>
  <c r="AH114" i="6"/>
  <c r="AH115" i="6"/>
  <c r="AH116" i="6"/>
  <c r="AH117" i="6"/>
  <c r="AH118" i="6"/>
  <c r="AH119" i="6"/>
  <c r="AH103" i="6"/>
  <c r="AH104" i="6"/>
  <c r="AH105" i="6"/>
  <c r="AH106" i="6"/>
  <c r="AH107" i="6"/>
  <c r="AH108" i="6"/>
  <c r="AH109" i="6"/>
  <c r="AH110" i="6"/>
  <c r="AH235" i="6"/>
  <c r="AH236" i="6"/>
  <c r="AH237" i="6"/>
  <c r="AH238" i="6"/>
  <c r="AH239" i="6"/>
  <c r="AH225" i="6"/>
  <c r="AH226" i="6"/>
  <c r="AH227" i="6"/>
  <c r="AH228" i="6"/>
  <c r="AH218" i="6"/>
  <c r="AH220" i="6"/>
  <c r="AH267" i="6"/>
  <c r="AH268" i="6"/>
  <c r="AH269" i="6"/>
  <c r="AH83" i="13"/>
  <c r="AH44" i="21" s="1"/>
  <c r="AH132" i="21" s="1"/>
  <c r="AH179" i="21" s="1"/>
  <c r="E60" i="30" s="1"/>
  <c r="E105" i="21"/>
  <c r="D105" i="21" s="1"/>
  <c r="E106" i="21"/>
  <c r="D106" i="21" s="1"/>
  <c r="I105" i="21"/>
  <c r="I106" i="21"/>
  <c r="J105" i="21"/>
  <c r="J106" i="21"/>
  <c r="K9" i="21"/>
  <c r="K101" i="21" s="1"/>
  <c r="K11" i="21"/>
  <c r="K103" i="21" s="1"/>
  <c r="K105" i="21"/>
  <c r="K106" i="21"/>
  <c r="K15" i="21"/>
  <c r="K107" i="21" s="1"/>
  <c r="K16" i="21"/>
  <c r="K108" i="21"/>
  <c r="K17" i="21"/>
  <c r="K109" i="21"/>
  <c r="Y105" i="21"/>
  <c r="Y106" i="21"/>
  <c r="Y15" i="21"/>
  <c r="Y107" i="21" s="1"/>
  <c r="Z105" i="21"/>
  <c r="Z106" i="21"/>
  <c r="Z15" i="21"/>
  <c r="Z107" i="21"/>
  <c r="AA105" i="21"/>
  <c r="AA106" i="21"/>
  <c r="AC105" i="21"/>
  <c r="AC106" i="21"/>
  <c r="AC15" i="21"/>
  <c r="AC107" i="21"/>
  <c r="AC16" i="21"/>
  <c r="AC108" i="21" s="1"/>
  <c r="AC17" i="21"/>
  <c r="AC109" i="21" s="1"/>
  <c r="AD105" i="21"/>
  <c r="AD106" i="21"/>
  <c r="AD15" i="21"/>
  <c r="AD107" i="21" s="1"/>
  <c r="AD16" i="21"/>
  <c r="AD108" i="21" s="1"/>
  <c r="AD17" i="21"/>
  <c r="AD109" i="21" s="1"/>
  <c r="AE105" i="21"/>
  <c r="AE106" i="21"/>
  <c r="AE15" i="21"/>
  <c r="AE107" i="21" s="1"/>
  <c r="AE16" i="21"/>
  <c r="AE108" i="21" s="1"/>
  <c r="AE17" i="21"/>
  <c r="AE109" i="21" s="1"/>
  <c r="AG105" i="21"/>
  <c r="AF105" i="21" s="1"/>
  <c r="AG14" i="21"/>
  <c r="AG15" i="21"/>
  <c r="AG107" i="21" s="1"/>
  <c r="AF107" i="21" s="1"/>
  <c r="AH105" i="21"/>
  <c r="AH106" i="21"/>
  <c r="A1" i="22"/>
  <c r="L11" i="21"/>
  <c r="AL189" i="3"/>
  <c r="AL188" i="3"/>
  <c r="E94" i="3"/>
  <c r="F139" i="15"/>
  <c r="H139" i="15" s="1"/>
  <c r="F140" i="15"/>
  <c r="H140" i="15" s="1"/>
  <c r="I140" i="15" s="1"/>
  <c r="F141" i="15"/>
  <c r="H141" i="15" s="1"/>
  <c r="I141" i="15" s="1"/>
  <c r="F144" i="15"/>
  <c r="H144" i="15" s="1"/>
  <c r="F146" i="15"/>
  <c r="H146" i="15"/>
  <c r="I146" i="15" s="1"/>
  <c r="M146" i="15" s="1"/>
  <c r="F147" i="15"/>
  <c r="H147" i="15" s="1"/>
  <c r="I147" i="15" s="1"/>
  <c r="F126" i="15"/>
  <c r="H126" i="15" s="1"/>
  <c r="F127" i="15"/>
  <c r="H127" i="15" s="1"/>
  <c r="F128" i="15"/>
  <c r="F129" i="15"/>
  <c r="H129" i="15" s="1"/>
  <c r="F130" i="15"/>
  <c r="H130" i="15" s="1"/>
  <c r="F131" i="15"/>
  <c r="H131" i="15" s="1"/>
  <c r="F132" i="15"/>
  <c r="H132" i="15" s="1"/>
  <c r="F133" i="15"/>
  <c r="H133" i="15" s="1"/>
  <c r="F134" i="15"/>
  <c r="H134" i="15" s="1"/>
  <c r="I134" i="15" s="1"/>
  <c r="F135" i="15"/>
  <c r="H135" i="15" s="1"/>
  <c r="F114" i="15"/>
  <c r="H114" i="15" s="1"/>
  <c r="F115" i="15"/>
  <c r="F116" i="15"/>
  <c r="H116" i="15" s="1"/>
  <c r="I116" i="15" s="1"/>
  <c r="F117" i="15"/>
  <c r="H117" i="15" s="1"/>
  <c r="F118" i="15"/>
  <c r="H118" i="15" s="1"/>
  <c r="F119" i="15"/>
  <c r="H119" i="15" s="1"/>
  <c r="F103" i="15"/>
  <c r="H103" i="15" s="1"/>
  <c r="F104" i="15"/>
  <c r="H104" i="15" s="1"/>
  <c r="I104" i="15" s="1"/>
  <c r="K104" i="15" s="1"/>
  <c r="F105" i="15"/>
  <c r="H105" i="15"/>
  <c r="I105" i="15" s="1"/>
  <c r="N105" i="15" s="1"/>
  <c r="N111" i="15" s="1"/>
  <c r="N122" i="15" s="1"/>
  <c r="F106" i="15"/>
  <c r="H106" i="15"/>
  <c r="I106" i="15" s="1"/>
  <c r="AJ106" i="16" s="1"/>
  <c r="F107" i="15"/>
  <c r="H107" i="15"/>
  <c r="I107" i="15" s="1"/>
  <c r="K107" i="15" s="1"/>
  <c r="F108" i="15"/>
  <c r="H108" i="15" s="1"/>
  <c r="I108" i="15" s="1"/>
  <c r="K108" i="15" s="1"/>
  <c r="F109" i="15"/>
  <c r="H109" i="15" s="1"/>
  <c r="I109" i="15" s="1"/>
  <c r="AJ109" i="16" s="1"/>
  <c r="F110" i="15"/>
  <c r="H110" i="15" s="1"/>
  <c r="F216" i="15"/>
  <c r="F217" i="15"/>
  <c r="F218" i="15"/>
  <c r="H218" i="15" s="1"/>
  <c r="F219" i="15"/>
  <c r="F220" i="15"/>
  <c r="H224" i="15"/>
  <c r="F225" i="15"/>
  <c r="H225" i="15" s="1"/>
  <c r="F226" i="15"/>
  <c r="H226" i="15"/>
  <c r="F227" i="15"/>
  <c r="F228" i="15"/>
  <c r="F234" i="15"/>
  <c r="F235" i="15"/>
  <c r="H235" i="15" s="1"/>
  <c r="I235" i="15" s="1"/>
  <c r="F236" i="15"/>
  <c r="H236" i="15" s="1"/>
  <c r="I236" i="15" s="1"/>
  <c r="AJ235" i="16" s="1"/>
  <c r="F237" i="15"/>
  <c r="H237" i="15" s="1"/>
  <c r="F238" i="15"/>
  <c r="H238" i="15" s="1"/>
  <c r="I238" i="15" s="1"/>
  <c r="H206" i="15"/>
  <c r="H193" i="15"/>
  <c r="F196" i="15"/>
  <c r="G196" i="15" s="1"/>
  <c r="F197" i="15"/>
  <c r="G197" i="15" s="1"/>
  <c r="F198" i="15"/>
  <c r="G198" i="15" s="1"/>
  <c r="F199" i="15"/>
  <c r="G199" i="15" s="1"/>
  <c r="F200" i="15"/>
  <c r="G200" i="15" s="1"/>
  <c r="F201" i="15"/>
  <c r="G201" i="15" s="1"/>
  <c r="F202" i="15"/>
  <c r="G202" i="15" s="1"/>
  <c r="F203" i="15"/>
  <c r="G203" i="15" s="1"/>
  <c r="F204" i="15"/>
  <c r="G204" i="15" s="1"/>
  <c r="F205" i="15"/>
  <c r="G205" i="15" s="1"/>
  <c r="F182" i="15"/>
  <c r="G182" i="15" s="1"/>
  <c r="F183" i="15"/>
  <c r="G183" i="15" s="1"/>
  <c r="F184" i="15"/>
  <c r="G184" i="15" s="1"/>
  <c r="F185" i="15"/>
  <c r="G185" i="15" s="1"/>
  <c r="F186" i="15"/>
  <c r="G186" i="15" s="1"/>
  <c r="F187" i="15"/>
  <c r="G187" i="15" s="1"/>
  <c r="F188" i="15"/>
  <c r="G188" i="15" s="1"/>
  <c r="F189" i="15"/>
  <c r="G189" i="15" s="1"/>
  <c r="F190" i="15"/>
  <c r="G190" i="15" s="1"/>
  <c r="F191" i="15"/>
  <c r="G191" i="15" s="1"/>
  <c r="F192" i="15"/>
  <c r="G192" i="15" s="1"/>
  <c r="F161" i="15"/>
  <c r="F162" i="15"/>
  <c r="G162" i="15" s="1"/>
  <c r="F164" i="15"/>
  <c r="G164" i="15" s="1"/>
  <c r="J120" i="15"/>
  <c r="J111" i="15"/>
  <c r="J229" i="15"/>
  <c r="J206" i="15"/>
  <c r="J193" i="15"/>
  <c r="I206" i="15"/>
  <c r="I193" i="15"/>
  <c r="I208" i="15" s="1"/>
  <c r="I210" i="15" s="1"/>
  <c r="E148" i="16"/>
  <c r="E136" i="16"/>
  <c r="E150" i="16"/>
  <c r="E120" i="16"/>
  <c r="E122" i="16" s="1"/>
  <c r="E111" i="16"/>
  <c r="E220" i="16"/>
  <c r="E228" i="16"/>
  <c r="I148" i="16"/>
  <c r="I150" i="16" s="1"/>
  <c r="I136" i="16"/>
  <c r="I120" i="16"/>
  <c r="I122" i="16" s="1"/>
  <c r="I111" i="16"/>
  <c r="I220" i="16"/>
  <c r="I228" i="16"/>
  <c r="J150" i="16"/>
  <c r="J122" i="16"/>
  <c r="I94" i="3"/>
  <c r="J94" i="3"/>
  <c r="J76" i="3"/>
  <c r="L175" i="4"/>
  <c r="F272" i="5"/>
  <c r="H272" i="5" s="1"/>
  <c r="F251" i="8"/>
  <c r="H251" i="8" s="1"/>
  <c r="F254" i="8"/>
  <c r="F139" i="5"/>
  <c r="H139" i="5" s="1"/>
  <c r="J149" i="5"/>
  <c r="K18" i="75" s="1"/>
  <c r="F140" i="5"/>
  <c r="H140" i="5" s="1"/>
  <c r="I140" i="5" s="1"/>
  <c r="F141" i="5"/>
  <c r="H141" i="5" s="1"/>
  <c r="F142" i="5"/>
  <c r="H142" i="5" s="1"/>
  <c r="F143" i="5"/>
  <c r="H143" i="5" s="1"/>
  <c r="F144" i="5"/>
  <c r="H144" i="5" s="1"/>
  <c r="F145" i="5"/>
  <c r="H145" i="5" s="1"/>
  <c r="F146" i="5"/>
  <c r="H146" i="5" s="1"/>
  <c r="I146" i="5" s="1"/>
  <c r="F147" i="5"/>
  <c r="H147" i="5" s="1"/>
  <c r="I147" i="5" s="1"/>
  <c r="F126" i="5"/>
  <c r="H126" i="5" s="1"/>
  <c r="J137" i="5"/>
  <c r="K21" i="75" s="1"/>
  <c r="F127" i="5"/>
  <c r="H127" i="5" s="1"/>
  <c r="F128" i="5"/>
  <c r="H128" i="5" s="1"/>
  <c r="I128" i="5" s="1"/>
  <c r="F129" i="5"/>
  <c r="H129" i="5" s="1"/>
  <c r="I129" i="5" s="1"/>
  <c r="AJ129" i="6" s="1"/>
  <c r="F130" i="5"/>
  <c r="H130" i="5" s="1"/>
  <c r="F131" i="5"/>
  <c r="H131" i="5" s="1"/>
  <c r="F132" i="5"/>
  <c r="H132" i="5" s="1"/>
  <c r="F133" i="5"/>
  <c r="H133" i="5" s="1"/>
  <c r="F135" i="5"/>
  <c r="H135" i="5" s="1"/>
  <c r="F134" i="5"/>
  <c r="H134" i="5" s="1"/>
  <c r="I134" i="5" s="1"/>
  <c r="J120" i="5"/>
  <c r="J111" i="5"/>
  <c r="J207" i="5"/>
  <c r="J194" i="5"/>
  <c r="F218" i="5"/>
  <c r="G217" i="15" s="1"/>
  <c r="F219" i="5"/>
  <c r="F217" i="5"/>
  <c r="H217" i="5" s="1"/>
  <c r="F221" i="5"/>
  <c r="F114" i="5"/>
  <c r="H114" i="5" s="1"/>
  <c r="F115" i="5"/>
  <c r="H115" i="5" s="1"/>
  <c r="F116" i="5"/>
  <c r="H116" i="5" s="1"/>
  <c r="I116" i="5" s="1"/>
  <c r="K116" i="5" s="1"/>
  <c r="F117" i="5"/>
  <c r="H117" i="5" s="1"/>
  <c r="I117" i="5" s="1"/>
  <c r="F118" i="5"/>
  <c r="H118" i="5" s="1"/>
  <c r="F119" i="5"/>
  <c r="H119" i="5"/>
  <c r="I119" i="5" s="1"/>
  <c r="F103" i="5"/>
  <c r="H103" i="5" s="1"/>
  <c r="F104" i="5"/>
  <c r="H104" i="5" s="1"/>
  <c r="F105" i="5"/>
  <c r="H105" i="5" s="1"/>
  <c r="I105" i="5" s="1"/>
  <c r="F106" i="5"/>
  <c r="H106" i="5" s="1"/>
  <c r="F107" i="5"/>
  <c r="H107" i="5" s="1"/>
  <c r="F108" i="5"/>
  <c r="H108" i="5" s="1"/>
  <c r="F109" i="5"/>
  <c r="H109" i="5" s="1"/>
  <c r="F110" i="5"/>
  <c r="H110" i="5" s="1"/>
  <c r="F197" i="5"/>
  <c r="F198" i="5"/>
  <c r="G198" i="5" s="1"/>
  <c r="F199" i="5"/>
  <c r="G199" i="5" s="1"/>
  <c r="F200" i="5"/>
  <c r="G200" i="5" s="1"/>
  <c r="F201" i="5"/>
  <c r="G201" i="5" s="1"/>
  <c r="H201" i="5" s="1"/>
  <c r="F202" i="5"/>
  <c r="G202" i="5" s="1"/>
  <c r="F203" i="5"/>
  <c r="G203" i="5" s="1"/>
  <c r="F204" i="5"/>
  <c r="G204" i="5" s="1"/>
  <c r="F205" i="5"/>
  <c r="G205" i="5" s="1"/>
  <c r="H205" i="5" s="1"/>
  <c r="F206" i="5"/>
  <c r="G206" i="5" s="1"/>
  <c r="H206" i="5" s="1"/>
  <c r="F183" i="5"/>
  <c r="F184" i="5"/>
  <c r="G184" i="5" s="1"/>
  <c r="F185" i="5"/>
  <c r="G185" i="5" s="1"/>
  <c r="F186" i="5"/>
  <c r="G186" i="5" s="1"/>
  <c r="F187" i="5"/>
  <c r="G187" i="5" s="1"/>
  <c r="F188" i="5"/>
  <c r="G188" i="5" s="1"/>
  <c r="F189" i="5"/>
  <c r="G189" i="5" s="1"/>
  <c r="F190" i="5"/>
  <c r="G190" i="5" s="1"/>
  <c r="F191" i="5"/>
  <c r="G191" i="5" s="1"/>
  <c r="F192" i="5"/>
  <c r="G192" i="5" s="1"/>
  <c r="F193" i="5"/>
  <c r="G193" i="5" s="1"/>
  <c r="F161" i="5"/>
  <c r="F162" i="5"/>
  <c r="G162" i="5" s="1"/>
  <c r="F164" i="5"/>
  <c r="G164" i="5" s="1"/>
  <c r="F220" i="5"/>
  <c r="I225" i="5"/>
  <c r="L225" i="5" s="1"/>
  <c r="F226" i="5"/>
  <c r="H226" i="5" s="1"/>
  <c r="F227" i="5"/>
  <c r="F228" i="5"/>
  <c r="H228" i="5" s="1"/>
  <c r="F229" i="5"/>
  <c r="F236" i="5"/>
  <c r="H236" i="5" s="1"/>
  <c r="I236" i="5" s="1"/>
  <c r="F237" i="5"/>
  <c r="H237" i="5" s="1"/>
  <c r="F238" i="5"/>
  <c r="H238" i="5" s="1"/>
  <c r="F239" i="5"/>
  <c r="F217" i="8"/>
  <c r="J223" i="8"/>
  <c r="K17" i="75" s="1"/>
  <c r="F218" i="8"/>
  <c r="F219" i="8"/>
  <c r="J230" i="8"/>
  <c r="F139" i="8"/>
  <c r="H139" i="8" s="1"/>
  <c r="I139" i="8" s="1"/>
  <c r="F127" i="8"/>
  <c r="F128" i="8"/>
  <c r="H128" i="8" s="1"/>
  <c r="F129" i="8"/>
  <c r="H129" i="8" s="1"/>
  <c r="F130" i="8"/>
  <c r="F131" i="8"/>
  <c r="F132" i="8"/>
  <c r="F133" i="8"/>
  <c r="H133" i="8" s="1"/>
  <c r="F147" i="8"/>
  <c r="H147" i="8" s="1"/>
  <c r="J149" i="8"/>
  <c r="K20" i="75" s="1"/>
  <c r="F141" i="8"/>
  <c r="F144" i="8"/>
  <c r="H144" i="8" s="1"/>
  <c r="I144" i="8" s="1"/>
  <c r="F146" i="8"/>
  <c r="F126" i="8"/>
  <c r="H126" i="8" s="1"/>
  <c r="F134" i="8"/>
  <c r="J120" i="8"/>
  <c r="J111" i="8"/>
  <c r="J207" i="8"/>
  <c r="J194" i="8"/>
  <c r="J165" i="8"/>
  <c r="E230" i="9"/>
  <c r="E222" i="9"/>
  <c r="E148" i="9"/>
  <c r="E136" i="9"/>
  <c r="E111" i="9"/>
  <c r="I230" i="9"/>
  <c r="I222" i="9"/>
  <c r="I148" i="9"/>
  <c r="I150" i="9" s="1"/>
  <c r="I136" i="9"/>
  <c r="I111" i="9"/>
  <c r="J230" i="9"/>
  <c r="J222" i="9"/>
  <c r="J242" i="9" s="1"/>
  <c r="J148" i="9"/>
  <c r="J136" i="9"/>
  <c r="L111" i="21"/>
  <c r="L113" i="21"/>
  <c r="E22" i="22" s="1"/>
  <c r="L120" i="15"/>
  <c r="L111" i="15"/>
  <c r="L122" i="15" s="1"/>
  <c r="L229" i="15"/>
  <c r="L206" i="15"/>
  <c r="L193" i="15"/>
  <c r="M141" i="17"/>
  <c r="M145" i="17"/>
  <c r="M127" i="17"/>
  <c r="M128" i="17"/>
  <c r="M131" i="17"/>
  <c r="N120" i="16"/>
  <c r="N111" i="16"/>
  <c r="N220" i="16"/>
  <c r="N228" i="16"/>
  <c r="O120" i="16"/>
  <c r="O122" i="16" s="1"/>
  <c r="O111" i="16"/>
  <c r="O220" i="16"/>
  <c r="O228" i="16"/>
  <c r="P120" i="16"/>
  <c r="P111" i="16"/>
  <c r="P122" i="16" s="1"/>
  <c r="P220" i="16"/>
  <c r="P228" i="16"/>
  <c r="Q120" i="16"/>
  <c r="Q122" i="16" s="1"/>
  <c r="Q111" i="16"/>
  <c r="Q220" i="16"/>
  <c r="Q228" i="16"/>
  <c r="R120" i="16"/>
  <c r="R122" i="16" s="1"/>
  <c r="R111" i="16"/>
  <c r="R220" i="16"/>
  <c r="R228" i="16"/>
  <c r="S120" i="16"/>
  <c r="S111" i="16"/>
  <c r="S220" i="16"/>
  <c r="S228" i="16"/>
  <c r="T120" i="16"/>
  <c r="T111" i="16"/>
  <c r="T122" i="16"/>
  <c r="T220" i="16"/>
  <c r="T228" i="16"/>
  <c r="U120" i="16"/>
  <c r="U122" i="16" s="1"/>
  <c r="U111" i="16"/>
  <c r="U220" i="16"/>
  <c r="U228" i="16"/>
  <c r="V120" i="16"/>
  <c r="V111" i="16"/>
  <c r="V220" i="16"/>
  <c r="V228" i="16"/>
  <c r="W120" i="16"/>
  <c r="W111" i="16"/>
  <c r="W220" i="16"/>
  <c r="W228" i="16"/>
  <c r="F267" i="5"/>
  <c r="H267" i="5" s="1"/>
  <c r="L120" i="5"/>
  <c r="L207" i="5"/>
  <c r="L194" i="5"/>
  <c r="L223" i="8"/>
  <c r="M17" i="75"/>
  <c r="F220" i="8"/>
  <c r="F221" i="8"/>
  <c r="F228" i="8"/>
  <c r="L120" i="8"/>
  <c r="L122" i="8" s="1"/>
  <c r="L111" i="8"/>
  <c r="L207" i="8"/>
  <c r="L194" i="8"/>
  <c r="L165" i="8"/>
  <c r="N230" i="9"/>
  <c r="N222" i="9"/>
  <c r="M141" i="7"/>
  <c r="M145" i="7"/>
  <c r="M127" i="7"/>
  <c r="M128" i="7"/>
  <c r="M131" i="7"/>
  <c r="M133" i="7"/>
  <c r="N120" i="9"/>
  <c r="N111" i="9"/>
  <c r="N122" i="9" s="1"/>
  <c r="O230" i="9"/>
  <c r="O222" i="9"/>
  <c r="O120" i="9"/>
  <c r="O111" i="9"/>
  <c r="P230" i="9"/>
  <c r="P222" i="9"/>
  <c r="P120" i="9"/>
  <c r="P111" i="9"/>
  <c r="P122" i="9" s="1"/>
  <c r="Q230" i="9"/>
  <c r="Q222" i="9"/>
  <c r="Q120" i="9"/>
  <c r="Q111" i="9"/>
  <c r="R230" i="9"/>
  <c r="R222" i="9"/>
  <c r="R120" i="9"/>
  <c r="R111" i="9"/>
  <c r="R122" i="9" s="1"/>
  <c r="S230" i="9"/>
  <c r="S222" i="9"/>
  <c r="S120" i="9"/>
  <c r="S111" i="9"/>
  <c r="T230" i="9"/>
  <c r="T222" i="9"/>
  <c r="T120" i="9"/>
  <c r="T111" i="9"/>
  <c r="T122" i="9" s="1"/>
  <c r="U230" i="9"/>
  <c r="U242" i="9" s="1"/>
  <c r="U222" i="9"/>
  <c r="U120" i="9"/>
  <c r="U111" i="9"/>
  <c r="V230" i="9"/>
  <c r="V222" i="9"/>
  <c r="V120" i="9"/>
  <c r="V111" i="9"/>
  <c r="V122" i="9" s="1"/>
  <c r="W230" i="9"/>
  <c r="W222" i="9"/>
  <c r="W120" i="9"/>
  <c r="W111" i="9"/>
  <c r="N105" i="21"/>
  <c r="N106" i="21"/>
  <c r="O105" i="21"/>
  <c r="O106" i="21"/>
  <c r="P105" i="21"/>
  <c r="P106" i="21"/>
  <c r="Q105" i="21"/>
  <c r="Q106" i="21"/>
  <c r="R105" i="21"/>
  <c r="R106" i="21"/>
  <c r="S105" i="21"/>
  <c r="S106" i="21"/>
  <c r="T105" i="21"/>
  <c r="T106" i="21"/>
  <c r="U105" i="21"/>
  <c r="U106" i="21"/>
  <c r="V105" i="21"/>
  <c r="V106" i="21"/>
  <c r="W105" i="21"/>
  <c r="W106" i="21"/>
  <c r="M229" i="15"/>
  <c r="M206" i="15"/>
  <c r="M193" i="15"/>
  <c r="X146" i="17"/>
  <c r="X132" i="17"/>
  <c r="Y228" i="16"/>
  <c r="Z228" i="16"/>
  <c r="M120" i="5"/>
  <c r="M122" i="5" s="1"/>
  <c r="M207" i="5"/>
  <c r="M194" i="5"/>
  <c r="M230" i="8"/>
  <c r="M120" i="8"/>
  <c r="M111" i="8"/>
  <c r="M207" i="8"/>
  <c r="M194" i="8"/>
  <c r="M165" i="8"/>
  <c r="Y230" i="9"/>
  <c r="X217" i="7"/>
  <c r="X218" i="7"/>
  <c r="X146" i="7"/>
  <c r="X132" i="7"/>
  <c r="Z230" i="9"/>
  <c r="N229" i="15"/>
  <c r="N206" i="15"/>
  <c r="N193" i="15"/>
  <c r="N149" i="5"/>
  <c r="O18" i="75" s="1"/>
  <c r="N137" i="5"/>
  <c r="O21" i="75"/>
  <c r="N120" i="5"/>
  <c r="N122" i="5" s="1"/>
  <c r="N207" i="5"/>
  <c r="N194" i="5"/>
  <c r="N230" i="8"/>
  <c r="N137" i="8"/>
  <c r="O23" i="75"/>
  <c r="N120" i="8"/>
  <c r="N122" i="8" s="1"/>
  <c r="N111" i="8"/>
  <c r="N207" i="8"/>
  <c r="N194" i="8"/>
  <c r="N165" i="8"/>
  <c r="O206" i="15"/>
  <c r="O193" i="15"/>
  <c r="AB215" i="17"/>
  <c r="AB217" i="17"/>
  <c r="AE98" i="3"/>
  <c r="O149" i="5"/>
  <c r="P18" i="75" s="1"/>
  <c r="O137" i="5"/>
  <c r="P21" i="75" s="1"/>
  <c r="O120" i="5"/>
  <c r="O122" i="5"/>
  <c r="O207" i="5"/>
  <c r="O194" i="5"/>
  <c r="O137" i="8"/>
  <c r="P23" i="75"/>
  <c r="O120" i="8"/>
  <c r="O122" i="8" s="1"/>
  <c r="O111" i="8"/>
  <c r="O207" i="8"/>
  <c r="O209" i="8" s="1"/>
  <c r="O194" i="8"/>
  <c r="O165" i="8"/>
  <c r="AB217" i="7"/>
  <c r="AB219" i="7"/>
  <c r="P206" i="15"/>
  <c r="P193" i="15"/>
  <c r="AG228" i="16"/>
  <c r="AF234" i="17"/>
  <c r="AF235" i="17"/>
  <c r="AF236" i="17"/>
  <c r="AF237" i="17"/>
  <c r="P149" i="5"/>
  <c r="Q18" i="75" s="1"/>
  <c r="P137" i="5"/>
  <c r="P120" i="5"/>
  <c r="P122" i="5" s="1"/>
  <c r="P207" i="5"/>
  <c r="P194" i="5"/>
  <c r="P223" i="8"/>
  <c r="Q17" i="75" s="1"/>
  <c r="P230" i="8"/>
  <c r="F235" i="8"/>
  <c r="F236" i="8"/>
  <c r="H236" i="8" s="1"/>
  <c r="F237" i="8"/>
  <c r="H237" i="8" s="1"/>
  <c r="I237" i="8" s="1"/>
  <c r="P237" i="8" s="1"/>
  <c r="F238" i="8"/>
  <c r="F239" i="8"/>
  <c r="P137" i="8"/>
  <c r="Q23" i="75" s="1"/>
  <c r="P120" i="8"/>
  <c r="P111" i="8"/>
  <c r="P207" i="8"/>
  <c r="P194" i="8"/>
  <c r="P165" i="8"/>
  <c r="Q229" i="15"/>
  <c r="Q206" i="15"/>
  <c r="Q193" i="15"/>
  <c r="F263" i="5"/>
  <c r="H263" i="5" s="1"/>
  <c r="F265" i="5"/>
  <c r="H265" i="5" s="1"/>
  <c r="I265" i="5" s="1"/>
  <c r="AJ265" i="6" s="1"/>
  <c r="Q149" i="5"/>
  <c r="R18" i="75" s="1"/>
  <c r="Q137" i="5"/>
  <c r="R21" i="75"/>
  <c r="Q120" i="5"/>
  <c r="Q122" i="5" s="1"/>
  <c r="Q207" i="5"/>
  <c r="Q194" i="5"/>
  <c r="Q223" i="8"/>
  <c r="R17" i="75" s="1"/>
  <c r="Q230" i="8"/>
  <c r="Q137" i="8"/>
  <c r="R23" i="75" s="1"/>
  <c r="Q120" i="8"/>
  <c r="Q111" i="8"/>
  <c r="Q207" i="8"/>
  <c r="Q194" i="8"/>
  <c r="Q165" i="8"/>
  <c r="E157" i="21"/>
  <c r="E208" i="21" s="1"/>
  <c r="E10" i="57" s="1"/>
  <c r="I157" i="21"/>
  <c r="I208" i="21" s="1"/>
  <c r="J157" i="21"/>
  <c r="J208" i="21"/>
  <c r="J216" i="21" s="1"/>
  <c r="K157" i="21"/>
  <c r="K208" i="21" s="1"/>
  <c r="E20" i="57" s="1"/>
  <c r="L208" i="21"/>
  <c r="E22" i="57" s="1"/>
  <c r="N157" i="21"/>
  <c r="N208" i="21" s="1"/>
  <c r="O157" i="21"/>
  <c r="O208" i="21" s="1"/>
  <c r="P157" i="21"/>
  <c r="P208" i="21" s="1"/>
  <c r="Q157" i="21"/>
  <c r="Q208" i="21"/>
  <c r="Q216" i="21" s="1"/>
  <c r="R157" i="21"/>
  <c r="R208" i="21" s="1"/>
  <c r="R216" i="21" s="1"/>
  <c r="S157" i="21"/>
  <c r="S208" i="21" s="1"/>
  <c r="S216" i="21" s="1"/>
  <c r="T157" i="21"/>
  <c r="T208" i="21"/>
  <c r="E35" i="57" s="1"/>
  <c r="U157" i="21"/>
  <c r="U208" i="21" s="1"/>
  <c r="V157" i="21"/>
  <c r="V208" i="21" s="1"/>
  <c r="W157" i="21"/>
  <c r="W208" i="21" s="1"/>
  <c r="Y157" i="21"/>
  <c r="Y208" i="21" s="1"/>
  <c r="Z157" i="21"/>
  <c r="Z208" i="21" s="1"/>
  <c r="Z216" i="21" s="1"/>
  <c r="AA157" i="21"/>
  <c r="AA208" i="21"/>
  <c r="AA216" i="21" s="1"/>
  <c r="AC157" i="21"/>
  <c r="AC208" i="21"/>
  <c r="AC216" i="21" s="1"/>
  <c r="AD157" i="21"/>
  <c r="AD208" i="21" s="1"/>
  <c r="AD216" i="21" s="1"/>
  <c r="AE157" i="21"/>
  <c r="AE208" i="21" s="1"/>
  <c r="AG157" i="21"/>
  <c r="AG208" i="21" s="1"/>
  <c r="L205" i="21"/>
  <c r="E22" i="61" s="1"/>
  <c r="F90" i="12"/>
  <c r="H90" i="12" s="1"/>
  <c r="D102" i="13"/>
  <c r="E102" i="13"/>
  <c r="F108" i="12"/>
  <c r="H108" i="12" s="1"/>
  <c r="I108" i="12" s="1"/>
  <c r="D87" i="14"/>
  <c r="D94" i="14"/>
  <c r="L206" i="21"/>
  <c r="F105" i="12"/>
  <c r="F106" i="12"/>
  <c r="F107" i="12"/>
  <c r="J191" i="2"/>
  <c r="F197" i="8"/>
  <c r="F199" i="8"/>
  <c r="F200" i="8"/>
  <c r="F201" i="8"/>
  <c r="F203" i="8"/>
  <c r="F204" i="8"/>
  <c r="H204" i="8" s="1"/>
  <c r="F205" i="8"/>
  <c r="F183" i="8"/>
  <c r="F184" i="8"/>
  <c r="H184" i="8" s="1"/>
  <c r="F187" i="8"/>
  <c r="H187" i="8" s="1"/>
  <c r="I187" i="8" s="1"/>
  <c r="F188" i="8"/>
  <c r="H188" i="8"/>
  <c r="I188" i="8" s="1"/>
  <c r="F189" i="8"/>
  <c r="H189" i="8"/>
  <c r="I189" i="8" s="1"/>
  <c r="F190" i="8"/>
  <c r="H190" i="8" s="1"/>
  <c r="F191" i="8"/>
  <c r="H191" i="8" s="1"/>
  <c r="I191" i="8" s="1"/>
  <c r="F192" i="8"/>
  <c r="H192" i="8" s="1"/>
  <c r="I192" i="8" s="1"/>
  <c r="F193" i="8"/>
  <c r="H193" i="8" s="1"/>
  <c r="F161" i="8"/>
  <c r="H161" i="8" s="1"/>
  <c r="F162" i="8"/>
  <c r="F165" i="8" s="1"/>
  <c r="G191" i="2"/>
  <c r="K137" i="15"/>
  <c r="L22" i="75" s="1"/>
  <c r="K229" i="15"/>
  <c r="K206" i="15"/>
  <c r="K193" i="15"/>
  <c r="K149" i="5"/>
  <c r="L18" i="75"/>
  <c r="K137" i="5"/>
  <c r="L21" i="75"/>
  <c r="K207" i="5"/>
  <c r="K194" i="5"/>
  <c r="K223" i="8"/>
  <c r="L17" i="75" s="1"/>
  <c r="K230" i="8"/>
  <c r="K149" i="8"/>
  <c r="L20" i="75" s="1"/>
  <c r="K137" i="8"/>
  <c r="L23" i="75" s="1"/>
  <c r="F114" i="8"/>
  <c r="F116" i="8"/>
  <c r="F117" i="8"/>
  <c r="F103" i="8"/>
  <c r="H103" i="8" s="1"/>
  <c r="I103" i="8" s="1"/>
  <c r="F104" i="8"/>
  <c r="F105" i="8"/>
  <c r="F106" i="8"/>
  <c r="F109" i="8"/>
  <c r="H109" i="8" s="1"/>
  <c r="I109" i="8" s="1"/>
  <c r="K207" i="8"/>
  <c r="K194" i="8"/>
  <c r="K165" i="8"/>
  <c r="K191" i="2"/>
  <c r="L191" i="2"/>
  <c r="M191" i="2"/>
  <c r="N191" i="2"/>
  <c r="O191" i="2"/>
  <c r="P191" i="2"/>
  <c r="Q191" i="2"/>
  <c r="L207" i="21"/>
  <c r="E22" i="59" s="1"/>
  <c r="AC191" i="3"/>
  <c r="AB191" i="3"/>
  <c r="AD191" i="3"/>
  <c r="AE191" i="3"/>
  <c r="AG191" i="3"/>
  <c r="E127" i="21"/>
  <c r="E174" i="21" s="1"/>
  <c r="E10" i="25" s="1"/>
  <c r="E149" i="21"/>
  <c r="E148" i="6"/>
  <c r="E136" i="6"/>
  <c r="E120" i="6"/>
  <c r="E111" i="6"/>
  <c r="E230" i="6"/>
  <c r="E222" i="6"/>
  <c r="AJ261" i="6"/>
  <c r="AJ264" i="6"/>
  <c r="F269" i="5"/>
  <c r="H269" i="5" s="1"/>
  <c r="F270" i="5"/>
  <c r="H270" i="5" s="1"/>
  <c r="I270" i="5" s="1"/>
  <c r="F249" i="5"/>
  <c r="H249" i="5" s="1"/>
  <c r="F251" i="5"/>
  <c r="H251" i="5" s="1"/>
  <c r="F253" i="5"/>
  <c r="H253" i="5" s="1"/>
  <c r="I253" i="5" s="1"/>
  <c r="F254" i="5"/>
  <c r="H254" i="5" s="1"/>
  <c r="I254" i="5" s="1"/>
  <c r="AJ254" i="6" s="1"/>
  <c r="F83" i="12"/>
  <c r="I30" i="66" s="1"/>
  <c r="D83" i="14"/>
  <c r="I127" i="21"/>
  <c r="I174" i="21"/>
  <c r="E15" i="25" s="1"/>
  <c r="I149" i="21"/>
  <c r="I196" i="21" s="1"/>
  <c r="E15" i="55" s="1"/>
  <c r="I148" i="6"/>
  <c r="I136" i="6"/>
  <c r="I120" i="6"/>
  <c r="I111" i="6"/>
  <c r="I230" i="6"/>
  <c r="I222" i="6"/>
  <c r="I242" i="6" s="1"/>
  <c r="J149" i="21"/>
  <c r="J196" i="21" s="1"/>
  <c r="E17" i="55" s="1"/>
  <c r="J148" i="6"/>
  <c r="J136" i="6"/>
  <c r="J230" i="6"/>
  <c r="J222" i="6"/>
  <c r="J242" i="6" s="1"/>
  <c r="J34" i="13"/>
  <c r="J36" i="13" s="1"/>
  <c r="J47" i="13" s="1"/>
  <c r="J45" i="21" s="1"/>
  <c r="J133" i="21" s="1"/>
  <c r="J180" i="21" s="1"/>
  <c r="E17" i="31" s="1"/>
  <c r="K127" i="21"/>
  <c r="K174" i="21"/>
  <c r="E20" i="25" s="1"/>
  <c r="K149" i="21"/>
  <c r="K196" i="21" s="1"/>
  <c r="E20" i="55" s="1"/>
  <c r="L174" i="21"/>
  <c r="E22" i="25" s="1"/>
  <c r="L176" i="21"/>
  <c r="E22" i="26"/>
  <c r="L177" i="21"/>
  <c r="E22" i="27" s="1"/>
  <c r="L179" i="21"/>
  <c r="E22" i="30" s="1"/>
  <c r="L180" i="21"/>
  <c r="E22" i="31" s="1"/>
  <c r="N127" i="21"/>
  <c r="N174" i="21" s="1"/>
  <c r="E26" i="25" s="1"/>
  <c r="N149" i="21"/>
  <c r="N196" i="21" s="1"/>
  <c r="E26" i="55" s="1"/>
  <c r="N120" i="6"/>
  <c r="N111" i="6"/>
  <c r="N242" i="6"/>
  <c r="M273" i="6"/>
  <c r="N34" i="13"/>
  <c r="N36" i="13"/>
  <c r="N47" i="13" s="1"/>
  <c r="N45" i="21" s="1"/>
  <c r="N133" i="21" s="1"/>
  <c r="N180" i="21" s="1"/>
  <c r="E26" i="31" s="1"/>
  <c r="O127" i="21"/>
  <c r="O174" i="21" s="1"/>
  <c r="O149" i="21"/>
  <c r="O196" i="21" s="1"/>
  <c r="E27" i="55" s="1"/>
  <c r="O120" i="6"/>
  <c r="O122" i="6" s="1"/>
  <c r="O111" i="6"/>
  <c r="O242" i="6"/>
  <c r="O34" i="13"/>
  <c r="O36" i="13"/>
  <c r="O47" i="13" s="1"/>
  <c r="O45" i="21" s="1"/>
  <c r="O133" i="21" s="1"/>
  <c r="O180" i="21" s="1"/>
  <c r="E27" i="31" s="1"/>
  <c r="P127" i="21"/>
  <c r="P174" i="21"/>
  <c r="E28" i="25" s="1"/>
  <c r="P149" i="21"/>
  <c r="P196" i="21"/>
  <c r="E28" i="55" s="1"/>
  <c r="P120" i="6"/>
  <c r="P111" i="6"/>
  <c r="P242" i="6"/>
  <c r="P34" i="13"/>
  <c r="P36" i="13" s="1"/>
  <c r="P47" i="13" s="1"/>
  <c r="P45" i="21" s="1"/>
  <c r="P133" i="21" s="1"/>
  <c r="P180" i="21" s="1"/>
  <c r="E28" i="31" s="1"/>
  <c r="Q127" i="21"/>
  <c r="Q174" i="21" s="1"/>
  <c r="E29" i="25" s="1"/>
  <c r="Q149" i="21"/>
  <c r="Q196" i="21" s="1"/>
  <c r="Q120" i="6"/>
  <c r="Q111" i="6"/>
  <c r="Q242" i="6"/>
  <c r="Q34" i="13"/>
  <c r="Q36" i="13"/>
  <c r="Q47" i="13" s="1"/>
  <c r="Q45" i="21" s="1"/>
  <c r="Q133" i="21" s="1"/>
  <c r="Q180" i="21" s="1"/>
  <c r="E29" i="31" s="1"/>
  <c r="R127" i="21"/>
  <c r="R174" i="21" s="1"/>
  <c r="E33" i="25" s="1"/>
  <c r="R149" i="21"/>
  <c r="R196" i="21" s="1"/>
  <c r="E33" i="55" s="1"/>
  <c r="R120" i="6"/>
  <c r="R111" i="6"/>
  <c r="R122" i="6" s="1"/>
  <c r="R242" i="6"/>
  <c r="R34" i="13"/>
  <c r="R36" i="13"/>
  <c r="R47" i="13" s="1"/>
  <c r="R45" i="21" s="1"/>
  <c r="R133" i="21" s="1"/>
  <c r="R180" i="21" s="1"/>
  <c r="E33" i="31" s="1"/>
  <c r="S127" i="21"/>
  <c r="S174" i="21"/>
  <c r="E34" i="25" s="1"/>
  <c r="S149" i="21"/>
  <c r="S196" i="21"/>
  <c r="E34" i="55" s="1"/>
  <c r="S120" i="6"/>
  <c r="S122" i="6" s="1"/>
  <c r="S111" i="6"/>
  <c r="S242" i="6"/>
  <c r="S34" i="13"/>
  <c r="S36" i="13" s="1"/>
  <c r="S47" i="13" s="1"/>
  <c r="S45" i="21" s="1"/>
  <c r="S133" i="21" s="1"/>
  <c r="S180" i="21" s="1"/>
  <c r="E34" i="31" s="1"/>
  <c r="T127" i="21"/>
  <c r="T174" i="21" s="1"/>
  <c r="E35" i="25" s="1"/>
  <c r="T149" i="21"/>
  <c r="T196" i="21" s="1"/>
  <c r="E35" i="55" s="1"/>
  <c r="T120" i="6"/>
  <c r="T111" i="6"/>
  <c r="T242" i="6"/>
  <c r="T34" i="13"/>
  <c r="T36" i="13"/>
  <c r="T47" i="13" s="1"/>
  <c r="T45" i="21" s="1"/>
  <c r="T133" i="21" s="1"/>
  <c r="T180" i="21" s="1"/>
  <c r="E35" i="31" s="1"/>
  <c r="U127" i="21"/>
  <c r="U174" i="21"/>
  <c r="E36" i="25" s="1"/>
  <c r="U149" i="21"/>
  <c r="U196" i="21"/>
  <c r="E36" i="55" s="1"/>
  <c r="U120" i="6"/>
  <c r="U111" i="6"/>
  <c r="U242" i="6"/>
  <c r="U34" i="13"/>
  <c r="U36" i="13" s="1"/>
  <c r="U47" i="13" s="1"/>
  <c r="U45" i="21" s="1"/>
  <c r="U133" i="21" s="1"/>
  <c r="U180" i="21" s="1"/>
  <c r="E36" i="31" s="1"/>
  <c r="V127" i="21"/>
  <c r="V174" i="21"/>
  <c r="E37" i="25" s="1"/>
  <c r="I37" i="25" s="1"/>
  <c r="V149" i="21"/>
  <c r="V196" i="21" s="1"/>
  <c r="E37" i="55" s="1"/>
  <c r="L37" i="55" s="1"/>
  <c r="V120" i="6"/>
  <c r="V111" i="6"/>
  <c r="V242" i="6"/>
  <c r="V34" i="13"/>
  <c r="V36" i="13"/>
  <c r="V47" i="13" s="1"/>
  <c r="V45" i="21" s="1"/>
  <c r="V133" i="21" s="1"/>
  <c r="V180" i="21" s="1"/>
  <c r="E37" i="31" s="1"/>
  <c r="W127" i="21"/>
  <c r="W174" i="21" s="1"/>
  <c r="E38" i="25" s="1"/>
  <c r="W149" i="21"/>
  <c r="W196" i="21" s="1"/>
  <c r="W120" i="6"/>
  <c r="W111" i="6"/>
  <c r="W242" i="6"/>
  <c r="W34" i="13"/>
  <c r="W36" i="13"/>
  <c r="W47" i="13" s="1"/>
  <c r="W45" i="21" s="1"/>
  <c r="W133" i="21" s="1"/>
  <c r="W180" i="21" s="1"/>
  <c r="Y127" i="21"/>
  <c r="Y174" i="21" s="1"/>
  <c r="E44" i="25" s="1"/>
  <c r="Y149" i="21"/>
  <c r="Y196" i="21" s="1"/>
  <c r="E44" i="55" s="1"/>
  <c r="E46" i="55" s="1"/>
  <c r="Y230" i="6"/>
  <c r="Y34" i="13"/>
  <c r="Y36" i="13"/>
  <c r="Y47" i="13"/>
  <c r="Y45" i="21" s="1"/>
  <c r="Y133" i="21" s="1"/>
  <c r="Y180" i="21" s="1"/>
  <c r="E44" i="31" s="1"/>
  <c r="Z127" i="21"/>
  <c r="Z174" i="21" s="1"/>
  <c r="E45" i="25" s="1"/>
  <c r="Z149" i="21"/>
  <c r="Z196" i="21" s="1"/>
  <c r="E45" i="55" s="1"/>
  <c r="Z230" i="6"/>
  <c r="Z34" i="13"/>
  <c r="Z36" i="13" s="1"/>
  <c r="Z47" i="13" s="1"/>
  <c r="Z45" i="21" s="1"/>
  <c r="Z133" i="21" s="1"/>
  <c r="Z180" i="21" s="1"/>
  <c r="E45" i="31" s="1"/>
  <c r="AA127" i="21"/>
  <c r="AA174" i="21" s="1"/>
  <c r="E48" i="25" s="1"/>
  <c r="AA149" i="21"/>
  <c r="AA196" i="21" s="1"/>
  <c r="E48" i="55" s="1"/>
  <c r="AA34" i="13"/>
  <c r="AA36" i="13" s="1"/>
  <c r="AA47" i="13" s="1"/>
  <c r="AA45" i="21" s="1"/>
  <c r="AA133" i="21" s="1"/>
  <c r="AA180" i="21" s="1"/>
  <c r="E48" i="31" s="1"/>
  <c r="AC127" i="21"/>
  <c r="AC174" i="21" s="1"/>
  <c r="E51" i="25" s="1"/>
  <c r="AC149" i="21"/>
  <c r="AC196" i="21" s="1"/>
  <c r="E51" i="55" s="1"/>
  <c r="AC34" i="13"/>
  <c r="AC36" i="13"/>
  <c r="AC47" i="13" s="1"/>
  <c r="AC45" i="21" s="1"/>
  <c r="AC133" i="21" s="1"/>
  <c r="AC180" i="21" s="1"/>
  <c r="E51" i="31" s="1"/>
  <c r="E54" i="31" s="1"/>
  <c r="AD127" i="21"/>
  <c r="AD174" i="21" s="1"/>
  <c r="E52" i="25" s="1"/>
  <c r="AD149" i="21"/>
  <c r="AD196" i="21" s="1"/>
  <c r="E52" i="55" s="1"/>
  <c r="AD34" i="13"/>
  <c r="AD36" i="13" s="1"/>
  <c r="AD47" i="13" s="1"/>
  <c r="AD45" i="21" s="1"/>
  <c r="AD133" i="21" s="1"/>
  <c r="AD180" i="21" s="1"/>
  <c r="E52" i="31" s="1"/>
  <c r="AE127" i="21"/>
  <c r="AE174" i="21" s="1"/>
  <c r="E53" i="25" s="1"/>
  <c r="AE149" i="21"/>
  <c r="AE196" i="21" s="1"/>
  <c r="E53" i="55" s="1"/>
  <c r="AE34" i="13"/>
  <c r="AE36" i="13" s="1"/>
  <c r="AE47" i="13" s="1"/>
  <c r="AE45" i="21" s="1"/>
  <c r="AE133" i="21" s="1"/>
  <c r="AE180" i="21" s="1"/>
  <c r="E53" i="31" s="1"/>
  <c r="AG127" i="21"/>
  <c r="AG174" i="21" s="1"/>
  <c r="E57" i="25" s="1"/>
  <c r="E58" i="25" s="1"/>
  <c r="AG149" i="21"/>
  <c r="AG196" i="21" s="1"/>
  <c r="E57" i="55" s="1"/>
  <c r="E58" i="55" s="1"/>
  <c r="AF273" i="6"/>
  <c r="AG34" i="13"/>
  <c r="AG36" i="13"/>
  <c r="AG47" i="13" s="1"/>
  <c r="AG45" i="21"/>
  <c r="AG133" i="21" s="1"/>
  <c r="AG180" i="21" s="1"/>
  <c r="E57" i="31" s="1"/>
  <c r="E58" i="31" s="1"/>
  <c r="AH127" i="21"/>
  <c r="AH174" i="21" s="1"/>
  <c r="E60" i="25" s="1"/>
  <c r="AH149" i="21"/>
  <c r="AH196" i="21"/>
  <c r="F273" i="5"/>
  <c r="H273" i="5" s="1"/>
  <c r="AH34" i="13"/>
  <c r="AH36" i="13"/>
  <c r="AH47" i="13" s="1"/>
  <c r="AH45" i="21" s="1"/>
  <c r="AH133" i="21" s="1"/>
  <c r="AH180" i="21" s="1"/>
  <c r="E60" i="31" s="1"/>
  <c r="L82" i="13"/>
  <c r="D230" i="8"/>
  <c r="D148" i="8"/>
  <c r="D136" i="8"/>
  <c r="D120" i="8"/>
  <c r="D111" i="8"/>
  <c r="D207" i="8"/>
  <c r="D194" i="8"/>
  <c r="E272" i="8"/>
  <c r="E222" i="8"/>
  <c r="E230" i="8"/>
  <c r="E136" i="8"/>
  <c r="E120" i="8"/>
  <c r="E111" i="8"/>
  <c r="F32" i="12"/>
  <c r="I31" i="66" s="1"/>
  <c r="F268" i="5"/>
  <c r="H268" i="5" s="1"/>
  <c r="F235" i="5"/>
  <c r="H235" i="5" s="1"/>
  <c r="F82" i="12"/>
  <c r="I29" i="66" s="1"/>
  <c r="I39" i="20"/>
  <c r="J39" i="20"/>
  <c r="K39" i="20"/>
  <c r="L39" i="20"/>
  <c r="M39" i="20"/>
  <c r="G43" i="20"/>
  <c r="G44" i="20"/>
  <c r="K34" i="12"/>
  <c r="K24" i="12"/>
  <c r="K16" i="12"/>
  <c r="K45" i="12"/>
  <c r="F149" i="20"/>
  <c r="H149" i="20"/>
  <c r="I149" i="20"/>
  <c r="J149" i="20"/>
  <c r="K149" i="20"/>
  <c r="L149" i="20"/>
  <c r="M149" i="20"/>
  <c r="J29" i="66"/>
  <c r="J30" i="66"/>
  <c r="J31" i="66"/>
  <c r="AJ16" i="21"/>
  <c r="AJ108" i="21" s="1"/>
  <c r="J10" i="66"/>
  <c r="D222" i="5"/>
  <c r="D230" i="5"/>
  <c r="D148" i="5"/>
  <c r="D120" i="5"/>
  <c r="D122" i="5" s="1"/>
  <c r="D207" i="5"/>
  <c r="D194" i="5"/>
  <c r="E222" i="5"/>
  <c r="E230" i="5"/>
  <c r="E148" i="5"/>
  <c r="E150" i="5" s="1"/>
  <c r="E136" i="5"/>
  <c r="E120" i="5"/>
  <c r="E111" i="5"/>
  <c r="AA140" i="16"/>
  <c r="AA142" i="16"/>
  <c r="AA143" i="16"/>
  <c r="AA144" i="16"/>
  <c r="AA145" i="16"/>
  <c r="AA146" i="16"/>
  <c r="AA147" i="16"/>
  <c r="AA127" i="16"/>
  <c r="AA129" i="16"/>
  <c r="AA130" i="16"/>
  <c r="AA131" i="16"/>
  <c r="AA132" i="16"/>
  <c r="AA133" i="16"/>
  <c r="AA135" i="16"/>
  <c r="AA114" i="16"/>
  <c r="AA115" i="16"/>
  <c r="AA117" i="16"/>
  <c r="AA118" i="16"/>
  <c r="AA119" i="16"/>
  <c r="AA103" i="16"/>
  <c r="AA104" i="16"/>
  <c r="AA105" i="16"/>
  <c r="AA106" i="16"/>
  <c r="AA108" i="16"/>
  <c r="AA109" i="16"/>
  <c r="AA110" i="16"/>
  <c r="AA216" i="16"/>
  <c r="AA218" i="16"/>
  <c r="AA223" i="16"/>
  <c r="AA224" i="16"/>
  <c r="AA225" i="16"/>
  <c r="AA226" i="16"/>
  <c r="AA227" i="16"/>
  <c r="AA233" i="16"/>
  <c r="AA234" i="16"/>
  <c r="AA235" i="16"/>
  <c r="AA236" i="16"/>
  <c r="AA237" i="16"/>
  <c r="L140" i="16"/>
  <c r="L142" i="16"/>
  <c r="L143" i="16"/>
  <c r="L144" i="16"/>
  <c r="L145" i="16"/>
  <c r="L146" i="16"/>
  <c r="L127" i="16"/>
  <c r="L128" i="16"/>
  <c r="L129" i="16"/>
  <c r="L130" i="16"/>
  <c r="L131" i="16"/>
  <c r="L132" i="16"/>
  <c r="L133" i="16"/>
  <c r="L135" i="16"/>
  <c r="L215" i="16"/>
  <c r="L216" i="16"/>
  <c r="L218" i="16"/>
  <c r="L223" i="16"/>
  <c r="L224" i="16"/>
  <c r="L225" i="16"/>
  <c r="L226" i="16"/>
  <c r="L227" i="16"/>
  <c r="L233" i="16"/>
  <c r="L234" i="16"/>
  <c r="L235" i="16"/>
  <c r="L236" i="16"/>
  <c r="L237" i="16"/>
  <c r="H10" i="66"/>
  <c r="G10" i="66"/>
  <c r="H29" i="66"/>
  <c r="H30" i="66"/>
  <c r="H31" i="66"/>
  <c r="G29" i="66"/>
  <c r="G30" i="66"/>
  <c r="M44" i="20"/>
  <c r="M132" i="20"/>
  <c r="M179" i="20"/>
  <c r="I32" i="12"/>
  <c r="I34" i="12" s="1"/>
  <c r="Q34" i="12"/>
  <c r="Q24" i="12"/>
  <c r="Q16" i="12"/>
  <c r="Q45" i="12"/>
  <c r="L43" i="20"/>
  <c r="L131" i="20"/>
  <c r="L178" i="20" s="1"/>
  <c r="L44" i="20"/>
  <c r="L132" i="20" s="1"/>
  <c r="L179" i="20" s="1"/>
  <c r="P45" i="12"/>
  <c r="P24" i="12"/>
  <c r="P16" i="12"/>
  <c r="P36" i="12" s="1"/>
  <c r="P34" i="12"/>
  <c r="L64" i="20"/>
  <c r="L154" i="20" s="1"/>
  <c r="L205" i="20" s="1"/>
  <c r="L213" i="20" s="1"/>
  <c r="K43" i="20"/>
  <c r="K131" i="20" s="1"/>
  <c r="K178" i="20" s="1"/>
  <c r="K44" i="20"/>
  <c r="K132" i="20" s="1"/>
  <c r="K179" i="20" s="1"/>
  <c r="O45" i="12"/>
  <c r="O24" i="12"/>
  <c r="O36" i="12" s="1"/>
  <c r="O16" i="12"/>
  <c r="O34" i="12"/>
  <c r="K64" i="20"/>
  <c r="K154" i="20" s="1"/>
  <c r="K205" i="20" s="1"/>
  <c r="K213" i="20" s="1"/>
  <c r="J43" i="20"/>
  <c r="J131" i="20"/>
  <c r="J178" i="20"/>
  <c r="J44" i="20"/>
  <c r="J132" i="20" s="1"/>
  <c r="J179" i="20" s="1"/>
  <c r="N45" i="12"/>
  <c r="N24" i="12"/>
  <c r="N16" i="12"/>
  <c r="N34" i="12"/>
  <c r="J64" i="20"/>
  <c r="J154" i="20" s="1"/>
  <c r="J205" i="20" s="1"/>
  <c r="J213" i="20" s="1"/>
  <c r="I43" i="20"/>
  <c r="I131" i="20"/>
  <c r="I178" i="20"/>
  <c r="I44" i="20"/>
  <c r="I132" i="20" s="1"/>
  <c r="I179" i="20" s="1"/>
  <c r="M45" i="12"/>
  <c r="M24" i="12"/>
  <c r="M16" i="12"/>
  <c r="M34" i="12"/>
  <c r="I64" i="20"/>
  <c r="I154" i="20" s="1"/>
  <c r="I205" i="20" s="1"/>
  <c r="I213" i="20" s="1"/>
  <c r="H43" i="20"/>
  <c r="H131" i="20" s="1"/>
  <c r="H178" i="20" s="1"/>
  <c r="H44" i="20"/>
  <c r="H132" i="20" s="1"/>
  <c r="L45" i="12"/>
  <c r="L24" i="12"/>
  <c r="L16" i="12"/>
  <c r="L34" i="12"/>
  <c r="H64" i="20"/>
  <c r="H154" i="20" s="1"/>
  <c r="H205" i="20" s="1"/>
  <c r="H213" i="20" s="1"/>
  <c r="G64" i="20"/>
  <c r="F43" i="20"/>
  <c r="F131" i="20"/>
  <c r="F178" i="20"/>
  <c r="J45" i="12"/>
  <c r="J24" i="12"/>
  <c r="S24" i="12" s="1"/>
  <c r="J16" i="12"/>
  <c r="F64" i="20"/>
  <c r="F154" i="20"/>
  <c r="F205" i="20" s="1"/>
  <c r="F213" i="20" s="1"/>
  <c r="F86" i="12"/>
  <c r="H86" i="12" s="1"/>
  <c r="I86" i="12" s="1"/>
  <c r="F92" i="12"/>
  <c r="H92" i="12" s="1"/>
  <c r="E84" i="20"/>
  <c r="C84" i="20" s="1"/>
  <c r="AM84" i="21" s="1"/>
  <c r="D43" i="20"/>
  <c r="D131" i="20" s="1"/>
  <c r="D178" i="20" s="1"/>
  <c r="D44" i="20"/>
  <c r="D132" i="20" s="1"/>
  <c r="D179" i="20" s="1"/>
  <c r="G45" i="12"/>
  <c r="G24" i="12"/>
  <c r="G16" i="12"/>
  <c r="G34" i="12"/>
  <c r="D64" i="20"/>
  <c r="D154" i="20"/>
  <c r="D205" i="20" s="1"/>
  <c r="D213" i="20" s="1"/>
  <c r="M127" i="20"/>
  <c r="M134" i="20"/>
  <c r="M181" i="20"/>
  <c r="M157" i="20"/>
  <c r="M208" i="20" s="1"/>
  <c r="M216" i="20" s="1"/>
  <c r="L127" i="20"/>
  <c r="L134" i="20"/>
  <c r="L157" i="20"/>
  <c r="K127" i="20"/>
  <c r="K134" i="20"/>
  <c r="K181" i="20"/>
  <c r="K157" i="20"/>
  <c r="J127" i="20"/>
  <c r="J134" i="20"/>
  <c r="J181" i="20"/>
  <c r="J157" i="20"/>
  <c r="I127" i="20"/>
  <c r="I134" i="20"/>
  <c r="I181" i="20"/>
  <c r="I157" i="20"/>
  <c r="H127" i="20"/>
  <c r="H134" i="20"/>
  <c r="H157" i="20"/>
  <c r="G143" i="20"/>
  <c r="G135" i="20"/>
  <c r="G137" i="20" s="1"/>
  <c r="G139" i="20" s="1"/>
  <c r="G157" i="20"/>
  <c r="F134" i="20"/>
  <c r="F181" i="20" s="1"/>
  <c r="F157" i="20"/>
  <c r="D149" i="20"/>
  <c r="D134" i="20"/>
  <c r="D181" i="20"/>
  <c r="D157" i="20"/>
  <c r="D208" i="20"/>
  <c r="D216" i="20" s="1"/>
  <c r="E145" i="20"/>
  <c r="C145" i="20" s="1"/>
  <c r="AM145" i="21" s="1"/>
  <c r="E138" i="20"/>
  <c r="C138" i="20"/>
  <c r="AM138" i="21" s="1"/>
  <c r="A1" i="20"/>
  <c r="A166" i="20" s="1"/>
  <c r="M105" i="20"/>
  <c r="M106" i="20"/>
  <c r="L105" i="20"/>
  <c r="L106" i="20"/>
  <c r="K105" i="20"/>
  <c r="K106" i="20"/>
  <c r="J105" i="20"/>
  <c r="J106" i="20"/>
  <c r="I105" i="20"/>
  <c r="I106" i="20"/>
  <c r="H105" i="20"/>
  <c r="H106" i="20"/>
  <c r="G111" i="20"/>
  <c r="G113" i="20"/>
  <c r="F105" i="20"/>
  <c r="F106" i="20"/>
  <c r="D105" i="20"/>
  <c r="D106" i="20"/>
  <c r="AJ11" i="21"/>
  <c r="AJ105" i="21"/>
  <c r="AJ106" i="21"/>
  <c r="AJ15" i="21"/>
  <c r="AJ107" i="21" s="1"/>
  <c r="AJ17" i="21"/>
  <c r="AJ109" i="21" s="1"/>
  <c r="M105" i="21"/>
  <c r="M106" i="21"/>
  <c r="A93" i="21"/>
  <c r="D82" i="13"/>
  <c r="D43" i="21" s="1"/>
  <c r="E43" i="21"/>
  <c r="E131" i="21" s="1"/>
  <c r="E178" i="21" s="1"/>
  <c r="E10" i="29" s="1"/>
  <c r="K241" i="16"/>
  <c r="I43" i="21"/>
  <c r="I131" i="21" s="1"/>
  <c r="J43" i="21"/>
  <c r="J131" i="21"/>
  <c r="J178" i="21" s="1"/>
  <c r="E17" i="29" s="1"/>
  <c r="K57" i="21"/>
  <c r="K71" i="21" s="1"/>
  <c r="K72" i="21"/>
  <c r="K43" i="21"/>
  <c r="K131" i="21" s="1"/>
  <c r="K178" i="21" s="1"/>
  <c r="E20" i="29" s="1"/>
  <c r="L13" i="19"/>
  <c r="L54" i="21" s="1"/>
  <c r="L140" i="6"/>
  <c r="L141" i="6"/>
  <c r="L142" i="6"/>
  <c r="L143" i="6"/>
  <c r="L144" i="6"/>
  <c r="L145" i="6"/>
  <c r="L146" i="6"/>
  <c r="L127" i="6"/>
  <c r="L128" i="6"/>
  <c r="L129" i="6"/>
  <c r="L130" i="6"/>
  <c r="L131" i="6"/>
  <c r="L132" i="6"/>
  <c r="L133" i="6"/>
  <c r="L135" i="6"/>
  <c r="L235" i="6"/>
  <c r="L236" i="6"/>
  <c r="L237" i="6"/>
  <c r="L238" i="6"/>
  <c r="L239" i="6"/>
  <c r="L225" i="6"/>
  <c r="L226" i="6"/>
  <c r="L227" i="6"/>
  <c r="L228" i="6"/>
  <c r="L218" i="6"/>
  <c r="L220" i="6"/>
  <c r="AK220" i="6" s="1"/>
  <c r="L263" i="6"/>
  <c r="L265" i="6"/>
  <c r="L267" i="6"/>
  <c r="L268" i="6"/>
  <c r="L269" i="6"/>
  <c r="L273" i="6"/>
  <c r="L83" i="13"/>
  <c r="L44" i="21"/>
  <c r="L34" i="13"/>
  <c r="L36" i="13"/>
  <c r="L47" i="13" s="1"/>
  <c r="L45" i="21" s="1"/>
  <c r="M82" i="13"/>
  <c r="M43" i="21" s="1"/>
  <c r="M131" i="21"/>
  <c r="M178" i="21" s="1"/>
  <c r="N43" i="21"/>
  <c r="N131" i="21" s="1"/>
  <c r="N178" i="21" s="1"/>
  <c r="E26" i="29" s="1"/>
  <c r="O43" i="21"/>
  <c r="O131" i="21"/>
  <c r="O178" i="21" s="1"/>
  <c r="E27" i="29" s="1"/>
  <c r="P43" i="21"/>
  <c r="P131" i="21" s="1"/>
  <c r="P178" i="21" s="1"/>
  <c r="E28" i="29" s="1"/>
  <c r="Q43" i="21"/>
  <c r="Q131" i="21" s="1"/>
  <c r="Q178" i="21" s="1"/>
  <c r="E29" i="29" s="1"/>
  <c r="R43" i="21"/>
  <c r="R131" i="21" s="1"/>
  <c r="R178" i="21" s="1"/>
  <c r="E33" i="29" s="1"/>
  <c r="S43" i="21"/>
  <c r="S131" i="21" s="1"/>
  <c r="S178" i="21" s="1"/>
  <c r="E34" i="29" s="1"/>
  <c r="T43" i="21"/>
  <c r="T131" i="21" s="1"/>
  <c r="T178" i="21" s="1"/>
  <c r="E35" i="29" s="1"/>
  <c r="U43" i="21"/>
  <c r="U131" i="21"/>
  <c r="U178" i="21" s="1"/>
  <c r="V43" i="21"/>
  <c r="V131" i="21"/>
  <c r="V178" i="21" s="1"/>
  <c r="E37" i="29" s="1"/>
  <c r="W43" i="21"/>
  <c r="W131" i="21" s="1"/>
  <c r="W178" i="21" s="1"/>
  <c r="E38" i="29" s="1"/>
  <c r="Y43" i="21"/>
  <c r="Y131" i="21"/>
  <c r="Y178" i="21" s="1"/>
  <c r="E44" i="29" s="1"/>
  <c r="Z43" i="21"/>
  <c r="Z131" i="21" s="1"/>
  <c r="Z178" i="21" s="1"/>
  <c r="E45" i="29" s="1"/>
  <c r="AA15" i="19"/>
  <c r="AA57" i="21" s="1"/>
  <c r="AA71" i="21" s="1"/>
  <c r="AA72" i="21" s="1"/>
  <c r="AA82" i="13"/>
  <c r="AA43" i="21" s="1"/>
  <c r="AA131" i="21" s="1"/>
  <c r="AA178" i="21" s="1"/>
  <c r="E48" i="29" s="1"/>
  <c r="AC43" i="21"/>
  <c r="AC131" i="21"/>
  <c r="AC178" i="21" s="1"/>
  <c r="E51" i="29" s="1"/>
  <c r="AD43" i="21"/>
  <c r="AD131" i="21" s="1"/>
  <c r="AD178" i="21" s="1"/>
  <c r="E52" i="29" s="1"/>
  <c r="AE43" i="21"/>
  <c r="AE131" i="21"/>
  <c r="AE178" i="21" s="1"/>
  <c r="E53" i="29" s="1"/>
  <c r="AF15" i="19"/>
  <c r="AF57" i="21" s="1"/>
  <c r="AF71" i="21" s="1"/>
  <c r="AF72" i="21" s="1"/>
  <c r="AG43" i="21"/>
  <c r="AG131" i="21" s="1"/>
  <c r="AG178" i="21" s="1"/>
  <c r="E57" i="29" s="1"/>
  <c r="E58" i="29" s="1"/>
  <c r="AK46" i="21"/>
  <c r="AK50" i="21"/>
  <c r="AJ53" i="21"/>
  <c r="AJ141" i="21" s="1"/>
  <c r="AJ188" i="21" s="1"/>
  <c r="AJ54" i="21"/>
  <c r="AJ142" i="21" s="1"/>
  <c r="AJ189" i="21" s="1"/>
  <c r="AJ43" i="21"/>
  <c r="AJ131" i="21" s="1"/>
  <c r="AJ178" i="21" s="1"/>
  <c r="AJ44" i="21"/>
  <c r="AJ132" i="21" s="1"/>
  <c r="AJ179" i="21" s="1"/>
  <c r="L90" i="13"/>
  <c r="AJ64" i="21"/>
  <c r="AJ154" i="21"/>
  <c r="AJ205" i="21" s="1"/>
  <c r="AJ213" i="21" s="1"/>
  <c r="L100" i="13"/>
  <c r="L102" i="13"/>
  <c r="L103" i="13"/>
  <c r="L104" i="13"/>
  <c r="L105" i="13"/>
  <c r="L106" i="13"/>
  <c r="L107" i="13"/>
  <c r="L110" i="13"/>
  <c r="L86" i="13"/>
  <c r="L87" i="13"/>
  <c r="L88" i="13"/>
  <c r="L89" i="13"/>
  <c r="L91" i="13"/>
  <c r="L92" i="13"/>
  <c r="L93" i="13"/>
  <c r="L94" i="13"/>
  <c r="AJ76" i="21"/>
  <c r="AJ77" i="21"/>
  <c r="AJ81" i="21"/>
  <c r="AJ82" i="21"/>
  <c r="AJ149" i="21"/>
  <c r="AJ196" i="21" s="1"/>
  <c r="AJ84" i="21"/>
  <c r="AJ157" i="21" s="1"/>
  <c r="AF140" i="6"/>
  <c r="AF141" i="6"/>
  <c r="AF142" i="6"/>
  <c r="AF143" i="6"/>
  <c r="AF144" i="6"/>
  <c r="AF145" i="6"/>
  <c r="AF146" i="6"/>
  <c r="AF127" i="6"/>
  <c r="AF128" i="6"/>
  <c r="AF129" i="6"/>
  <c r="AF130" i="6"/>
  <c r="AF131" i="6"/>
  <c r="AF132" i="6"/>
  <c r="AF133" i="6"/>
  <c r="AF135" i="6"/>
  <c r="AF114" i="6"/>
  <c r="AF115" i="6"/>
  <c r="AF116" i="6"/>
  <c r="AF117" i="6"/>
  <c r="AF118" i="6"/>
  <c r="AF119" i="6"/>
  <c r="AF103" i="6"/>
  <c r="AF104" i="6"/>
  <c r="AF105" i="6"/>
  <c r="AF106" i="6"/>
  <c r="AF107" i="6"/>
  <c r="AF108" i="6"/>
  <c r="AF109" i="6"/>
  <c r="AF110" i="6"/>
  <c r="AF225" i="6"/>
  <c r="AF228" i="6"/>
  <c r="AF218" i="6"/>
  <c r="AF220" i="6"/>
  <c r="AF82" i="13"/>
  <c r="AF43" i="21" s="1"/>
  <c r="AF131" i="21" s="1"/>
  <c r="AF178" i="21" s="1"/>
  <c r="AF83" i="13"/>
  <c r="AF44" i="21" s="1"/>
  <c r="AF132" i="21" s="1"/>
  <c r="AF179" i="21" s="1"/>
  <c r="AF34" i="13"/>
  <c r="AF36" i="13"/>
  <c r="AF47" i="13" s="1"/>
  <c r="AF45" i="21" s="1"/>
  <c r="AF133" i="21" s="1"/>
  <c r="AF180" i="21" s="1"/>
  <c r="AF90" i="13"/>
  <c r="AF64" i="21" s="1"/>
  <c r="AF154" i="21" s="1"/>
  <c r="AF205" i="21" s="1"/>
  <c r="AF213" i="21" s="1"/>
  <c r="AF100" i="13"/>
  <c r="AF110" i="13"/>
  <c r="AF86" i="13"/>
  <c r="AF87" i="13"/>
  <c r="AF88" i="13"/>
  <c r="AF89" i="13"/>
  <c r="AF91" i="13"/>
  <c r="AF92" i="13"/>
  <c r="AF93" i="13"/>
  <c r="AF94" i="13"/>
  <c r="AB140" i="6"/>
  <c r="AB141" i="6"/>
  <c r="AB142" i="6"/>
  <c r="AB143" i="6"/>
  <c r="AB144" i="6"/>
  <c r="AB145" i="6"/>
  <c r="AB146" i="6"/>
  <c r="AB127" i="6"/>
  <c r="AB128" i="6"/>
  <c r="AB129" i="6"/>
  <c r="AB130" i="6"/>
  <c r="AB131" i="6"/>
  <c r="AB132" i="6"/>
  <c r="AB133" i="6"/>
  <c r="AB135" i="6"/>
  <c r="AB114" i="6"/>
  <c r="AB115" i="6"/>
  <c r="AB116" i="6"/>
  <c r="AB117" i="6"/>
  <c r="AB118" i="6"/>
  <c r="AB119" i="6"/>
  <c r="AB103" i="6"/>
  <c r="AB104" i="6"/>
  <c r="AB105" i="6"/>
  <c r="AB106" i="6"/>
  <c r="AB107" i="6"/>
  <c r="AB108" i="6"/>
  <c r="AB109" i="6"/>
  <c r="AB110" i="6"/>
  <c r="AB235" i="6"/>
  <c r="AB240" i="6" s="1"/>
  <c r="AB236" i="6"/>
  <c r="AB237" i="6"/>
  <c r="AB238" i="6"/>
  <c r="AB239" i="6"/>
  <c r="AB225" i="6"/>
  <c r="AB218" i="6"/>
  <c r="AB220" i="6"/>
  <c r="AB267" i="6"/>
  <c r="AB268" i="6"/>
  <c r="AB269" i="6"/>
  <c r="AB82" i="13"/>
  <c r="AB43" i="21" s="1"/>
  <c r="AB131" i="21" s="1"/>
  <c r="AB178" i="21" s="1"/>
  <c r="AB83" i="13"/>
  <c r="AB44" i="21" s="1"/>
  <c r="AB132" i="21" s="1"/>
  <c r="AB179" i="21" s="1"/>
  <c r="AB34" i="13"/>
  <c r="AB36" i="13" s="1"/>
  <c r="AB47" i="13" s="1"/>
  <c r="AB45" i="21" s="1"/>
  <c r="AB133" i="21" s="1"/>
  <c r="AB180" i="21" s="1"/>
  <c r="AB90" i="13"/>
  <c r="AB64" i="21" s="1"/>
  <c r="AB154" i="21" s="1"/>
  <c r="AB205" i="21" s="1"/>
  <c r="AB213" i="21" s="1"/>
  <c r="AB100" i="13"/>
  <c r="AB102" i="13"/>
  <c r="AB103" i="13"/>
  <c r="AB104" i="13"/>
  <c r="AB105" i="13"/>
  <c r="AB106" i="13"/>
  <c r="AB107" i="13"/>
  <c r="AB110" i="13"/>
  <c r="AB86" i="13"/>
  <c r="AB87" i="13"/>
  <c r="AB88" i="13"/>
  <c r="AB97" i="13" s="1"/>
  <c r="AB89" i="13"/>
  <c r="AB91" i="13"/>
  <c r="AB92" i="13"/>
  <c r="AB93" i="13"/>
  <c r="AB94" i="13"/>
  <c r="X114" i="6"/>
  <c r="X115" i="6"/>
  <c r="X116" i="6"/>
  <c r="X117" i="6"/>
  <c r="X118" i="6"/>
  <c r="X119" i="6"/>
  <c r="X103" i="6"/>
  <c r="X104" i="6"/>
  <c r="X105" i="6"/>
  <c r="X106" i="6"/>
  <c r="X107" i="6"/>
  <c r="X108" i="6"/>
  <c r="X109" i="6"/>
  <c r="X110" i="6"/>
  <c r="X235" i="6"/>
  <c r="X236" i="6"/>
  <c r="X237" i="6"/>
  <c r="X238" i="6"/>
  <c r="X239" i="6"/>
  <c r="X225" i="6"/>
  <c r="X226" i="6"/>
  <c r="X227" i="6"/>
  <c r="X228" i="6"/>
  <c r="X220" i="6"/>
  <c r="X82" i="13"/>
  <c r="X43" i="21" s="1"/>
  <c r="X131" i="21" s="1"/>
  <c r="X178" i="21" s="1"/>
  <c r="X83" i="13"/>
  <c r="X44" i="21"/>
  <c r="X34" i="13"/>
  <c r="X36" i="13"/>
  <c r="X47" i="13" s="1"/>
  <c r="X45" i="21" s="1"/>
  <c r="X133" i="21" s="1"/>
  <c r="X180" i="21" s="1"/>
  <c r="X90" i="13"/>
  <c r="X64" i="21" s="1"/>
  <c r="X154" i="21" s="1"/>
  <c r="X205" i="21" s="1"/>
  <c r="X213" i="21" s="1"/>
  <c r="X100" i="13"/>
  <c r="X102" i="13"/>
  <c r="X103" i="13"/>
  <c r="X104" i="13"/>
  <c r="X105" i="13"/>
  <c r="X106" i="13"/>
  <c r="X107" i="13"/>
  <c r="X110" i="13"/>
  <c r="X86" i="13"/>
  <c r="X87" i="13"/>
  <c r="X88" i="13"/>
  <c r="X89" i="13"/>
  <c r="X91" i="13"/>
  <c r="Y91" i="13" s="1"/>
  <c r="Y97" i="13" s="1"/>
  <c r="X92" i="13"/>
  <c r="X93" i="13"/>
  <c r="X94" i="13"/>
  <c r="M114" i="6"/>
  <c r="M115" i="6"/>
  <c r="M116" i="6"/>
  <c r="M117" i="6"/>
  <c r="M118" i="6"/>
  <c r="M119" i="6"/>
  <c r="M103" i="6"/>
  <c r="M104" i="6"/>
  <c r="M105" i="6"/>
  <c r="M106" i="6"/>
  <c r="M107" i="6"/>
  <c r="M109" i="6"/>
  <c r="M110" i="6"/>
  <c r="M235" i="6"/>
  <c r="M236" i="6"/>
  <c r="M237" i="6"/>
  <c r="M238" i="6"/>
  <c r="M239" i="6"/>
  <c r="M226" i="6"/>
  <c r="M227" i="6"/>
  <c r="M228" i="6"/>
  <c r="M218" i="6"/>
  <c r="M268" i="6"/>
  <c r="M83" i="13"/>
  <c r="M44" i="21" s="1"/>
  <c r="M132" i="21" s="1"/>
  <c r="M179" i="21" s="1"/>
  <c r="M34" i="13"/>
  <c r="M36" i="13"/>
  <c r="M47" i="13" s="1"/>
  <c r="M45" i="21" s="1"/>
  <c r="M133" i="21" s="1"/>
  <c r="M180" i="21" s="1"/>
  <c r="M90" i="13"/>
  <c r="M64" i="21"/>
  <c r="M154" i="21" s="1"/>
  <c r="M205" i="21" s="1"/>
  <c r="M213" i="21" s="1"/>
  <c r="M100" i="13"/>
  <c r="M102" i="13"/>
  <c r="M103" i="13"/>
  <c r="M104" i="13"/>
  <c r="M105" i="13"/>
  <c r="M106" i="13"/>
  <c r="M107" i="13"/>
  <c r="M86" i="13"/>
  <c r="M87" i="13"/>
  <c r="M89" i="13"/>
  <c r="M91" i="13"/>
  <c r="M92" i="13"/>
  <c r="D90" i="13"/>
  <c r="D64" i="21" s="1"/>
  <c r="D100" i="13"/>
  <c r="D103" i="13"/>
  <c r="D104" i="13"/>
  <c r="D105" i="13"/>
  <c r="D107" i="13"/>
  <c r="D89" i="13"/>
  <c r="D91" i="13"/>
  <c r="D93" i="13"/>
  <c r="D78" i="21"/>
  <c r="D84" i="21"/>
  <c r="D157" i="21" s="1"/>
  <c r="D208" i="21" s="1"/>
  <c r="D216" i="21" s="1"/>
  <c r="E134" i="21"/>
  <c r="I134" i="21"/>
  <c r="J134" i="21"/>
  <c r="J181" i="21" s="1"/>
  <c r="K134" i="21"/>
  <c r="K181" i="21"/>
  <c r="L143" i="21"/>
  <c r="L135" i="21"/>
  <c r="L137" i="21" s="1"/>
  <c r="L139" i="21" s="1"/>
  <c r="N134" i="21"/>
  <c r="N181" i="21" s="1"/>
  <c r="O134" i="21"/>
  <c r="P134" i="21"/>
  <c r="P181" i="21"/>
  <c r="Q134" i="21"/>
  <c r="R134" i="21"/>
  <c r="R181" i="21" s="1"/>
  <c r="S134" i="21"/>
  <c r="S181" i="21" s="1"/>
  <c r="T134" i="21"/>
  <c r="T181" i="21" s="1"/>
  <c r="U134" i="21"/>
  <c r="U181" i="21" s="1"/>
  <c r="V134" i="21"/>
  <c r="V181" i="21" s="1"/>
  <c r="W134" i="21"/>
  <c r="W181" i="21" s="1"/>
  <c r="Y134" i="21"/>
  <c r="Y181" i="21" s="1"/>
  <c r="Z134" i="21"/>
  <c r="AA134" i="21"/>
  <c r="AA181" i="21" s="1"/>
  <c r="AC134" i="21"/>
  <c r="AC181" i="21" s="1"/>
  <c r="AD134" i="21"/>
  <c r="AD181" i="21" s="1"/>
  <c r="AE134" i="21"/>
  <c r="AG134" i="21"/>
  <c r="AG181" i="21" s="1"/>
  <c r="AH134" i="21"/>
  <c r="AH181" i="21" s="1"/>
  <c r="AJ134" i="21"/>
  <c r="AJ181" i="21" s="1"/>
  <c r="AF149" i="21"/>
  <c r="AF196" i="21" s="1"/>
  <c r="AF127" i="21"/>
  <c r="AF174" i="21" s="1"/>
  <c r="AF134" i="21"/>
  <c r="AF181" i="21" s="1"/>
  <c r="AF157" i="21"/>
  <c r="AF208" i="21" s="1"/>
  <c r="AF216" i="21" s="1"/>
  <c r="AB149" i="21"/>
  <c r="AB196" i="21" s="1"/>
  <c r="AB127" i="21"/>
  <c r="AB174" i="21"/>
  <c r="AB134" i="21"/>
  <c r="AB157" i="21"/>
  <c r="X149" i="21"/>
  <c r="X127" i="21"/>
  <c r="X174" i="21" s="1"/>
  <c r="X134" i="21"/>
  <c r="X157" i="21"/>
  <c r="X208" i="21" s="1"/>
  <c r="X216" i="21" s="1"/>
  <c r="M149" i="21"/>
  <c r="M196" i="21" s="1"/>
  <c r="M127" i="21"/>
  <c r="M174" i="21" s="1"/>
  <c r="M134" i="21"/>
  <c r="M181" i="21" s="1"/>
  <c r="M157" i="21"/>
  <c r="M208" i="21" s="1"/>
  <c r="M216" i="21" s="1"/>
  <c r="D145" i="21"/>
  <c r="AK138" i="21"/>
  <c r="K216" i="21"/>
  <c r="L220" i="21"/>
  <c r="L213" i="21"/>
  <c r="L215" i="21"/>
  <c r="L188" i="21"/>
  <c r="L190" i="21" s="1"/>
  <c r="E22" i="23" s="1"/>
  <c r="L189" i="21"/>
  <c r="L178" i="21"/>
  <c r="E22" i="29" s="1"/>
  <c r="L181" i="21"/>
  <c r="O181" i="21"/>
  <c r="Q181" i="21"/>
  <c r="Z181" i="21"/>
  <c r="AE181" i="21"/>
  <c r="AB208" i="21"/>
  <c r="AB216" i="21" s="1"/>
  <c r="AB181" i="21"/>
  <c r="X196" i="21"/>
  <c r="X181" i="21"/>
  <c r="AJ87" i="21"/>
  <c r="AE257" i="17"/>
  <c r="AD257" i="17"/>
  <c r="AC257" i="17"/>
  <c r="X218" i="16"/>
  <c r="A1" i="62"/>
  <c r="A1" i="61"/>
  <c r="G205" i="20"/>
  <c r="G213" i="20" s="1"/>
  <c r="F87" i="12"/>
  <c r="F88" i="12"/>
  <c r="H88" i="12" s="1"/>
  <c r="F89" i="12"/>
  <c r="H89" i="12" s="1"/>
  <c r="I89" i="12" s="1"/>
  <c r="F91" i="12"/>
  <c r="H91" i="12" s="1"/>
  <c r="F93" i="12"/>
  <c r="H93" i="12"/>
  <c r="L93" i="12" s="1"/>
  <c r="F94" i="12"/>
  <c r="H94" i="12"/>
  <c r="F102" i="12"/>
  <c r="H102" i="12" s="1"/>
  <c r="I102" i="12" s="1"/>
  <c r="F103" i="12"/>
  <c r="J103" i="12" s="1"/>
  <c r="D101" i="13" s="1"/>
  <c r="F104" i="12"/>
  <c r="H104" i="12" s="1"/>
  <c r="I104" i="12" s="1"/>
  <c r="F109" i="12"/>
  <c r="H109" i="12" s="1"/>
  <c r="I109" i="12" s="1"/>
  <c r="F111" i="12"/>
  <c r="K111" i="12" s="1"/>
  <c r="L109" i="13" s="1"/>
  <c r="F112" i="12"/>
  <c r="H112" i="12" s="1"/>
  <c r="I112" i="12" s="1"/>
  <c r="E114" i="12"/>
  <c r="D114" i="12"/>
  <c r="G178" i="20"/>
  <c r="G176" i="20"/>
  <c r="G177" i="20"/>
  <c r="G179" i="20"/>
  <c r="G180" i="20"/>
  <c r="G181" i="20"/>
  <c r="G174" i="20"/>
  <c r="H181" i="20"/>
  <c r="H174" i="20"/>
  <c r="I174" i="20"/>
  <c r="J174" i="20"/>
  <c r="K174" i="20"/>
  <c r="L181" i="20"/>
  <c r="L174" i="20"/>
  <c r="M174" i="20"/>
  <c r="E185" i="20"/>
  <c r="F196" i="20"/>
  <c r="H196" i="20"/>
  <c r="I196" i="20"/>
  <c r="J196" i="20"/>
  <c r="K196" i="20"/>
  <c r="L196" i="20"/>
  <c r="M196" i="20"/>
  <c r="A1" i="60"/>
  <c r="A1" i="59"/>
  <c r="A1" i="58"/>
  <c r="A1" i="57"/>
  <c r="G188" i="20"/>
  <c r="G190" i="20" s="1"/>
  <c r="G189" i="20"/>
  <c r="F208" i="20"/>
  <c r="F216" i="20" s="1"/>
  <c r="G220" i="20"/>
  <c r="G207" i="20"/>
  <c r="G215" i="20" s="1"/>
  <c r="G206" i="20"/>
  <c r="G214" i="20"/>
  <c r="G208" i="20"/>
  <c r="G216" i="20" s="1"/>
  <c r="H208" i="20"/>
  <c r="H216" i="20"/>
  <c r="I208" i="20"/>
  <c r="I216" i="20" s="1"/>
  <c r="J208" i="20"/>
  <c r="J216" i="20" s="1"/>
  <c r="K208" i="20"/>
  <c r="K216" i="20" s="1"/>
  <c r="L208" i="20"/>
  <c r="L216" i="20" s="1"/>
  <c r="A1" i="36"/>
  <c r="A75" i="36"/>
  <c r="A1" i="34"/>
  <c r="A1" i="33"/>
  <c r="A1" i="32"/>
  <c r="A1" i="31"/>
  <c r="A1" i="30"/>
  <c r="A1" i="29"/>
  <c r="A1" i="28"/>
  <c r="A1" i="27"/>
  <c r="A1" i="26"/>
  <c r="A1" i="55"/>
  <c r="A1" i="25"/>
  <c r="A1" i="24"/>
  <c r="A1" i="23"/>
  <c r="A1" i="35"/>
  <c r="F226" i="8"/>
  <c r="F227" i="8"/>
  <c r="H227" i="8" s="1"/>
  <c r="F229" i="8"/>
  <c r="H225" i="8"/>
  <c r="M146" i="16"/>
  <c r="M132" i="16"/>
  <c r="M116" i="16"/>
  <c r="M114" i="16"/>
  <c r="M115" i="16"/>
  <c r="M117" i="16"/>
  <c r="M118" i="16"/>
  <c r="M119" i="16"/>
  <c r="M105" i="16"/>
  <c r="M103" i="16"/>
  <c r="M104" i="16"/>
  <c r="M106" i="16"/>
  <c r="M107" i="16"/>
  <c r="M108" i="16"/>
  <c r="M109" i="16"/>
  <c r="M110" i="16"/>
  <c r="M216" i="16"/>
  <c r="M223" i="16"/>
  <c r="M224" i="16"/>
  <c r="M225" i="16"/>
  <c r="M226" i="16"/>
  <c r="M227" i="16"/>
  <c r="M233" i="16"/>
  <c r="M234" i="16"/>
  <c r="M235" i="16"/>
  <c r="M236" i="16"/>
  <c r="M237" i="16"/>
  <c r="X140" i="16"/>
  <c r="X142" i="16"/>
  <c r="X143" i="16"/>
  <c r="X144" i="16"/>
  <c r="X145" i="16"/>
  <c r="X127" i="16"/>
  <c r="X129" i="16"/>
  <c r="X130" i="16"/>
  <c r="X131" i="16"/>
  <c r="X133" i="16"/>
  <c r="X135" i="16"/>
  <c r="X114" i="16"/>
  <c r="X115" i="16"/>
  <c r="X117" i="16"/>
  <c r="X118" i="16"/>
  <c r="X119" i="16"/>
  <c r="X103" i="16"/>
  <c r="X104" i="16"/>
  <c r="X105" i="16"/>
  <c r="X106" i="16"/>
  <c r="X108" i="16"/>
  <c r="X109" i="16"/>
  <c r="X110" i="16"/>
  <c r="X223" i="16"/>
  <c r="X224" i="16"/>
  <c r="X225" i="16"/>
  <c r="X226" i="16"/>
  <c r="X227" i="16"/>
  <c r="X233" i="16"/>
  <c r="X234" i="16"/>
  <c r="X235" i="16"/>
  <c r="X236" i="16"/>
  <c r="X237" i="16"/>
  <c r="AF140" i="16"/>
  <c r="AF142" i="16"/>
  <c r="AF143" i="16"/>
  <c r="AF144" i="16"/>
  <c r="AF145" i="16"/>
  <c r="AF146" i="16"/>
  <c r="AF147" i="16"/>
  <c r="AF127" i="16"/>
  <c r="AF129" i="16"/>
  <c r="AF130" i="16"/>
  <c r="AF131" i="16"/>
  <c r="AF132" i="16"/>
  <c r="AF133" i="16"/>
  <c r="AF135" i="16"/>
  <c r="AF114" i="16"/>
  <c r="AF115" i="16"/>
  <c r="AF117" i="16"/>
  <c r="AF118" i="16"/>
  <c r="AF119" i="16"/>
  <c r="AF103" i="16"/>
  <c r="AF104" i="16"/>
  <c r="AF105" i="16"/>
  <c r="AF106" i="16"/>
  <c r="AF108" i="16"/>
  <c r="AF109" i="16"/>
  <c r="AF110" i="16"/>
  <c r="AF216" i="16"/>
  <c r="AF218" i="16"/>
  <c r="AF223" i="16"/>
  <c r="AF224" i="16"/>
  <c r="AF225" i="16"/>
  <c r="AF227" i="16"/>
  <c r="AH140" i="16"/>
  <c r="AH142" i="16"/>
  <c r="AH143" i="16"/>
  <c r="AH144" i="16"/>
  <c r="AH145" i="16"/>
  <c r="AH146" i="16"/>
  <c r="AH147" i="16"/>
  <c r="AH127" i="16"/>
  <c r="AH129" i="16"/>
  <c r="AH130" i="16"/>
  <c r="AH131" i="16"/>
  <c r="AH132" i="16"/>
  <c r="AH133" i="16"/>
  <c r="AH135" i="16"/>
  <c r="AH114" i="16"/>
  <c r="AH115" i="16"/>
  <c r="AH117" i="16"/>
  <c r="AH118" i="16"/>
  <c r="AH119" i="16"/>
  <c r="AH103" i="16"/>
  <c r="AH104" i="16"/>
  <c r="AH105" i="16"/>
  <c r="AH106" i="16"/>
  <c r="AH108" i="16"/>
  <c r="AH109" i="16"/>
  <c r="AH110" i="16"/>
  <c r="AH216" i="16"/>
  <c r="AH218" i="16"/>
  <c r="AH223" i="16"/>
  <c r="AH224" i="16"/>
  <c r="AH225" i="16"/>
  <c r="AH226" i="16"/>
  <c r="AH227" i="16"/>
  <c r="AH233" i="16"/>
  <c r="AH234" i="16"/>
  <c r="AH235" i="16"/>
  <c r="AH236" i="16"/>
  <c r="AH237" i="16"/>
  <c r="D116" i="16"/>
  <c r="D105" i="16"/>
  <c r="D140" i="16"/>
  <c r="D142" i="16"/>
  <c r="D143" i="16"/>
  <c r="D144" i="16"/>
  <c r="D145" i="16"/>
  <c r="D146" i="16"/>
  <c r="D147" i="16"/>
  <c r="D127" i="16"/>
  <c r="D129" i="16"/>
  <c r="D130" i="16"/>
  <c r="D131" i="16"/>
  <c r="D132" i="16"/>
  <c r="D133" i="16"/>
  <c r="D135" i="16"/>
  <c r="D114" i="16"/>
  <c r="D115" i="16"/>
  <c r="D117" i="16"/>
  <c r="D118" i="16"/>
  <c r="D119" i="16"/>
  <c r="D103" i="16"/>
  <c r="D104" i="16"/>
  <c r="D106" i="16"/>
  <c r="D107" i="16"/>
  <c r="D108" i="16"/>
  <c r="D109" i="16"/>
  <c r="D110" i="16"/>
  <c r="D215" i="16"/>
  <c r="D216" i="16"/>
  <c r="D218" i="16"/>
  <c r="D223" i="16"/>
  <c r="D224" i="16"/>
  <c r="D225" i="16"/>
  <c r="D226" i="16"/>
  <c r="D227" i="16"/>
  <c r="D233" i="16"/>
  <c r="D234" i="16"/>
  <c r="D235" i="16"/>
  <c r="D236" i="16"/>
  <c r="D237" i="16"/>
  <c r="D119" i="17"/>
  <c r="D118" i="17"/>
  <c r="D117" i="17"/>
  <c r="D116" i="17"/>
  <c r="D115" i="17"/>
  <c r="D114" i="17"/>
  <c r="D110" i="17"/>
  <c r="D109" i="17"/>
  <c r="D108" i="17"/>
  <c r="D107" i="17"/>
  <c r="D106" i="17"/>
  <c r="D105" i="17"/>
  <c r="D104" i="17"/>
  <c r="D103" i="17"/>
  <c r="F253" i="15"/>
  <c r="H253" i="15"/>
  <c r="I253" i="15" s="1"/>
  <c r="D196" i="20"/>
  <c r="E192" i="20"/>
  <c r="C192" i="20" s="1"/>
  <c r="AM192" i="21" s="1"/>
  <c r="AK192" i="21"/>
  <c r="C185" i="20"/>
  <c r="AM185" i="21" s="1"/>
  <c r="AK185" i="21"/>
  <c r="AK13" i="21"/>
  <c r="E13" i="20"/>
  <c r="C13" i="20"/>
  <c r="AM13" i="21" s="1"/>
  <c r="E14" i="20"/>
  <c r="C14" i="20"/>
  <c r="AM14" i="21" s="1"/>
  <c r="E46" i="20"/>
  <c r="C46" i="20" s="1"/>
  <c r="AM46" i="21" s="1"/>
  <c r="E50" i="20"/>
  <c r="C50" i="20" s="1"/>
  <c r="AM50" i="21" s="1"/>
  <c r="AJ101" i="14"/>
  <c r="F250" i="15"/>
  <c r="H250" i="15" s="1"/>
  <c r="F252" i="15"/>
  <c r="H252" i="15" s="1"/>
  <c r="F258" i="15"/>
  <c r="H258" i="15" s="1"/>
  <c r="F259" i="15"/>
  <c r="H259" i="15" s="1"/>
  <c r="I259" i="15" s="1"/>
  <c r="AJ258" i="16" s="1"/>
  <c r="F262" i="15"/>
  <c r="H262" i="15"/>
  <c r="I262" i="15" s="1"/>
  <c r="F264" i="15"/>
  <c r="H264" i="15" s="1"/>
  <c r="M267" i="16"/>
  <c r="I271" i="15"/>
  <c r="F272" i="15"/>
  <c r="H272" i="15" s="1"/>
  <c r="I272" i="15" s="1"/>
  <c r="M116" i="7"/>
  <c r="AF236" i="7"/>
  <c r="AF237" i="7"/>
  <c r="AF238" i="7"/>
  <c r="AF239" i="7"/>
  <c r="F71" i="36"/>
  <c r="G71" i="36"/>
  <c r="AA191" i="3"/>
  <c r="AH191" i="3"/>
  <c r="L191" i="3"/>
  <c r="AJ191" i="3"/>
  <c r="X191" i="3"/>
  <c r="AF191" i="3"/>
  <c r="M191" i="3"/>
  <c r="D191" i="3"/>
  <c r="E166" i="2"/>
  <c r="E191" i="2"/>
  <c r="F159" i="2"/>
  <c r="F160" i="2"/>
  <c r="F161" i="2"/>
  <c r="F162" i="2"/>
  <c r="F163" i="2"/>
  <c r="F165" i="2"/>
  <c r="F187" i="2"/>
  <c r="F188" i="2"/>
  <c r="F189" i="2"/>
  <c r="F190" i="2"/>
  <c r="H191" i="2"/>
  <c r="I191" i="2"/>
  <c r="D166" i="2"/>
  <c r="D191" i="2"/>
  <c r="S112" i="12"/>
  <c r="S109" i="12"/>
  <c r="S104" i="12"/>
  <c r="S102" i="12"/>
  <c r="F265" i="8"/>
  <c r="H265" i="8" s="1"/>
  <c r="I265" i="8" s="1"/>
  <c r="AJ265" i="9" s="1"/>
  <c r="F263" i="8"/>
  <c r="K230" i="15"/>
  <c r="I81" i="8"/>
  <c r="F80" i="15"/>
  <c r="G223" i="5"/>
  <c r="H15" i="75" s="1"/>
  <c r="K140" i="3"/>
  <c r="L230" i="15"/>
  <c r="N229" i="16"/>
  <c r="O229" i="16"/>
  <c r="P229" i="16"/>
  <c r="Q229" i="16"/>
  <c r="R229" i="16"/>
  <c r="S229" i="16"/>
  <c r="T229" i="16"/>
  <c r="U229" i="16"/>
  <c r="V229" i="16"/>
  <c r="O230" i="15"/>
  <c r="H104" i="2"/>
  <c r="I104" i="2"/>
  <c r="D104" i="3"/>
  <c r="L104" i="3"/>
  <c r="L104" i="2"/>
  <c r="M104" i="2"/>
  <c r="AA104" i="3"/>
  <c r="O104" i="2"/>
  <c r="P104" i="2"/>
  <c r="Q104" i="2"/>
  <c r="H105" i="2"/>
  <c r="J105" i="2"/>
  <c r="L105" i="3"/>
  <c r="M105" i="2"/>
  <c r="AA105" i="3"/>
  <c r="O105" i="2"/>
  <c r="P105" i="2"/>
  <c r="Q105" i="2"/>
  <c r="H106" i="2"/>
  <c r="AJ106" i="3"/>
  <c r="D106" i="3"/>
  <c r="L106" i="3"/>
  <c r="M106" i="3"/>
  <c r="M106" i="2"/>
  <c r="AA106" i="3"/>
  <c r="O106" i="2"/>
  <c r="P106" i="2"/>
  <c r="Q106" i="2"/>
  <c r="H107" i="2"/>
  <c r="I107" i="2"/>
  <c r="D107" i="3"/>
  <c r="L107" i="3"/>
  <c r="M107" i="2"/>
  <c r="AA107" i="3"/>
  <c r="O107" i="2"/>
  <c r="P107" i="2"/>
  <c r="Q107" i="2"/>
  <c r="H108" i="2"/>
  <c r="I108" i="2"/>
  <c r="D108" i="3"/>
  <c r="L108" i="3"/>
  <c r="L108" i="2"/>
  <c r="M108" i="2"/>
  <c r="AA108" i="3"/>
  <c r="O108" i="2"/>
  <c r="P108" i="2"/>
  <c r="Q108" i="2"/>
  <c r="H109" i="2"/>
  <c r="J109" i="2"/>
  <c r="L109" i="3"/>
  <c r="M109" i="2"/>
  <c r="AA109" i="3"/>
  <c r="O109" i="2"/>
  <c r="P109" i="2"/>
  <c r="Q109" i="2"/>
  <c r="H110" i="2"/>
  <c r="D110" i="3"/>
  <c r="L110" i="3"/>
  <c r="L110" i="2"/>
  <c r="M110" i="2"/>
  <c r="AA110" i="3"/>
  <c r="O110" i="2"/>
  <c r="P110" i="2"/>
  <c r="Q110" i="2"/>
  <c r="H111" i="2"/>
  <c r="I111" i="2"/>
  <c r="J111" i="2"/>
  <c r="L111" i="3"/>
  <c r="M111" i="2"/>
  <c r="AA111" i="3"/>
  <c r="O111" i="2"/>
  <c r="P111" i="2"/>
  <c r="Q111" i="2"/>
  <c r="H112" i="2"/>
  <c r="I112" i="2"/>
  <c r="D112" i="3"/>
  <c r="L112" i="3"/>
  <c r="AK112" i="3" s="1"/>
  <c r="L112" i="2"/>
  <c r="X112" i="3"/>
  <c r="AA112" i="3"/>
  <c r="O112" i="2"/>
  <c r="P112" i="2"/>
  <c r="Q112" i="2"/>
  <c r="H113" i="2"/>
  <c r="I113" i="2"/>
  <c r="J113" i="2"/>
  <c r="K113" i="2"/>
  <c r="L113" i="2"/>
  <c r="M113" i="2"/>
  <c r="N113" i="2"/>
  <c r="O113" i="2"/>
  <c r="P113" i="2"/>
  <c r="Q113" i="2"/>
  <c r="A104" i="3"/>
  <c r="A105" i="3" s="1"/>
  <c r="A106" i="3" s="1"/>
  <c r="A107" i="3" s="1"/>
  <c r="A108" i="3" s="1"/>
  <c r="A109" i="3" s="1"/>
  <c r="A110" i="3" s="1"/>
  <c r="A104" i="2"/>
  <c r="A105" i="2"/>
  <c r="A106" i="2" s="1"/>
  <c r="A107" i="2" s="1"/>
  <c r="A108" i="2" s="1"/>
  <c r="A109" i="2" s="1"/>
  <c r="A110" i="2" s="1"/>
  <c r="P231" i="5"/>
  <c r="Q229" i="5" s="1"/>
  <c r="P231" i="8"/>
  <c r="G66" i="2"/>
  <c r="G67" i="2"/>
  <c r="G68" i="2"/>
  <c r="G69" i="2"/>
  <c r="G70" i="2"/>
  <c r="G71" i="2"/>
  <c r="G72" i="2"/>
  <c r="G73" i="2"/>
  <c r="G74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H103" i="2"/>
  <c r="I103" i="2"/>
  <c r="L103" i="3"/>
  <c r="M103" i="3"/>
  <c r="X103" i="3"/>
  <c r="O103" i="2"/>
  <c r="P103" i="2"/>
  <c r="Q103" i="2"/>
  <c r="M231" i="5"/>
  <c r="Q231" i="5"/>
  <c r="N231" i="5"/>
  <c r="J230" i="15"/>
  <c r="M230" i="15"/>
  <c r="N230" i="15"/>
  <c r="Q230" i="15"/>
  <c r="K231" i="5"/>
  <c r="L229" i="5" s="1"/>
  <c r="L230" i="5" s="1"/>
  <c r="J231" i="5"/>
  <c r="K229" i="5" s="1"/>
  <c r="U221" i="16"/>
  <c r="N221" i="16"/>
  <c r="O221" i="16"/>
  <c r="P221" i="16"/>
  <c r="Q221" i="16"/>
  <c r="R221" i="16"/>
  <c r="S221" i="16"/>
  <c r="T221" i="16"/>
  <c r="V221" i="16"/>
  <c r="H11" i="34"/>
  <c r="I11" i="34"/>
  <c r="J11" i="34"/>
  <c r="K11" i="34"/>
  <c r="L11" i="34"/>
  <c r="M11" i="34"/>
  <c r="L13" i="34"/>
  <c r="L14" i="34"/>
  <c r="G11" i="34"/>
  <c r="N11" i="34"/>
  <c r="G13" i="35"/>
  <c r="G13" i="34" s="1"/>
  <c r="H13" i="35"/>
  <c r="H13" i="34" s="1"/>
  <c r="I13" i="35"/>
  <c r="J13" i="35"/>
  <c r="K13" i="35"/>
  <c r="F13" i="35"/>
  <c r="F13" i="34" s="1"/>
  <c r="E25" i="34"/>
  <c r="N29" i="35"/>
  <c r="M29" i="35"/>
  <c r="L37" i="35"/>
  <c r="K29" i="35"/>
  <c r="J29" i="35"/>
  <c r="I29" i="35"/>
  <c r="H29" i="35"/>
  <c r="G29" i="35"/>
  <c r="G37" i="35" s="1"/>
  <c r="F29" i="35"/>
  <c r="F37" i="35" s="1"/>
  <c r="N28" i="35"/>
  <c r="M28" i="35"/>
  <c r="L36" i="35"/>
  <c r="K28" i="35"/>
  <c r="J28" i="35"/>
  <c r="I28" i="35"/>
  <c r="H28" i="35"/>
  <c r="G28" i="35"/>
  <c r="G36" i="35" s="1"/>
  <c r="F28" i="35"/>
  <c r="N27" i="35"/>
  <c r="M20" i="35"/>
  <c r="M27" i="35"/>
  <c r="L20" i="35"/>
  <c r="L35" i="35" s="1"/>
  <c r="L27" i="35"/>
  <c r="K20" i="35"/>
  <c r="K27" i="35"/>
  <c r="J20" i="35"/>
  <c r="J27" i="35"/>
  <c r="I20" i="35"/>
  <c r="I27" i="35"/>
  <c r="H20" i="35"/>
  <c r="H27" i="35"/>
  <c r="G20" i="35"/>
  <c r="G27" i="35"/>
  <c r="F20" i="35"/>
  <c r="F27" i="35"/>
  <c r="N34" i="35"/>
  <c r="M34" i="35"/>
  <c r="L34" i="35"/>
  <c r="K34" i="35"/>
  <c r="J34" i="35"/>
  <c r="I34" i="35"/>
  <c r="H34" i="35"/>
  <c r="G34" i="35"/>
  <c r="F34" i="35"/>
  <c r="E26" i="35"/>
  <c r="E11" i="35"/>
  <c r="A1" i="2"/>
  <c r="AC118" i="3"/>
  <c r="AD118" i="3"/>
  <c r="AE118" i="3"/>
  <c r="A1" i="3"/>
  <c r="M108" i="3"/>
  <c r="AL187" i="3"/>
  <c r="AL190" i="3"/>
  <c r="A1" i="5"/>
  <c r="S56" i="5"/>
  <c r="T56" i="5" s="1"/>
  <c r="S57" i="5"/>
  <c r="T57" i="5" s="1"/>
  <c r="S58" i="5"/>
  <c r="T58" i="5" s="1"/>
  <c r="S59" i="5"/>
  <c r="T59" i="5" s="1"/>
  <c r="S60" i="5"/>
  <c r="T60" i="5" s="1"/>
  <c r="S61" i="5"/>
  <c r="T61" i="5" s="1"/>
  <c r="S62" i="5"/>
  <c r="T62" i="5" s="1"/>
  <c r="S65" i="5"/>
  <c r="T65" i="5" s="1"/>
  <c r="S66" i="5"/>
  <c r="T66" i="5" s="1"/>
  <c r="S67" i="5"/>
  <c r="T67" i="5" s="1"/>
  <c r="S68" i="5"/>
  <c r="T68" i="5" s="1"/>
  <c r="S69" i="5"/>
  <c r="T69" i="5" s="1"/>
  <c r="S70" i="5"/>
  <c r="T70" i="5" s="1"/>
  <c r="S73" i="5"/>
  <c r="T73" i="5" s="1"/>
  <c r="D149" i="5"/>
  <c r="E18" i="75" s="1"/>
  <c r="S161" i="5"/>
  <c r="S162" i="5"/>
  <c r="S164" i="5"/>
  <c r="S165" i="5"/>
  <c r="S183" i="5"/>
  <c r="S184" i="5"/>
  <c r="S185" i="5"/>
  <c r="S186" i="5"/>
  <c r="S187" i="5"/>
  <c r="S188" i="5"/>
  <c r="S189" i="5"/>
  <c r="S190" i="5"/>
  <c r="S191" i="5"/>
  <c r="S192" i="5"/>
  <c r="S193" i="5"/>
  <c r="S197" i="5"/>
  <c r="S198" i="5"/>
  <c r="S199" i="5"/>
  <c r="S200" i="5"/>
  <c r="S201" i="5"/>
  <c r="S202" i="5"/>
  <c r="S203" i="5"/>
  <c r="S204" i="5"/>
  <c r="S205" i="5"/>
  <c r="S206" i="5"/>
  <c r="J241" i="5"/>
  <c r="K241" i="5"/>
  <c r="L241" i="5"/>
  <c r="M241" i="5"/>
  <c r="N241" i="5"/>
  <c r="O241" i="5"/>
  <c r="Q241" i="5"/>
  <c r="S268" i="5"/>
  <c r="AL70" i="6"/>
  <c r="AL62" i="6"/>
  <c r="E149" i="6"/>
  <c r="I149" i="6"/>
  <c r="J149" i="6"/>
  <c r="AG149" i="6"/>
  <c r="E137" i="6"/>
  <c r="I137" i="6"/>
  <c r="J137" i="6"/>
  <c r="AG137" i="6"/>
  <c r="Y120" i="6"/>
  <c r="Z120" i="6"/>
  <c r="Y111" i="6"/>
  <c r="Z111" i="6"/>
  <c r="A1" i="6"/>
  <c r="AJ56" i="6"/>
  <c r="AJ57" i="6"/>
  <c r="AJ58" i="6"/>
  <c r="AJ59" i="6"/>
  <c r="AJ60" i="6"/>
  <c r="AJ61" i="6"/>
  <c r="AJ65" i="6"/>
  <c r="AJ66" i="6"/>
  <c r="AJ67" i="6"/>
  <c r="AJ68" i="6"/>
  <c r="AJ69" i="6"/>
  <c r="AI222" i="6"/>
  <c r="J111" i="6"/>
  <c r="A1" i="7"/>
  <c r="M132" i="7"/>
  <c r="X139" i="7"/>
  <c r="M140" i="7"/>
  <c r="X147" i="7"/>
  <c r="I244" i="7"/>
  <c r="J244" i="7"/>
  <c r="L244" i="7"/>
  <c r="M244" i="7"/>
  <c r="N244" i="7"/>
  <c r="O244" i="7"/>
  <c r="P244" i="7"/>
  <c r="Q244" i="7"/>
  <c r="R244" i="7"/>
  <c r="S244" i="7"/>
  <c r="T244" i="7"/>
  <c r="U244" i="7"/>
  <c r="V244" i="7"/>
  <c r="S268" i="8"/>
  <c r="F267" i="8"/>
  <c r="F268" i="8"/>
  <c r="A1" i="8"/>
  <c r="S56" i="8"/>
  <c r="T56" i="8" s="1"/>
  <c r="S57" i="8"/>
  <c r="T57" i="8" s="1"/>
  <c r="S58" i="8"/>
  <c r="T58" i="8" s="1"/>
  <c r="S59" i="8"/>
  <c r="T59" i="8" s="1"/>
  <c r="S60" i="8"/>
  <c r="T60" i="8" s="1"/>
  <c r="S61" i="8"/>
  <c r="T61" i="8" s="1"/>
  <c r="S62" i="8"/>
  <c r="T62" i="8" s="1"/>
  <c r="S65" i="8"/>
  <c r="T65" i="8" s="1"/>
  <c r="S66" i="8"/>
  <c r="T66" i="8" s="1"/>
  <c r="S67" i="8"/>
  <c r="T67" i="8" s="1"/>
  <c r="S68" i="8"/>
  <c r="T68" i="8" s="1"/>
  <c r="S69" i="8"/>
  <c r="T69" i="8" s="1"/>
  <c r="S70" i="8"/>
  <c r="T70" i="8" s="1"/>
  <c r="S73" i="8"/>
  <c r="T73" i="8" s="1"/>
  <c r="D137" i="8"/>
  <c r="E23" i="75" s="1"/>
  <c r="D149" i="8"/>
  <c r="E20" i="75" s="1"/>
  <c r="N149" i="8"/>
  <c r="O20" i="75"/>
  <c r="O149" i="8"/>
  <c r="P20" i="75" s="1"/>
  <c r="P149" i="8"/>
  <c r="Q20" i="75" s="1"/>
  <c r="Q149" i="8"/>
  <c r="R20" i="75" s="1"/>
  <c r="S161" i="8"/>
  <c r="S162" i="8"/>
  <c r="S164" i="8"/>
  <c r="S183" i="8"/>
  <c r="S184" i="8"/>
  <c r="S185" i="8"/>
  <c r="S186" i="8"/>
  <c r="S187" i="8"/>
  <c r="S188" i="8"/>
  <c r="S189" i="8"/>
  <c r="S190" i="8"/>
  <c r="S191" i="8"/>
  <c r="S192" i="8"/>
  <c r="S193" i="8"/>
  <c r="S197" i="8"/>
  <c r="S198" i="8"/>
  <c r="S199" i="8"/>
  <c r="S200" i="8"/>
  <c r="S201" i="8"/>
  <c r="S202" i="8"/>
  <c r="S203" i="8"/>
  <c r="S204" i="8"/>
  <c r="S205" i="8"/>
  <c r="S206" i="8"/>
  <c r="S210" i="8"/>
  <c r="S226" i="8"/>
  <c r="J231" i="8"/>
  <c r="K231" i="8"/>
  <c r="M231" i="8"/>
  <c r="N231" i="8"/>
  <c r="Q231" i="8"/>
  <c r="K111" i="9"/>
  <c r="K136" i="9"/>
  <c r="K137" i="9"/>
  <c r="K148" i="9"/>
  <c r="K149" i="9"/>
  <c r="K222" i="9"/>
  <c r="K230" i="9"/>
  <c r="L267" i="9"/>
  <c r="L268" i="9"/>
  <c r="L140" i="9"/>
  <c r="L141" i="9"/>
  <c r="L142" i="9"/>
  <c r="L143" i="9"/>
  <c r="L144" i="9"/>
  <c r="L145" i="9"/>
  <c r="L146" i="9"/>
  <c r="L127" i="9"/>
  <c r="L128" i="9"/>
  <c r="L129" i="9"/>
  <c r="L130" i="9"/>
  <c r="L131" i="9"/>
  <c r="L132" i="9"/>
  <c r="L133" i="9"/>
  <c r="L135" i="9"/>
  <c r="L235" i="9"/>
  <c r="L236" i="9"/>
  <c r="L240" i="9" s="1"/>
  <c r="L237" i="9"/>
  <c r="L238" i="9"/>
  <c r="L239" i="9"/>
  <c r="L225" i="9"/>
  <c r="L226" i="9"/>
  <c r="L227" i="9"/>
  <c r="L228" i="9"/>
  <c r="L229" i="9"/>
  <c r="L218" i="9"/>
  <c r="L219" i="9"/>
  <c r="L220" i="9"/>
  <c r="L221" i="9"/>
  <c r="AA140" i="9"/>
  <c r="AA141" i="9"/>
  <c r="AA142" i="9"/>
  <c r="AA143" i="9"/>
  <c r="AA144" i="9"/>
  <c r="AA145" i="9"/>
  <c r="AA146" i="9"/>
  <c r="AA147" i="9"/>
  <c r="AA127" i="9"/>
  <c r="AA128" i="9"/>
  <c r="AA129" i="9"/>
  <c r="AA130" i="9"/>
  <c r="AA131" i="9"/>
  <c r="AA132" i="9"/>
  <c r="AA133" i="9"/>
  <c r="AA135" i="9"/>
  <c r="AA114" i="9"/>
  <c r="AA115" i="9"/>
  <c r="AA120" i="9" s="1"/>
  <c r="AA116" i="9"/>
  <c r="AA117" i="9"/>
  <c r="AA118" i="9"/>
  <c r="AA119" i="9"/>
  <c r="AA103" i="9"/>
  <c r="AA104" i="9"/>
  <c r="AA105" i="9"/>
  <c r="AA106" i="9"/>
  <c r="AA107" i="9"/>
  <c r="AA108" i="9"/>
  <c r="AA109" i="9"/>
  <c r="AA110" i="9"/>
  <c r="AA235" i="9"/>
  <c r="AA236" i="9"/>
  <c r="AA237" i="9"/>
  <c r="AA238" i="9"/>
  <c r="AA239" i="9"/>
  <c r="AA225" i="9"/>
  <c r="AA226" i="9"/>
  <c r="AA227" i="9"/>
  <c r="AA228" i="9"/>
  <c r="AA229" i="9"/>
  <c r="AA218" i="9"/>
  <c r="AA220" i="9"/>
  <c r="AA221" i="9"/>
  <c r="AH140" i="9"/>
  <c r="AH141" i="9"/>
  <c r="AH142" i="9"/>
  <c r="AH143" i="9"/>
  <c r="AH144" i="9"/>
  <c r="AH145" i="9"/>
  <c r="AH146" i="9"/>
  <c r="AH147" i="9"/>
  <c r="AH127" i="9"/>
  <c r="AH128" i="9"/>
  <c r="AH129" i="9"/>
  <c r="AH130" i="9"/>
  <c r="AH131" i="9"/>
  <c r="AH132" i="9"/>
  <c r="AH133" i="9"/>
  <c r="AH135" i="9"/>
  <c r="AH114" i="9"/>
  <c r="AH120" i="9" s="1"/>
  <c r="AH115" i="9"/>
  <c r="AH116" i="9"/>
  <c r="AH117" i="9"/>
  <c r="AH118" i="9"/>
  <c r="AH119" i="9"/>
  <c r="AH103" i="9"/>
  <c r="AH104" i="9"/>
  <c r="AH105" i="9"/>
  <c r="AH111" i="9" s="1"/>
  <c r="AH106" i="9"/>
  <c r="AH107" i="9"/>
  <c r="AH108" i="9"/>
  <c r="AH109" i="9"/>
  <c r="AH110" i="9"/>
  <c r="AH235" i="9"/>
  <c r="AH236" i="9"/>
  <c r="AH237" i="9"/>
  <c r="AH238" i="9"/>
  <c r="AH239" i="9"/>
  <c r="AH225" i="9"/>
  <c r="AH226" i="9"/>
  <c r="AH227" i="9"/>
  <c r="AH228" i="9"/>
  <c r="AH229" i="9"/>
  <c r="AH218" i="9"/>
  <c r="AH219" i="9"/>
  <c r="AH220" i="9"/>
  <c r="AH221" i="9"/>
  <c r="E149" i="9"/>
  <c r="I149" i="9"/>
  <c r="J149" i="9"/>
  <c r="AG149" i="9"/>
  <c r="E137" i="9"/>
  <c r="I137" i="9"/>
  <c r="J137" i="9"/>
  <c r="AG137" i="9"/>
  <c r="Y120" i="9"/>
  <c r="Z120" i="9"/>
  <c r="J111" i="9"/>
  <c r="Y111" i="9"/>
  <c r="Z111" i="9"/>
  <c r="AK70" i="9"/>
  <c r="AL70" i="9" s="1"/>
  <c r="AK62" i="9"/>
  <c r="AL62" i="9" s="1"/>
  <c r="AA267" i="9"/>
  <c r="AH267" i="9"/>
  <c r="AA268" i="9"/>
  <c r="AH268" i="9"/>
  <c r="AA269" i="9"/>
  <c r="AH269" i="9"/>
  <c r="A1" i="9"/>
  <c r="A2" i="9"/>
  <c r="AJ56" i="9"/>
  <c r="AJ57" i="9"/>
  <c r="AJ58" i="9"/>
  <c r="AJ59" i="9"/>
  <c r="AJ60" i="9"/>
  <c r="AJ61" i="9"/>
  <c r="AJ65" i="9"/>
  <c r="AJ66" i="9"/>
  <c r="AJ67" i="9"/>
  <c r="AJ68" i="9"/>
  <c r="AJ69" i="9"/>
  <c r="AI222" i="9"/>
  <c r="AA265" i="9"/>
  <c r="L273" i="9"/>
  <c r="AA273" i="9"/>
  <c r="A1" i="10"/>
  <c r="A1" i="11"/>
  <c r="A2" i="11"/>
  <c r="A1" i="12"/>
  <c r="D16" i="12"/>
  <c r="F16" i="12"/>
  <c r="H16" i="12"/>
  <c r="I16" i="12"/>
  <c r="F19" i="12"/>
  <c r="F20" i="12"/>
  <c r="F21" i="12"/>
  <c r="F22" i="12"/>
  <c r="D24" i="12"/>
  <c r="H24" i="12"/>
  <c r="I24" i="12"/>
  <c r="F26" i="12"/>
  <c r="F27" i="12"/>
  <c r="F28" i="12"/>
  <c r="D45" i="12"/>
  <c r="F45" i="12"/>
  <c r="H45" i="12"/>
  <c r="I45" i="12"/>
  <c r="S89" i="12"/>
  <c r="A1" i="13"/>
  <c r="A1" i="14"/>
  <c r="F269" i="15"/>
  <c r="H269" i="15" s="1"/>
  <c r="F248" i="15"/>
  <c r="H248" i="15" s="1"/>
  <c r="I248" i="15" s="1"/>
  <c r="E136" i="15"/>
  <c r="E120" i="15"/>
  <c r="E122" i="15" s="1"/>
  <c r="E111" i="15"/>
  <c r="E221" i="15"/>
  <c r="E241" i="15" s="1"/>
  <c r="E229" i="15"/>
  <c r="D221" i="15"/>
  <c r="D229" i="15"/>
  <c r="D206" i="15"/>
  <c r="D193" i="15"/>
  <c r="D261" i="15"/>
  <c r="A1" i="15"/>
  <c r="S24" i="15"/>
  <c r="T24" i="15" s="1"/>
  <c r="S56" i="15"/>
  <c r="T56" i="15" s="1"/>
  <c r="S57" i="15"/>
  <c r="T57" i="15" s="1"/>
  <c r="S58" i="15"/>
  <c r="T58" i="15" s="1"/>
  <c r="S59" i="15"/>
  <c r="T59" i="15" s="1"/>
  <c r="S60" i="15"/>
  <c r="T60" i="15" s="1"/>
  <c r="S61" i="15"/>
  <c r="T61" i="15"/>
  <c r="S62" i="15"/>
  <c r="T62" i="15" s="1"/>
  <c r="S65" i="15"/>
  <c r="T65" i="15"/>
  <c r="S66" i="15"/>
  <c r="T66" i="15" s="1"/>
  <c r="S67" i="15"/>
  <c r="T67" i="15"/>
  <c r="S68" i="15"/>
  <c r="T68" i="15" s="1"/>
  <c r="S69" i="15"/>
  <c r="T69" i="15" s="1"/>
  <c r="S70" i="15"/>
  <c r="T70" i="15" s="1"/>
  <c r="S73" i="15"/>
  <c r="T73" i="15" s="1"/>
  <c r="D137" i="15"/>
  <c r="E22" i="75" s="1"/>
  <c r="D149" i="15"/>
  <c r="E19" i="75" s="1"/>
  <c r="G149" i="15"/>
  <c r="H19" i="75" s="1"/>
  <c r="S224" i="15"/>
  <c r="S225" i="15"/>
  <c r="S226" i="15"/>
  <c r="D230" i="15"/>
  <c r="E230" i="15"/>
  <c r="G230" i="15"/>
  <c r="J240" i="15"/>
  <c r="K240" i="15"/>
  <c r="L240" i="15"/>
  <c r="M240" i="15"/>
  <c r="N240" i="15"/>
  <c r="O240" i="15"/>
  <c r="Q240" i="15"/>
  <c r="F256" i="15"/>
  <c r="H256" i="15" s="1"/>
  <c r="F257" i="15"/>
  <c r="H257" i="15" s="1"/>
  <c r="F260" i="15"/>
  <c r="H260" i="15" s="1"/>
  <c r="G261" i="15"/>
  <c r="G274" i="15" s="1"/>
  <c r="F266" i="15"/>
  <c r="I266" i="15"/>
  <c r="AJ265" i="16" s="1"/>
  <c r="S266" i="15"/>
  <c r="T266" i="15" s="1"/>
  <c r="F267" i="15"/>
  <c r="H267" i="15"/>
  <c r="I267" i="15" s="1"/>
  <c r="F268" i="15"/>
  <c r="I268" i="15"/>
  <c r="AJ267" i="16" s="1"/>
  <c r="S268" i="15"/>
  <c r="T268" i="15" s="1"/>
  <c r="F271" i="15"/>
  <c r="E274" i="15"/>
  <c r="AJ254" i="16"/>
  <c r="D267" i="16"/>
  <c r="L267" i="16"/>
  <c r="L265" i="16"/>
  <c r="X265" i="16"/>
  <c r="AA265" i="16"/>
  <c r="AA267" i="16"/>
  <c r="AH265" i="16"/>
  <c r="AH267" i="16"/>
  <c r="AB267" i="16"/>
  <c r="AB265" i="16"/>
  <c r="A1" i="16"/>
  <c r="X102" i="16"/>
  <c r="AA102" i="16"/>
  <c r="AB102" i="16"/>
  <c r="AF102" i="16"/>
  <c r="AH102" i="16"/>
  <c r="E137" i="16"/>
  <c r="I137" i="16"/>
  <c r="J137" i="16"/>
  <c r="AG137" i="16"/>
  <c r="E221" i="16"/>
  <c r="I221" i="16"/>
  <c r="W221" i="16"/>
  <c r="E229" i="16"/>
  <c r="I229" i="16"/>
  <c r="E239" i="16"/>
  <c r="I239" i="16"/>
  <c r="N239" i="16"/>
  <c r="O239" i="16"/>
  <c r="P239" i="16"/>
  <c r="Q239" i="16"/>
  <c r="R239" i="16"/>
  <c r="S239" i="16"/>
  <c r="T239" i="16"/>
  <c r="U239" i="16"/>
  <c r="V239" i="16"/>
  <c r="W239" i="16"/>
  <c r="Y239" i="16"/>
  <c r="Z239" i="16"/>
  <c r="E240" i="16"/>
  <c r="I240" i="16"/>
  <c r="J240" i="16"/>
  <c r="D265" i="16"/>
  <c r="M265" i="16"/>
  <c r="AF265" i="16"/>
  <c r="X267" i="16"/>
  <c r="AF267" i="16"/>
  <c r="AG229" i="16"/>
  <c r="W229" i="16"/>
  <c r="O240" i="16"/>
  <c r="P240" i="16"/>
  <c r="Q240" i="16"/>
  <c r="R240" i="16"/>
  <c r="S240" i="16"/>
  <c r="T240" i="16"/>
  <c r="U240" i="16"/>
  <c r="V240" i="16"/>
  <c r="W240" i="16"/>
  <c r="N240" i="16"/>
  <c r="A1" i="17"/>
  <c r="M132" i="17"/>
  <c r="M133" i="17"/>
  <c r="M146" i="17"/>
  <c r="G209" i="20"/>
  <c r="AJ57" i="21"/>
  <c r="AJ71" i="21" s="1"/>
  <c r="AJ72" i="21" s="1"/>
  <c r="M15" i="19"/>
  <c r="M57" i="21" s="1"/>
  <c r="M71" i="21" s="1"/>
  <c r="M72" i="21" s="1"/>
  <c r="E38" i="55"/>
  <c r="E60" i="55"/>
  <c r="E29" i="55"/>
  <c r="E48" i="57"/>
  <c r="AF265" i="9"/>
  <c r="AF265" i="6"/>
  <c r="M30" i="33"/>
  <c r="AH263" i="9"/>
  <c r="AH263" i="6"/>
  <c r="AH265" i="6"/>
  <c r="F14" i="34"/>
  <c r="F29" i="33"/>
  <c r="F30" i="33"/>
  <c r="F15" i="34"/>
  <c r="H219" i="15"/>
  <c r="I219" i="15" s="1"/>
  <c r="E181" i="21"/>
  <c r="L36" i="12"/>
  <c r="N36" i="12"/>
  <c r="N47" i="12" s="1"/>
  <c r="J45" i="20" s="1"/>
  <c r="J133" i="20" s="1"/>
  <c r="J180" i="20" s="1"/>
  <c r="K36" i="12"/>
  <c r="H219" i="8"/>
  <c r="I219" i="8" s="1"/>
  <c r="AJ219" i="9" s="1"/>
  <c r="H217" i="8"/>
  <c r="I217" i="8" s="1"/>
  <c r="M51" i="35"/>
  <c r="I37" i="35"/>
  <c r="AJ78" i="21"/>
  <c r="AJ127" i="21" s="1"/>
  <c r="AJ174" i="21" s="1"/>
  <c r="AJ225" i="6"/>
  <c r="J209" i="8"/>
  <c r="J211" i="8" s="1"/>
  <c r="S194" i="8"/>
  <c r="M122" i="8"/>
  <c r="S165" i="8"/>
  <c r="O211" i="8"/>
  <c r="D79" i="20"/>
  <c r="AJ79" i="21" s="1"/>
  <c r="F230" i="15"/>
  <c r="AJ270" i="16"/>
  <c r="E242" i="9"/>
  <c r="S207" i="8"/>
  <c r="P209" i="8"/>
  <c r="K209" i="8"/>
  <c r="Q209" i="8"/>
  <c r="W122" i="6"/>
  <c r="O146" i="6"/>
  <c r="AK20" i="6"/>
  <c r="K209" i="5"/>
  <c r="K211" i="5"/>
  <c r="H162" i="8"/>
  <c r="I162" i="8" s="1"/>
  <c r="H199" i="8"/>
  <c r="I199" i="8" s="1"/>
  <c r="S207" i="5"/>
  <c r="H39" i="20"/>
  <c r="S194" i="5"/>
  <c r="H197" i="8"/>
  <c r="I197" i="8" s="1"/>
  <c r="F241" i="8"/>
  <c r="H205" i="8"/>
  <c r="I205" i="8" s="1"/>
  <c r="G183" i="5"/>
  <c r="H183" i="5" s="1"/>
  <c r="E242" i="5"/>
  <c r="E277" i="5" s="1"/>
  <c r="L111" i="5"/>
  <c r="L122" i="5" s="1"/>
  <c r="M225" i="6"/>
  <c r="L231" i="5"/>
  <c r="M229" i="5"/>
  <c r="X229" i="6" s="1"/>
  <c r="X230" i="6" s="1"/>
  <c r="S225" i="5"/>
  <c r="T225" i="5" s="1"/>
  <c r="N209" i="5"/>
  <c r="N211" i="5"/>
  <c r="O209" i="5"/>
  <c r="O211" i="5"/>
  <c r="T24" i="12"/>
  <c r="K47" i="12"/>
  <c r="G45" i="20"/>
  <c r="G161" i="5"/>
  <c r="E105" i="20"/>
  <c r="C105" i="20" s="1"/>
  <c r="AM105" i="21" s="1"/>
  <c r="G36" i="12"/>
  <c r="G47" i="12" s="1"/>
  <c r="E122" i="5"/>
  <c r="V122" i="6"/>
  <c r="N122" i="6"/>
  <c r="I122" i="6"/>
  <c r="J34" i="33"/>
  <c r="P211" i="8"/>
  <c r="L209" i="8"/>
  <c r="L211" i="8" s="1"/>
  <c r="K208" i="15"/>
  <c r="K210" i="15" s="1"/>
  <c r="P209" i="5"/>
  <c r="P211" i="5"/>
  <c r="M209" i="5"/>
  <c r="M211" i="5" s="1"/>
  <c r="S211" i="5" s="1"/>
  <c r="N122" i="16"/>
  <c r="J209" i="5"/>
  <c r="J211" i="5"/>
  <c r="J122" i="5"/>
  <c r="G51" i="35"/>
  <c r="K51" i="35"/>
  <c r="H36" i="35"/>
  <c r="J36" i="35"/>
  <c r="H14" i="34"/>
  <c r="I14" i="34"/>
  <c r="J53" i="33"/>
  <c r="I48" i="33"/>
  <c r="J49" i="33"/>
  <c r="I34" i="33"/>
  <c r="I53" i="33"/>
  <c r="E157" i="20"/>
  <c r="E208" i="20" s="1"/>
  <c r="E216" i="20" s="1"/>
  <c r="I110" i="2"/>
  <c r="AJ110" i="3"/>
  <c r="J117" i="9"/>
  <c r="E117" i="9"/>
  <c r="K117" i="9"/>
  <c r="I117" i="9"/>
  <c r="K118" i="9"/>
  <c r="E118" i="9"/>
  <c r="D120" i="9"/>
  <c r="K34" i="33"/>
  <c r="J68" i="36"/>
  <c r="J72" i="36" s="1"/>
  <c r="H37" i="25"/>
  <c r="K48" i="33"/>
  <c r="F34" i="33"/>
  <c r="I116" i="9"/>
  <c r="K116" i="9"/>
  <c r="AB105" i="21"/>
  <c r="F48" i="33"/>
  <c r="H227" i="5"/>
  <c r="I227" i="5" s="1"/>
  <c r="F231" i="5"/>
  <c r="M108" i="6"/>
  <c r="M111" i="6" s="1"/>
  <c r="J122" i="8"/>
  <c r="H203" i="8"/>
  <c r="I203" i="8" s="1"/>
  <c r="H183" i="8"/>
  <c r="I183" i="8" s="1"/>
  <c r="J81" i="8"/>
  <c r="P122" i="8"/>
  <c r="I225" i="8"/>
  <c r="H185" i="8"/>
  <c r="I185" i="8" s="1"/>
  <c r="H201" i="8"/>
  <c r="I201" i="8" s="1"/>
  <c r="K211" i="8"/>
  <c r="Q211" i="8"/>
  <c r="H228" i="8"/>
  <c r="I228" i="8" s="1"/>
  <c r="H238" i="8"/>
  <c r="I238" i="8" s="1"/>
  <c r="H235" i="8"/>
  <c r="I235" i="8" s="1"/>
  <c r="H218" i="8"/>
  <c r="I218" i="8" s="1"/>
  <c r="F223" i="8"/>
  <c r="G17" i="75" s="1"/>
  <c r="M209" i="8"/>
  <c r="M211" i="8" s="1"/>
  <c r="H146" i="8"/>
  <c r="H141" i="8"/>
  <c r="I141" i="8" s="1"/>
  <c r="H130" i="8"/>
  <c r="I130" i="8" s="1"/>
  <c r="H131" i="8"/>
  <c r="H132" i="8"/>
  <c r="I132" i="8" s="1"/>
  <c r="H116" i="8"/>
  <c r="I116" i="8" s="1"/>
  <c r="H117" i="8"/>
  <c r="I117" i="8"/>
  <c r="K117" i="8" s="1"/>
  <c r="L117" i="9" s="1"/>
  <c r="H114" i="8"/>
  <c r="I114" i="8" s="1"/>
  <c r="H105" i="8"/>
  <c r="I105" i="8" s="1"/>
  <c r="H104" i="8"/>
  <c r="I104" i="8" s="1"/>
  <c r="AJ82" i="9"/>
  <c r="H164" i="8"/>
  <c r="I164" i="8" s="1"/>
  <c r="H200" i="8"/>
  <c r="I200" i="8" s="1"/>
  <c r="D165" i="8"/>
  <c r="G165" i="8"/>
  <c r="F191" i="2"/>
  <c r="S191" i="2"/>
  <c r="T191" i="2" s="1"/>
  <c r="E106" i="20"/>
  <c r="C106" i="20" s="1"/>
  <c r="AM106" i="21" s="1"/>
  <c r="AK191" i="3"/>
  <c r="AL191" i="3" s="1"/>
  <c r="F166" i="2"/>
  <c r="X105" i="3"/>
  <c r="D111" i="3"/>
  <c r="D105" i="3"/>
  <c r="N111" i="2"/>
  <c r="X109" i="3"/>
  <c r="M112" i="3"/>
  <c r="D109" i="3"/>
  <c r="J107" i="2"/>
  <c r="S107" i="2" s="1"/>
  <c r="T107" i="2" s="1"/>
  <c r="M110" i="3"/>
  <c r="M104" i="3"/>
  <c r="N109" i="2"/>
  <c r="L106" i="2"/>
  <c r="N105" i="2"/>
  <c r="N107" i="2"/>
  <c r="AJ112" i="3"/>
  <c r="AL112" i="3" s="1"/>
  <c r="L103" i="2"/>
  <c r="K109" i="2"/>
  <c r="I106" i="2"/>
  <c r="K105" i="2"/>
  <c r="X108" i="3"/>
  <c r="X106" i="3"/>
  <c r="AJ104" i="3"/>
  <c r="X104" i="3"/>
  <c r="M112" i="2"/>
  <c r="X110" i="3"/>
  <c r="AJ108" i="3"/>
  <c r="K111" i="2"/>
  <c r="K107" i="2"/>
  <c r="K10" i="66"/>
  <c r="AJ103" i="3"/>
  <c r="M103" i="2"/>
  <c r="M107" i="3"/>
  <c r="J112" i="2"/>
  <c r="L111" i="2"/>
  <c r="N110" i="2"/>
  <c r="J108" i="2"/>
  <c r="L107" i="2"/>
  <c r="N106" i="2"/>
  <c r="J104" i="2"/>
  <c r="X111" i="3"/>
  <c r="X107" i="3"/>
  <c r="K112" i="2"/>
  <c r="K110" i="2"/>
  <c r="I109" i="2"/>
  <c r="K108" i="2"/>
  <c r="K106" i="2"/>
  <c r="I105" i="2"/>
  <c r="K104" i="2"/>
  <c r="M111" i="3"/>
  <c r="N112" i="2"/>
  <c r="J110" i="2"/>
  <c r="L109" i="2"/>
  <c r="N108" i="2"/>
  <c r="J106" i="2"/>
  <c r="L105" i="2"/>
  <c r="N104" i="2"/>
  <c r="M109" i="3"/>
  <c r="M105" i="3"/>
  <c r="AA103" i="3"/>
  <c r="AK103" i="3" s="1"/>
  <c r="N103" i="2"/>
  <c r="D103" i="3"/>
  <c r="J103" i="2"/>
  <c r="AJ111" i="3"/>
  <c r="AJ109" i="3"/>
  <c r="AJ107" i="3"/>
  <c r="AJ105" i="3"/>
  <c r="K103" i="2"/>
  <c r="H87" i="12"/>
  <c r="AK102" i="13"/>
  <c r="AJ32" i="13"/>
  <c r="S156" i="2"/>
  <c r="X107" i="21"/>
  <c r="AK218" i="16"/>
  <c r="AK20" i="9"/>
  <c r="AK30" i="9"/>
  <c r="H143" i="8"/>
  <c r="I143" i="8" s="1"/>
  <c r="AK84" i="21"/>
  <c r="H220" i="8"/>
  <c r="I220" i="8" s="1"/>
  <c r="L220" i="8" s="1"/>
  <c r="AF149" i="9"/>
  <c r="AK21" i="9"/>
  <c r="AK135" i="6"/>
  <c r="X106" i="21"/>
  <c r="H263" i="8"/>
  <c r="H226" i="8"/>
  <c r="I226" i="8" s="1"/>
  <c r="I181" i="21"/>
  <c r="L64" i="21"/>
  <c r="AJ49" i="9"/>
  <c r="H273" i="8"/>
  <c r="I273" i="8" s="1"/>
  <c r="I154" i="21"/>
  <c r="I205" i="21" s="1"/>
  <c r="I213" i="21" s="1"/>
  <c r="AK135" i="9"/>
  <c r="AK228" i="9"/>
  <c r="AK140" i="9"/>
  <c r="M72" i="36"/>
  <c r="AK233" i="16"/>
  <c r="AK224" i="16"/>
  <c r="H254" i="8"/>
  <c r="I254" i="8" s="1"/>
  <c r="AJ254" i="9" s="1"/>
  <c r="H107" i="8"/>
  <c r="I107" i="8" s="1"/>
  <c r="H142" i="8"/>
  <c r="I142" i="8" s="1"/>
  <c r="AK235" i="6"/>
  <c r="AK140" i="6"/>
  <c r="AG106" i="21"/>
  <c r="AK14" i="21"/>
  <c r="AN14" i="21" s="1"/>
  <c r="AB109" i="21"/>
  <c r="L43" i="21"/>
  <c r="M15" i="21"/>
  <c r="L71" i="36"/>
  <c r="L229" i="16"/>
  <c r="E38" i="31"/>
  <c r="AA149" i="9"/>
  <c r="M241" i="6"/>
  <c r="AK66" i="6"/>
  <c r="AL66" i="6" s="1"/>
  <c r="F222" i="8"/>
  <c r="D137" i="6"/>
  <c r="AB107" i="21"/>
  <c r="AB108" i="21"/>
  <c r="AB149" i="6"/>
  <c r="N71" i="36"/>
  <c r="D239" i="16"/>
  <c r="AA229" i="16"/>
  <c r="AB106" i="21"/>
  <c r="AF230" i="9"/>
  <c r="M71" i="36"/>
  <c r="H267" i="8"/>
  <c r="AH239" i="16"/>
  <c r="E148" i="8"/>
  <c r="E150" i="8" s="1"/>
  <c r="AH149" i="6"/>
  <c r="AB149" i="9"/>
  <c r="S263" i="8"/>
  <c r="F72" i="36"/>
  <c r="F73" i="36" s="1"/>
  <c r="H206" i="8"/>
  <c r="I206" i="8" s="1"/>
  <c r="D149" i="6"/>
  <c r="L138" i="36"/>
  <c r="H34" i="33"/>
  <c r="AB52" i="21"/>
  <c r="H138" i="36"/>
  <c r="K103" i="20"/>
  <c r="L137" i="9"/>
  <c r="AB137" i="6"/>
  <c r="L137" i="6"/>
  <c r="L149" i="6"/>
  <c r="J37" i="25"/>
  <c r="H71" i="36"/>
  <c r="X105" i="21"/>
  <c r="D15" i="21"/>
  <c r="O146" i="9"/>
  <c r="V146" i="9"/>
  <c r="T146" i="9"/>
  <c r="R146" i="9"/>
  <c r="H140" i="8"/>
  <c r="AH137" i="6"/>
  <c r="AA137" i="6"/>
  <c r="AA149" i="6"/>
  <c r="D149" i="9"/>
  <c r="AJ103" i="21"/>
  <c r="M221" i="9"/>
  <c r="D242" i="8"/>
  <c r="M36" i="12"/>
  <c r="M47" i="12"/>
  <c r="I45" i="20"/>
  <c r="I133" i="20" s="1"/>
  <c r="I180" i="20" s="1"/>
  <c r="F24" i="12"/>
  <c r="L47" i="12"/>
  <c r="H45" i="20"/>
  <c r="H133" i="20" s="1"/>
  <c r="H180" i="20" s="1"/>
  <c r="O47" i="12"/>
  <c r="K45" i="20" s="1"/>
  <c r="K133" i="20" s="1"/>
  <c r="K180" i="20" s="1"/>
  <c r="P47" i="12"/>
  <c r="L45" i="20"/>
  <c r="L133" i="20" s="1"/>
  <c r="L180" i="20" s="1"/>
  <c r="E17" i="57"/>
  <c r="E27" i="25"/>
  <c r="H239" i="5"/>
  <c r="I239" i="5" s="1"/>
  <c r="M35" i="35"/>
  <c r="K13" i="34"/>
  <c r="I13" i="34"/>
  <c r="L12" i="34"/>
  <c r="L41" i="34"/>
  <c r="L43" i="34" s="1"/>
  <c r="L47" i="33" s="1"/>
  <c r="H12" i="34"/>
  <c r="H41" i="34"/>
  <c r="H43" i="34" s="1"/>
  <c r="H47" i="33" s="1"/>
  <c r="I29" i="33"/>
  <c r="J25" i="33"/>
  <c r="H23" i="33"/>
  <c r="J22" i="33"/>
  <c r="H22" i="33"/>
  <c r="K37" i="35"/>
  <c r="H35" i="35"/>
  <c r="J13" i="34"/>
  <c r="F89" i="20"/>
  <c r="K12" i="34"/>
  <c r="G12" i="34"/>
  <c r="H29" i="33"/>
  <c r="M24" i="33"/>
  <c r="N23" i="33"/>
  <c r="K23" i="33"/>
  <c r="I23" i="33"/>
  <c r="G23" i="33"/>
  <c r="I22" i="33"/>
  <c r="J35" i="35"/>
  <c r="F36" i="35"/>
  <c r="E117" i="12"/>
  <c r="E118" i="12" s="1"/>
  <c r="AA137" i="9"/>
  <c r="L149" i="9"/>
  <c r="I94" i="12"/>
  <c r="AJ94" i="13"/>
  <c r="AH94" i="13"/>
  <c r="M94" i="13"/>
  <c r="K71" i="36"/>
  <c r="AK109" i="3"/>
  <c r="O208" i="15"/>
  <c r="O210" i="15" s="1"/>
  <c r="N208" i="15"/>
  <c r="N210" i="15" s="1"/>
  <c r="H234" i="15"/>
  <c r="AL254" i="16"/>
  <c r="AH240" i="6"/>
  <c r="H239" i="8"/>
  <c r="I239" i="8" s="1"/>
  <c r="M238" i="16"/>
  <c r="D240" i="6"/>
  <c r="X240" i="6"/>
  <c r="AA240" i="6"/>
  <c r="D240" i="9"/>
  <c r="P55" i="35"/>
  <c r="J150" i="9"/>
  <c r="F230" i="8"/>
  <c r="T188" i="8"/>
  <c r="T192" i="8"/>
  <c r="J150" i="6"/>
  <c r="E150" i="9"/>
  <c r="U122" i="6"/>
  <c r="Q122" i="6"/>
  <c r="P122" i="6"/>
  <c r="E242" i="6"/>
  <c r="I242" i="9"/>
  <c r="H220" i="5"/>
  <c r="I220" i="5" s="1"/>
  <c r="H219" i="5"/>
  <c r="I219" i="5" s="1"/>
  <c r="E122" i="6"/>
  <c r="Q209" i="5"/>
  <c r="Q211" i="5"/>
  <c r="N209" i="8"/>
  <c r="N211" i="8" s="1"/>
  <c r="W122" i="9"/>
  <c r="W242" i="9"/>
  <c r="U122" i="9"/>
  <c r="T242" i="9"/>
  <c r="S122" i="9"/>
  <c r="S242" i="9"/>
  <c r="Q122" i="9"/>
  <c r="P242" i="9"/>
  <c r="O122" i="9"/>
  <c r="O242" i="9"/>
  <c r="L209" i="5"/>
  <c r="L211" i="5"/>
  <c r="J208" i="15"/>
  <c r="J210" i="15" s="1"/>
  <c r="J122" i="15"/>
  <c r="AD225" i="6"/>
  <c r="AE225" i="6"/>
  <c r="AC225" i="6"/>
  <c r="M271" i="16"/>
  <c r="AF271" i="16"/>
  <c r="AA271" i="16"/>
  <c r="L271" i="16"/>
  <c r="AH271" i="16"/>
  <c r="AB271" i="16"/>
  <c r="X271" i="16"/>
  <c r="D208" i="15"/>
  <c r="AK105" i="3"/>
  <c r="AH137" i="9"/>
  <c r="AH149" i="9"/>
  <c r="E36" i="29"/>
  <c r="H179" i="20"/>
  <c r="E134" i="20"/>
  <c r="C134" i="20" s="1"/>
  <c r="AM134" i="21" s="1"/>
  <c r="D209" i="5"/>
  <c r="I130" i="5"/>
  <c r="AA132" i="21"/>
  <c r="W146" i="6"/>
  <c r="I88" i="13"/>
  <c r="AB257" i="17"/>
  <c r="V146" i="6"/>
  <c r="AA111" i="6"/>
  <c r="U146" i="6"/>
  <c r="T146" i="6"/>
  <c r="R146" i="6"/>
  <c r="M49" i="33"/>
  <c r="S146" i="6"/>
  <c r="Q146" i="6"/>
  <c r="G207" i="8"/>
  <c r="F207" i="8"/>
  <c r="H207" i="8" s="1"/>
  <c r="T207" i="8" s="1"/>
  <c r="K53" i="33"/>
  <c r="H53" i="33"/>
  <c r="F53" i="33"/>
  <c r="AJ258" i="9"/>
  <c r="W146" i="9"/>
  <c r="U146" i="9"/>
  <c r="S146" i="9"/>
  <c r="Q146" i="9"/>
  <c r="N146" i="9"/>
  <c r="X132" i="21"/>
  <c r="X179" i="21" s="1"/>
  <c r="K143" i="21"/>
  <c r="D122" i="8"/>
  <c r="D111" i="16"/>
  <c r="H253" i="8"/>
  <c r="I253" i="8" s="1"/>
  <c r="AF120" i="9"/>
  <c r="K88" i="13"/>
  <c r="K97" i="13" s="1"/>
  <c r="K115" i="13" s="1"/>
  <c r="K116" i="13" s="1"/>
  <c r="K65" i="21" s="1"/>
  <c r="K155" i="21" s="1"/>
  <c r="K206" i="21" s="1"/>
  <c r="J88" i="13"/>
  <c r="H115" i="8"/>
  <c r="E28" i="30"/>
  <c r="G194" i="8"/>
  <c r="F194" i="8"/>
  <c r="H135" i="8"/>
  <c r="D120" i="6"/>
  <c r="X111" i="6"/>
  <c r="K55" i="21"/>
  <c r="D150" i="8"/>
  <c r="E24" i="75"/>
  <c r="J92" i="12"/>
  <c r="S92" i="12" s="1"/>
  <c r="T92" i="12" s="1"/>
  <c r="I92" i="12"/>
  <c r="AK108" i="3"/>
  <c r="AH238" i="16"/>
  <c r="AB111" i="6"/>
  <c r="AB120" i="6"/>
  <c r="D111" i="6"/>
  <c r="M120" i="6"/>
  <c r="X120" i="6"/>
  <c r="X122" i="6" s="1"/>
  <c r="AA228" i="16"/>
  <c r="F24" i="75"/>
  <c r="AA120" i="6"/>
  <c r="AA122" i="6" s="1"/>
  <c r="X120" i="9"/>
  <c r="E40" i="33"/>
  <c r="AH111" i="6"/>
  <c r="AH120" i="6"/>
  <c r="AH122" i="6" s="1"/>
  <c r="AB120" i="9"/>
  <c r="AJ255" i="6"/>
  <c r="AJ225" i="9"/>
  <c r="O225" i="8"/>
  <c r="AB225" i="9" s="1"/>
  <c r="J87" i="12"/>
  <c r="I87" i="12"/>
  <c r="I234" i="15"/>
  <c r="P234" i="15" s="1"/>
  <c r="AK43" i="6"/>
  <c r="S269" i="5"/>
  <c r="M269" i="6"/>
  <c r="M263" i="6"/>
  <c r="S263" i="5"/>
  <c r="M265" i="6"/>
  <c r="S265" i="5"/>
  <c r="AK68" i="6"/>
  <c r="H161" i="5"/>
  <c r="T161" i="5" s="1"/>
  <c r="T197" i="8"/>
  <c r="H241" i="8"/>
  <c r="J138" i="36"/>
  <c r="T203" i="8"/>
  <c r="T183" i="8"/>
  <c r="T185" i="8"/>
  <c r="T164" i="8"/>
  <c r="AK56" i="6"/>
  <c r="AL56" i="6" s="1"/>
  <c r="T200" i="8"/>
  <c r="AL109" i="3"/>
  <c r="I263" i="8"/>
  <c r="AB122" i="6"/>
  <c r="AJ41" i="9"/>
  <c r="AK106" i="21"/>
  <c r="AN106" i="21" s="1"/>
  <c r="AF106" i="21"/>
  <c r="AK57" i="9"/>
  <c r="AL57" i="9" s="1"/>
  <c r="G209" i="8"/>
  <c r="H198" i="8"/>
  <c r="I198" i="8" s="1"/>
  <c r="D122" i="6"/>
  <c r="T206" i="8"/>
  <c r="L35" i="34"/>
  <c r="L37" i="34" s="1"/>
  <c r="L44" i="33" s="1"/>
  <c r="L29" i="34"/>
  <c r="L31" i="34"/>
  <c r="L41" i="33" s="1"/>
  <c r="H35" i="34"/>
  <c r="H37" i="34" s="1"/>
  <c r="H44" i="33" s="1"/>
  <c r="M37" i="31"/>
  <c r="H29" i="34"/>
  <c r="H31" i="34" s="1"/>
  <c r="H41" i="33" s="1"/>
  <c r="D87" i="13"/>
  <c r="J87" i="13" s="1"/>
  <c r="S87" i="12"/>
  <c r="D94" i="13"/>
  <c r="S94" i="12"/>
  <c r="T94" i="12"/>
  <c r="S265" i="8"/>
  <c r="D265" i="9"/>
  <c r="S209" i="8"/>
  <c r="S209" i="5"/>
  <c r="S83" i="8"/>
  <c r="AJ83" i="9"/>
  <c r="AJ50" i="9"/>
  <c r="P238" i="15"/>
  <c r="AJ237" i="16"/>
  <c r="K109" i="15"/>
  <c r="S109" i="15" s="1"/>
  <c r="T109" i="15" s="1"/>
  <c r="AA179" i="21"/>
  <c r="E48" i="30" s="1"/>
  <c r="I115" i="8"/>
  <c r="K115" i="8" s="1"/>
  <c r="I135" i="8"/>
  <c r="L135" i="8" s="1"/>
  <c r="H186" i="8"/>
  <c r="S250" i="8"/>
  <c r="T250" i="8" s="1"/>
  <c r="M44" i="55"/>
  <c r="L44" i="25"/>
  <c r="I44" i="55"/>
  <c r="D92" i="13"/>
  <c r="I267" i="8"/>
  <c r="AJ267" i="9" s="1"/>
  <c r="AJ92" i="13"/>
  <c r="AL92" i="13" s="1"/>
  <c r="AJ87" i="13"/>
  <c r="AJ263" i="9"/>
  <c r="AJ15" i="9"/>
  <c r="F28" i="75"/>
  <c r="AJ138" i="3"/>
  <c r="S82" i="2"/>
  <c r="E15" i="61"/>
  <c r="I94" i="13"/>
  <c r="J94" i="13"/>
  <c r="E94" i="13"/>
  <c r="S50" i="8"/>
  <c r="T50" i="8" s="1"/>
  <c r="AF237" i="16"/>
  <c r="AG237" i="16" s="1"/>
  <c r="AK237" i="16" s="1"/>
  <c r="S238" i="15"/>
  <c r="T238" i="15" s="1"/>
  <c r="L147" i="6"/>
  <c r="AJ137" i="3"/>
  <c r="AJ135" i="9"/>
  <c r="AL135" i="9" s="1"/>
  <c r="D273" i="9"/>
  <c r="I186" i="8"/>
  <c r="AJ115" i="9"/>
  <c r="M267" i="6"/>
  <c r="S267" i="5"/>
  <c r="D230" i="6"/>
  <c r="J230" i="5"/>
  <c r="M230" i="5"/>
  <c r="S15" i="8"/>
  <c r="T15" i="8" s="1"/>
  <c r="AL73" i="3"/>
  <c r="AL67" i="3"/>
  <c r="AJ21" i="9"/>
  <c r="L139" i="6"/>
  <c r="K148" i="5"/>
  <c r="D269" i="9"/>
  <c r="S269" i="8"/>
  <c r="AJ118" i="3"/>
  <c r="AL71" i="3"/>
  <c r="L148" i="6"/>
  <c r="S21" i="8"/>
  <c r="T21" i="8" s="1"/>
  <c r="S19" i="2"/>
  <c r="T19" i="2" s="1"/>
  <c r="O28" i="75"/>
  <c r="N28" i="75"/>
  <c r="P28" i="75"/>
  <c r="Q28" i="75"/>
  <c r="R28" i="75"/>
  <c r="E28" i="75"/>
  <c r="H28" i="75"/>
  <c r="G55" i="20"/>
  <c r="L11" i="19"/>
  <c r="L53" i="21" s="1"/>
  <c r="D53" i="21"/>
  <c r="D141" i="16"/>
  <c r="J149" i="15"/>
  <c r="K19" i="75" s="1"/>
  <c r="L141" i="16"/>
  <c r="K149" i="15"/>
  <c r="L19" i="75"/>
  <c r="H24" i="75"/>
  <c r="AJ9" i="21"/>
  <c r="I24" i="75"/>
  <c r="AJ59" i="21"/>
  <c r="AJ147" i="21" s="1"/>
  <c r="AJ220" i="21" s="1"/>
  <c r="J24" i="75"/>
  <c r="S273" i="8"/>
  <c r="AH273" i="9"/>
  <c r="M28" i="75"/>
  <c r="S81" i="2"/>
  <c r="T81" i="2" s="1"/>
  <c r="L28" i="75"/>
  <c r="K28" i="75"/>
  <c r="L24" i="75"/>
  <c r="K24" i="75"/>
  <c r="L281" i="9"/>
  <c r="S273" i="5"/>
  <c r="AH273" i="6"/>
  <c r="AJ18" i="21"/>
  <c r="AJ110" i="21" s="1"/>
  <c r="H281" i="8"/>
  <c r="AJ175" i="3"/>
  <c r="AJ180" i="3"/>
  <c r="AJ182" i="3"/>
  <c r="AJ183" i="3"/>
  <c r="AJ177" i="3"/>
  <c r="AJ184" i="3"/>
  <c r="AJ178" i="3"/>
  <c r="AJ176" i="3"/>
  <c r="AJ179" i="3"/>
  <c r="AJ181" i="3"/>
  <c r="I281" i="8"/>
  <c r="AF59" i="21"/>
  <c r="AF147" i="21" s="1"/>
  <c r="AF220" i="21" s="1"/>
  <c r="P20" i="18"/>
  <c r="L17" i="19"/>
  <c r="L59" i="21" s="1"/>
  <c r="AL68" i="6" l="1"/>
  <c r="E107" i="21"/>
  <c r="AK57" i="6"/>
  <c r="AL57" i="6" s="1"/>
  <c r="J97" i="13"/>
  <c r="AN185" i="21"/>
  <c r="AN192" i="21"/>
  <c r="AN13" i="21"/>
  <c r="AJ132" i="9"/>
  <c r="M132" i="8"/>
  <c r="X132" i="9" s="1"/>
  <c r="I88" i="12"/>
  <c r="Q88" i="12"/>
  <c r="K44" i="31"/>
  <c r="M44" i="31"/>
  <c r="L130" i="8"/>
  <c r="AJ130" i="9"/>
  <c r="AJ45" i="21"/>
  <c r="AJ133" i="21" s="1"/>
  <c r="AJ180" i="21" s="1"/>
  <c r="D45" i="20"/>
  <c r="D133" i="20" s="1"/>
  <c r="D180" i="20" s="1"/>
  <c r="T83" i="8"/>
  <c r="S211" i="8"/>
  <c r="AK83" i="9"/>
  <c r="AL83" i="9" s="1"/>
  <c r="E276" i="15"/>
  <c r="L230" i="9"/>
  <c r="E27" i="35"/>
  <c r="D229" i="16"/>
  <c r="G217" i="20"/>
  <c r="G221" i="20" s="1"/>
  <c r="G222" i="20" s="1"/>
  <c r="G194" i="20" s="1"/>
  <c r="AF97" i="13"/>
  <c r="S45" i="12"/>
  <c r="T45" i="12" s="1"/>
  <c r="AJ26" i="9"/>
  <c r="AA240" i="9"/>
  <c r="AA111" i="9"/>
  <c r="K150" i="9"/>
  <c r="S111" i="2"/>
  <c r="T111" i="2" s="1"/>
  <c r="D228" i="16"/>
  <c r="AH229" i="16"/>
  <c r="S104" i="2"/>
  <c r="T104" i="2" s="1"/>
  <c r="T186" i="8"/>
  <c r="L182" i="21"/>
  <c r="AF111" i="6"/>
  <c r="G44" i="25"/>
  <c r="AL21" i="9"/>
  <c r="AK225" i="9"/>
  <c r="X97" i="13"/>
  <c r="J44" i="30"/>
  <c r="L73" i="36"/>
  <c r="E87" i="13"/>
  <c r="E97" i="13" s="1"/>
  <c r="S16" i="12"/>
  <c r="T16" i="12" s="1"/>
  <c r="M122" i="6"/>
  <c r="M73" i="36"/>
  <c r="S108" i="2"/>
  <c r="T108" i="2" s="1"/>
  <c r="AK220" i="9"/>
  <c r="T104" i="12"/>
  <c r="K44" i="29"/>
  <c r="E181" i="20"/>
  <c r="C181" i="20" s="1"/>
  <c r="AK226" i="16"/>
  <c r="T87" i="12"/>
  <c r="AH230" i="9"/>
  <c r="T226" i="8"/>
  <c r="G182" i="20"/>
  <c r="G184" i="20" s="1"/>
  <c r="G186" i="20" s="1"/>
  <c r="M240" i="6"/>
  <c r="Q36" i="12"/>
  <c r="Q47" i="12" s="1"/>
  <c r="M45" i="20" s="1"/>
  <c r="M133" i="20" s="1"/>
  <c r="M180" i="20" s="1"/>
  <c r="E152" i="5"/>
  <c r="D149" i="21"/>
  <c r="D196" i="21" s="1"/>
  <c r="Q122" i="8"/>
  <c r="S122" i="16"/>
  <c r="F137" i="8"/>
  <c r="AB111" i="9"/>
  <c r="X230" i="9"/>
  <c r="X240" i="9"/>
  <c r="K242" i="9"/>
  <c r="D7" i="76"/>
  <c r="G246" i="15" s="1"/>
  <c r="E5" i="76"/>
  <c r="K246" i="15" s="1"/>
  <c r="E10" i="76"/>
  <c r="M246" i="15" s="1"/>
  <c r="U12" i="60"/>
  <c r="K110" i="12"/>
  <c r="L108" i="13" s="1"/>
  <c r="AG96" i="3"/>
  <c r="AG118" i="3" s="1"/>
  <c r="S68" i="2"/>
  <c r="U79" i="3"/>
  <c r="H83" i="12"/>
  <c r="V122" i="16"/>
  <c r="X111" i="9"/>
  <c r="E50" i="35"/>
  <c r="E55" i="60" s="1"/>
  <c r="E46" i="60" s="1"/>
  <c r="D8" i="76"/>
  <c r="E11" i="34"/>
  <c r="AC273" i="9"/>
  <c r="D55" i="21"/>
  <c r="L239" i="16"/>
  <c r="D209" i="8"/>
  <c r="D211" i="8" s="1"/>
  <c r="M208" i="15"/>
  <c r="M210" i="15" s="1"/>
  <c r="M239" i="9"/>
  <c r="M240" i="9" s="1"/>
  <c r="F51" i="35"/>
  <c r="E242" i="8"/>
  <c r="R242" i="9"/>
  <c r="D10" i="76"/>
  <c r="E63" i="35"/>
  <c r="AL69" i="3"/>
  <c r="W83" i="3"/>
  <c r="AB137" i="9"/>
  <c r="AB240" i="9"/>
  <c r="D230" i="9"/>
  <c r="AA97" i="13"/>
  <c r="M120" i="9"/>
  <c r="Q242" i="9"/>
  <c r="G150" i="8"/>
  <c r="E140" i="2"/>
  <c r="G115" i="2"/>
  <c r="G117" i="2" s="1"/>
  <c r="J110" i="12"/>
  <c r="AK223" i="16"/>
  <c r="E122" i="8"/>
  <c r="P208" i="15"/>
  <c r="P210" i="15" s="1"/>
  <c r="L208" i="15"/>
  <c r="L210" i="15" s="1"/>
  <c r="G107" i="12"/>
  <c r="H107" i="12" s="1"/>
  <c r="D111" i="9"/>
  <c r="D137" i="9"/>
  <c r="M111" i="9"/>
  <c r="H37" i="35"/>
  <c r="I36" i="35"/>
  <c r="D5" i="76"/>
  <c r="K190" i="21"/>
  <c r="E20" i="23" s="1"/>
  <c r="U88" i="3"/>
  <c r="Q83" i="3"/>
  <c r="AA239" i="16"/>
  <c r="I150" i="6"/>
  <c r="E150" i="6"/>
  <c r="W122" i="16"/>
  <c r="F222" i="15"/>
  <c r="G16" i="75" s="1"/>
  <c r="AF111" i="9"/>
  <c r="P59" i="35"/>
  <c r="D6" i="76"/>
  <c r="E4" i="76"/>
  <c r="R147" i="3"/>
  <c r="R15" i="21" s="1"/>
  <c r="R107" i="21" s="1"/>
  <c r="U85" i="3"/>
  <c r="T122" i="6"/>
  <c r="T226" i="15"/>
  <c r="AH240" i="9"/>
  <c r="AB238" i="16"/>
  <c r="V242" i="9"/>
  <c r="N242" i="9"/>
  <c r="AK21" i="6"/>
  <c r="G110" i="12"/>
  <c r="H110" i="12" s="1"/>
  <c r="I110" i="12" s="1"/>
  <c r="AJ108" i="13" s="1"/>
  <c r="Y273" i="6"/>
  <c r="S183" i="2"/>
  <c r="U83" i="3"/>
  <c r="D131" i="21"/>
  <c r="D178" i="21" s="1"/>
  <c r="I178" i="21"/>
  <c r="E15" i="29" s="1"/>
  <c r="E18" i="29" s="1"/>
  <c r="E51" i="61"/>
  <c r="AC213" i="21"/>
  <c r="E37" i="61"/>
  <c r="V213" i="21"/>
  <c r="E28" i="61"/>
  <c r="P213" i="21"/>
  <c r="U213" i="21"/>
  <c r="D154" i="21"/>
  <c r="D205" i="21" s="1"/>
  <c r="D213" i="21" s="1"/>
  <c r="E30" i="30"/>
  <c r="I44" i="30"/>
  <c r="L44" i="30"/>
  <c r="M44" i="30"/>
  <c r="T112" i="12"/>
  <c r="AJ110" i="13"/>
  <c r="T102" i="12"/>
  <c r="AJ100" i="13"/>
  <c r="AL100" i="13" s="1"/>
  <c r="T109" i="12"/>
  <c r="AJ107" i="13"/>
  <c r="AL107" i="13" s="1"/>
  <c r="AJ106" i="13"/>
  <c r="AL106" i="13" s="1"/>
  <c r="Q103" i="12"/>
  <c r="J111" i="12"/>
  <c r="D109" i="13" s="1"/>
  <c r="G103" i="12"/>
  <c r="K103" i="12"/>
  <c r="K114" i="12" s="1"/>
  <c r="F114" i="12"/>
  <c r="J108" i="12"/>
  <c r="Q111" i="12"/>
  <c r="AH109" i="13" s="1"/>
  <c r="G111" i="12"/>
  <c r="H111" i="12" s="1"/>
  <c r="I111" i="12" s="1"/>
  <c r="AJ109" i="13" s="1"/>
  <c r="AJ89" i="13"/>
  <c r="T89" i="12"/>
  <c r="AJ86" i="13"/>
  <c r="AL86" i="13" s="1"/>
  <c r="I95" i="12"/>
  <c r="K95" i="12"/>
  <c r="Q91" i="12"/>
  <c r="I91" i="12"/>
  <c r="K214" i="21"/>
  <c r="E20" i="58"/>
  <c r="L98" i="12"/>
  <c r="M93" i="13"/>
  <c r="S93" i="12"/>
  <c r="AJ88" i="13"/>
  <c r="Q90" i="12"/>
  <c r="I90" i="12"/>
  <c r="I87" i="13"/>
  <c r="Q98" i="12"/>
  <c r="I93" i="12"/>
  <c r="J86" i="12"/>
  <c r="E120" i="9"/>
  <c r="E122" i="9" s="1"/>
  <c r="AK67" i="9"/>
  <c r="AL67" i="9" s="1"/>
  <c r="AK60" i="9"/>
  <c r="AL60" i="9" s="1"/>
  <c r="AK58" i="9"/>
  <c r="AL58" i="9" s="1"/>
  <c r="I120" i="9"/>
  <c r="I122" i="9" s="1"/>
  <c r="AJ255" i="9"/>
  <c r="P239" i="8"/>
  <c r="AJ239" i="9"/>
  <c r="AK235" i="9"/>
  <c r="E277" i="8"/>
  <c r="AK226" i="9"/>
  <c r="S225" i="8"/>
  <c r="T225" i="8" s="1"/>
  <c r="AL225" i="9"/>
  <c r="AA230" i="9"/>
  <c r="T205" i="8"/>
  <c r="F148" i="8"/>
  <c r="S115" i="8"/>
  <c r="L115" i="9"/>
  <c r="AK115" i="9" s="1"/>
  <c r="AL115" i="9" s="1"/>
  <c r="AH122" i="9"/>
  <c r="AF122" i="9"/>
  <c r="AB122" i="9"/>
  <c r="AJ117" i="9"/>
  <c r="J116" i="9"/>
  <c r="J118" i="9"/>
  <c r="AA122" i="9"/>
  <c r="X122" i="9"/>
  <c r="D122" i="9"/>
  <c r="M122" i="9"/>
  <c r="F120" i="8"/>
  <c r="F111" i="8"/>
  <c r="E152" i="8"/>
  <c r="E243" i="8" s="1"/>
  <c r="F31" i="75" s="1"/>
  <c r="G122" i="8"/>
  <c r="AK225" i="6"/>
  <c r="AL225" i="6" s="1"/>
  <c r="K129" i="21"/>
  <c r="AK69" i="6"/>
  <c r="AL69" i="6" s="1"/>
  <c r="AK61" i="6"/>
  <c r="AL61" i="6" s="1"/>
  <c r="AK60" i="6"/>
  <c r="AL60" i="6" s="1"/>
  <c r="H149" i="8"/>
  <c r="I20" i="75" s="1"/>
  <c r="F149" i="8"/>
  <c r="AD273" i="6"/>
  <c r="AC273" i="6"/>
  <c r="J96" i="3"/>
  <c r="J118" i="3" s="1"/>
  <c r="J98" i="3"/>
  <c r="S176" i="2"/>
  <c r="AL105" i="3"/>
  <c r="L16" i="21"/>
  <c r="V87" i="3"/>
  <c r="T85" i="3"/>
  <c r="O68" i="3"/>
  <c r="S85" i="3"/>
  <c r="S106" i="2"/>
  <c r="T106" i="2" s="1"/>
  <c r="AL103" i="3"/>
  <c r="H140" i="2"/>
  <c r="K170" i="3"/>
  <c r="I147" i="3"/>
  <c r="I15" i="21" s="1"/>
  <c r="AI15" i="21" s="1"/>
  <c r="M16" i="20"/>
  <c r="M108" i="20" s="1"/>
  <c r="K16" i="20"/>
  <c r="K108" i="20" s="1"/>
  <c r="S89" i="2"/>
  <c r="S85" i="2"/>
  <c r="W87" i="3"/>
  <c r="U81" i="3"/>
  <c r="Q66" i="3"/>
  <c r="R85" i="3"/>
  <c r="AK46" i="3"/>
  <c r="AL46" i="3" s="1"/>
  <c r="D132" i="3"/>
  <c r="E94" i="2"/>
  <c r="AK47" i="3"/>
  <c r="AL47" i="3" s="1"/>
  <c r="S147" i="2"/>
  <c r="S44" i="2"/>
  <c r="T44" i="2" s="1"/>
  <c r="W68" i="3"/>
  <c r="R68" i="3"/>
  <c r="L37" i="29"/>
  <c r="I37" i="29"/>
  <c r="M37" i="29"/>
  <c r="J37" i="29"/>
  <c r="H37" i="29"/>
  <c r="L209" i="21"/>
  <c r="K37" i="25"/>
  <c r="T213" i="21"/>
  <c r="E33" i="57"/>
  <c r="E34" i="57"/>
  <c r="L214" i="21"/>
  <c r="J213" i="21"/>
  <c r="E54" i="30"/>
  <c r="G44" i="55"/>
  <c r="H44" i="55"/>
  <c r="K44" i="30"/>
  <c r="F44" i="30"/>
  <c r="R213" i="21"/>
  <c r="L216" i="21"/>
  <c r="E22" i="58"/>
  <c r="E34" i="61"/>
  <c r="E29" i="61"/>
  <c r="H37" i="61"/>
  <c r="I37" i="61"/>
  <c r="M37" i="61"/>
  <c r="E18" i="61"/>
  <c r="E39" i="29"/>
  <c r="E39" i="25"/>
  <c r="E45" i="57"/>
  <c r="E54" i="29"/>
  <c r="E30" i="55"/>
  <c r="K209" i="21"/>
  <c r="H44" i="30"/>
  <c r="E27" i="61"/>
  <c r="E30" i="61" s="1"/>
  <c r="Z213" i="21"/>
  <c r="E213" i="21"/>
  <c r="N213" i="21"/>
  <c r="E51" i="57"/>
  <c r="AN145" i="21"/>
  <c r="E54" i="55"/>
  <c r="E39" i="55"/>
  <c r="E46" i="30"/>
  <c r="N44" i="30"/>
  <c r="G44" i="30"/>
  <c r="W213" i="21"/>
  <c r="AA213" i="21"/>
  <c r="E29" i="57"/>
  <c r="L184" i="21"/>
  <c r="L186" i="21" s="1"/>
  <c r="AN138" i="21"/>
  <c r="E30" i="31"/>
  <c r="E20" i="61"/>
  <c r="AN46" i="21"/>
  <c r="E54" i="25"/>
  <c r="M44" i="25"/>
  <c r="K44" i="25"/>
  <c r="E46" i="25"/>
  <c r="H44" i="25"/>
  <c r="N44" i="25"/>
  <c r="E57" i="57"/>
  <c r="E58" i="57" s="1"/>
  <c r="AG216" i="21"/>
  <c r="E37" i="57"/>
  <c r="V216" i="21"/>
  <c r="E26" i="57"/>
  <c r="N216" i="21"/>
  <c r="J44" i="25"/>
  <c r="F44" i="25"/>
  <c r="H37" i="55"/>
  <c r="E30" i="25"/>
  <c r="AE216" i="21"/>
  <c r="E53" i="57"/>
  <c r="U216" i="21"/>
  <c r="E36" i="57"/>
  <c r="J37" i="55"/>
  <c r="I37" i="55"/>
  <c r="M37" i="55"/>
  <c r="K37" i="55"/>
  <c r="F37" i="55"/>
  <c r="E44" i="57"/>
  <c r="Y216" i="21"/>
  <c r="P216" i="21"/>
  <c r="E28" i="57"/>
  <c r="I44" i="25"/>
  <c r="N37" i="55"/>
  <c r="G37" i="55"/>
  <c r="L44" i="55"/>
  <c r="N44" i="55"/>
  <c r="F44" i="55"/>
  <c r="J44" i="55"/>
  <c r="K44" i="55"/>
  <c r="N37" i="25"/>
  <c r="G37" i="25"/>
  <c r="F37" i="25"/>
  <c r="M37" i="25"/>
  <c r="L37" i="25"/>
  <c r="E38" i="57"/>
  <c r="W216" i="21"/>
  <c r="E27" i="57"/>
  <c r="O216" i="21"/>
  <c r="E15" i="57"/>
  <c r="E18" i="57" s="1"/>
  <c r="I216" i="21"/>
  <c r="T216" i="21"/>
  <c r="E216" i="21"/>
  <c r="E196" i="21"/>
  <c r="E10" i="55" s="1"/>
  <c r="E18" i="55" s="1"/>
  <c r="E52" i="57"/>
  <c r="F44" i="31"/>
  <c r="L44" i="31"/>
  <c r="G44" i="31"/>
  <c r="H44" i="31"/>
  <c r="N44" i="31"/>
  <c r="I44" i="31"/>
  <c r="E46" i="31"/>
  <c r="J44" i="31"/>
  <c r="E39" i="31"/>
  <c r="E41" i="31" s="1"/>
  <c r="E39" i="30"/>
  <c r="E41" i="30" s="1"/>
  <c r="D134" i="21"/>
  <c r="D181" i="21" s="1"/>
  <c r="AK134" i="21"/>
  <c r="AN134" i="21" s="1"/>
  <c r="I44" i="29"/>
  <c r="J44" i="29"/>
  <c r="E46" i="29"/>
  <c r="H44" i="29"/>
  <c r="F44" i="29"/>
  <c r="N44" i="29"/>
  <c r="G44" i="29"/>
  <c r="L44" i="29"/>
  <c r="E30" i="29"/>
  <c r="E41" i="29" s="1"/>
  <c r="M44" i="29"/>
  <c r="I37" i="30"/>
  <c r="N37" i="30"/>
  <c r="K37" i="30"/>
  <c r="F37" i="30"/>
  <c r="J37" i="30"/>
  <c r="H37" i="30"/>
  <c r="G37" i="30"/>
  <c r="L37" i="30"/>
  <c r="H37" i="31"/>
  <c r="N37" i="31"/>
  <c r="K37" i="31"/>
  <c r="I37" i="31"/>
  <c r="J37" i="31"/>
  <c r="L37" i="31"/>
  <c r="G37" i="31"/>
  <c r="F37" i="31"/>
  <c r="K215" i="21"/>
  <c r="F37" i="29"/>
  <c r="K37" i="29"/>
  <c r="E57" i="61"/>
  <c r="E58" i="61" s="1"/>
  <c r="AG213" i="21"/>
  <c r="E52" i="61"/>
  <c r="AD213" i="21"/>
  <c r="E44" i="61"/>
  <c r="Y213" i="21"/>
  <c r="F37" i="61"/>
  <c r="G37" i="61"/>
  <c r="L37" i="61"/>
  <c r="J37" i="61"/>
  <c r="K37" i="61"/>
  <c r="AK181" i="21"/>
  <c r="N37" i="29"/>
  <c r="G37" i="29"/>
  <c r="N37" i="61"/>
  <c r="E53" i="61"/>
  <c r="AE213" i="21"/>
  <c r="E39" i="61"/>
  <c r="AN50" i="21"/>
  <c r="O181" i="20"/>
  <c r="AM181" i="21"/>
  <c r="E196" i="20"/>
  <c r="C196" i="20" s="1"/>
  <c r="AM196" i="21" s="1"/>
  <c r="G150" i="20"/>
  <c r="F261" i="15"/>
  <c r="H261" i="15" s="1"/>
  <c r="D274" i="15"/>
  <c r="AK231" i="16"/>
  <c r="AL231" i="16" s="1"/>
  <c r="L238" i="16"/>
  <c r="E148" i="15"/>
  <c r="E150" i="15" s="1"/>
  <c r="E152" i="15" s="1"/>
  <c r="E242" i="15" s="1"/>
  <c r="F142" i="15"/>
  <c r="E149" i="15"/>
  <c r="F19" i="75" s="1"/>
  <c r="H239" i="15"/>
  <c r="I237" i="15"/>
  <c r="P237" i="15" s="1"/>
  <c r="H128" i="15"/>
  <c r="I128" i="15" s="1"/>
  <c r="F137" i="15"/>
  <c r="G22" i="75" s="1"/>
  <c r="F136" i="15"/>
  <c r="L109" i="16"/>
  <c r="AL109" i="16" s="1"/>
  <c r="AJ146" i="16"/>
  <c r="AJ104" i="16"/>
  <c r="AJ261" i="16"/>
  <c r="S20" i="15"/>
  <c r="T20" i="15" s="1"/>
  <c r="Q208" i="15"/>
  <c r="Q210" i="15" s="1"/>
  <c r="H208" i="15"/>
  <c r="H210" i="15" s="1"/>
  <c r="P105" i="15"/>
  <c r="P111" i="15" s="1"/>
  <c r="K105" i="15"/>
  <c r="L105" i="16" s="1"/>
  <c r="AL105" i="16" s="1"/>
  <c r="M105" i="15"/>
  <c r="M111" i="15" s="1"/>
  <c r="M122" i="15" s="1"/>
  <c r="AH228" i="16"/>
  <c r="AH240" i="16" s="1"/>
  <c r="F193" i="15"/>
  <c r="AA238" i="16"/>
  <c r="AA240" i="16" s="1"/>
  <c r="M239" i="16"/>
  <c r="M111" i="16"/>
  <c r="L137" i="16"/>
  <c r="H227" i="15"/>
  <c r="H230" i="15" s="1"/>
  <c r="F229" i="15"/>
  <c r="F241" i="15" s="1"/>
  <c r="I224" i="15"/>
  <c r="AJ223" i="16" s="1"/>
  <c r="AL223" i="16" s="1"/>
  <c r="T224" i="15"/>
  <c r="AJ105" i="16"/>
  <c r="D120" i="16"/>
  <c r="D122" i="16" s="1"/>
  <c r="X239" i="16"/>
  <c r="X238" i="16"/>
  <c r="X229" i="16"/>
  <c r="X228" i="16"/>
  <c r="M229" i="16"/>
  <c r="M228" i="16"/>
  <c r="M240" i="16" s="1"/>
  <c r="M120" i="16"/>
  <c r="M122" i="16" s="1"/>
  <c r="AK225" i="16"/>
  <c r="L228" i="16"/>
  <c r="F239" i="15"/>
  <c r="F221" i="15"/>
  <c r="F120" i="15"/>
  <c r="D238" i="16"/>
  <c r="D240" i="16" s="1"/>
  <c r="G161" i="15"/>
  <c r="G165" i="15" s="1"/>
  <c r="F165" i="15"/>
  <c r="F178" i="15"/>
  <c r="G178" i="15"/>
  <c r="D210" i="15"/>
  <c r="G206" i="15"/>
  <c r="F111" i="15"/>
  <c r="M38" i="35"/>
  <c r="M25" i="33" s="1"/>
  <c r="F38" i="35"/>
  <c r="E22" i="35"/>
  <c r="N37" i="35"/>
  <c r="M14" i="34"/>
  <c r="M15" i="34"/>
  <c r="M19" i="34" s="1"/>
  <c r="M21" i="34" s="1"/>
  <c r="M32" i="33" s="1"/>
  <c r="H38" i="35"/>
  <c r="H25" i="33" s="1"/>
  <c r="M36" i="35"/>
  <c r="P17" i="18"/>
  <c r="D15" i="18"/>
  <c r="P15" i="18" s="1"/>
  <c r="F71" i="20"/>
  <c r="E57" i="20"/>
  <c r="C57" i="20" s="1"/>
  <c r="E147" i="20"/>
  <c r="C147" i="20" s="1"/>
  <c r="F220" i="20"/>
  <c r="D71" i="20"/>
  <c r="D72" i="20" s="1"/>
  <c r="O192" i="20"/>
  <c r="L55" i="21"/>
  <c r="AH15" i="19"/>
  <c r="AH57" i="21" s="1"/>
  <c r="AH71" i="21" s="1"/>
  <c r="AH72" i="21" s="1"/>
  <c r="AB15" i="19"/>
  <c r="AB57" i="21" s="1"/>
  <c r="AB71" i="21" s="1"/>
  <c r="AB72" i="21" s="1"/>
  <c r="X15" i="19"/>
  <c r="X57" i="21" s="1"/>
  <c r="X71" i="21" s="1"/>
  <c r="X72" i="21" s="1"/>
  <c r="E59" i="20"/>
  <c r="C59" i="20" s="1"/>
  <c r="L15" i="19"/>
  <c r="L57" i="21" s="1"/>
  <c r="L71" i="21" s="1"/>
  <c r="L72" i="21" s="1"/>
  <c r="D15" i="19"/>
  <c r="D57" i="21" s="1"/>
  <c r="D71" i="21" s="1"/>
  <c r="D72" i="21" s="1"/>
  <c r="AE273" i="9"/>
  <c r="Y273" i="9"/>
  <c r="I36" i="12"/>
  <c r="AJ34" i="13"/>
  <c r="S32" i="12"/>
  <c r="T32" i="12" s="1"/>
  <c r="D32" i="13"/>
  <c r="J34" i="12"/>
  <c r="AJ55" i="21"/>
  <c r="T263" i="8"/>
  <c r="H34" i="12"/>
  <c r="H36" i="12" s="1"/>
  <c r="H47" i="12" s="1"/>
  <c r="D34" i="12"/>
  <c r="D36" i="12" s="1"/>
  <c r="D47" i="12" s="1"/>
  <c r="K31" i="66"/>
  <c r="G211" i="8"/>
  <c r="F34" i="12"/>
  <c r="F36" i="12" s="1"/>
  <c r="F47" i="12" s="1"/>
  <c r="AJ190" i="21"/>
  <c r="H82" i="12"/>
  <c r="D55" i="20"/>
  <c r="H31" i="33"/>
  <c r="H24" i="33"/>
  <c r="E24" i="33" s="1"/>
  <c r="H15" i="34"/>
  <c r="H19" i="34" s="1"/>
  <c r="H21" i="34" s="1"/>
  <c r="H32" i="33" s="1"/>
  <c r="M37" i="35"/>
  <c r="E30" i="35"/>
  <c r="M22" i="27"/>
  <c r="E18" i="33"/>
  <c r="M22" i="22" s="1"/>
  <c r="K22" i="61"/>
  <c r="I22" i="23"/>
  <c r="M22" i="59"/>
  <c r="I22" i="31"/>
  <c r="K68" i="36"/>
  <c r="F77" i="20"/>
  <c r="J89" i="21"/>
  <c r="J77" i="21" s="1"/>
  <c r="J55" i="60"/>
  <c r="J51" i="35"/>
  <c r="N68" i="36"/>
  <c r="G68" i="36"/>
  <c r="G17" i="29"/>
  <c r="N55" i="60"/>
  <c r="N51" i="35"/>
  <c r="I138" i="36"/>
  <c r="I72" i="36"/>
  <c r="I73" i="36" s="1"/>
  <c r="E13" i="33"/>
  <c r="G17" i="57" s="1"/>
  <c r="L46" i="60"/>
  <c r="L47" i="60"/>
  <c r="I51" i="35"/>
  <c r="I55" i="60"/>
  <c r="L51" i="35"/>
  <c r="G55" i="60"/>
  <c r="G46" i="60" s="1"/>
  <c r="S46" i="60" s="1"/>
  <c r="H55" i="60"/>
  <c r="K47" i="60"/>
  <c r="I17" i="31"/>
  <c r="M46" i="60"/>
  <c r="F17" i="61"/>
  <c r="H73" i="36"/>
  <c r="H51" i="35"/>
  <c r="J73" i="36"/>
  <c r="N49" i="33"/>
  <c r="N48" i="33"/>
  <c r="N53" i="33"/>
  <c r="G48" i="33"/>
  <c r="G49" i="33"/>
  <c r="G53" i="33"/>
  <c r="G34" i="33"/>
  <c r="E34" i="33" s="1"/>
  <c r="E11" i="33"/>
  <c r="G15" i="29" s="1"/>
  <c r="M48" i="33"/>
  <c r="M53" i="33"/>
  <c r="M15" i="25"/>
  <c r="M15" i="61"/>
  <c r="H49" i="33"/>
  <c r="H48" i="33"/>
  <c r="E59" i="35"/>
  <c r="E10" i="33"/>
  <c r="J16" i="33" s="1"/>
  <c r="G35" i="35"/>
  <c r="K35" i="35"/>
  <c r="E28" i="35"/>
  <c r="E29" i="35"/>
  <c r="E34" i="35"/>
  <c r="I35" i="35"/>
  <c r="F25" i="33"/>
  <c r="E21" i="35"/>
  <c r="N12" i="35"/>
  <c r="N12" i="34" s="1"/>
  <c r="E12" i="34" s="1"/>
  <c r="N35" i="35"/>
  <c r="N13" i="35"/>
  <c r="N13" i="34" s="1"/>
  <c r="N36" i="35"/>
  <c r="N15" i="35"/>
  <c r="E15" i="35" s="1"/>
  <c r="N38" i="35"/>
  <c r="N25" i="33" s="1"/>
  <c r="E23" i="35"/>
  <c r="N14" i="34"/>
  <c r="N29" i="33"/>
  <c r="J37" i="35"/>
  <c r="J23" i="33"/>
  <c r="M23" i="33"/>
  <c r="G38" i="35"/>
  <c r="G25" i="33" s="1"/>
  <c r="E20" i="35"/>
  <c r="F35" i="35"/>
  <c r="K36" i="35"/>
  <c r="K22" i="33"/>
  <c r="J29" i="34"/>
  <c r="J31" i="34" s="1"/>
  <c r="J41" i="33" s="1"/>
  <c r="J41" i="34"/>
  <c r="J43" i="34" s="1"/>
  <c r="J47" i="33" s="1"/>
  <c r="J35" i="34"/>
  <c r="J37" i="34" s="1"/>
  <c r="J44" i="33" s="1"/>
  <c r="F29" i="34"/>
  <c r="F41" i="34"/>
  <c r="F35" i="34"/>
  <c r="K14" i="34"/>
  <c r="K29" i="33"/>
  <c r="M29" i="34"/>
  <c r="M31" i="34" s="1"/>
  <c r="M41" i="33" s="1"/>
  <c r="M41" i="34"/>
  <c r="M43" i="34" s="1"/>
  <c r="M47" i="33" s="1"/>
  <c r="M35" i="34"/>
  <c r="M37" i="34" s="1"/>
  <c r="M44" i="33" s="1"/>
  <c r="G41" i="34"/>
  <c r="G43" i="34" s="1"/>
  <c r="G47" i="33" s="1"/>
  <c r="G29" i="34"/>
  <c r="G31" i="34" s="1"/>
  <c r="G41" i="33" s="1"/>
  <c r="G35" i="34"/>
  <c r="G37" i="34" s="1"/>
  <c r="G44" i="33" s="1"/>
  <c r="F19" i="34"/>
  <c r="I41" i="34"/>
  <c r="I43" i="34" s="1"/>
  <c r="I47" i="33" s="1"/>
  <c r="I35" i="34"/>
  <c r="I37" i="34" s="1"/>
  <c r="I44" i="33" s="1"/>
  <c r="I29" i="34"/>
  <c r="I31" i="34" s="1"/>
  <c r="I41" i="33" s="1"/>
  <c r="G31" i="33"/>
  <c r="G15" i="34"/>
  <c r="G19" i="34" s="1"/>
  <c r="G21" i="34" s="1"/>
  <c r="G32" i="33" s="1"/>
  <c r="J29" i="33"/>
  <c r="J14" i="34"/>
  <c r="E14" i="35"/>
  <c r="G29" i="33"/>
  <c r="M13" i="34"/>
  <c r="E13" i="35"/>
  <c r="K41" i="34"/>
  <c r="K43" i="34" s="1"/>
  <c r="K47" i="33" s="1"/>
  <c r="K35" i="34"/>
  <c r="K37" i="34" s="1"/>
  <c r="K44" i="33" s="1"/>
  <c r="K29" i="34"/>
  <c r="K31" i="34" s="1"/>
  <c r="K41" i="33" s="1"/>
  <c r="AK78" i="21"/>
  <c r="AN78" i="21" s="1"/>
  <c r="D127" i="20"/>
  <c r="L82" i="21"/>
  <c r="AK82" i="21" s="1"/>
  <c r="AN82" i="21" s="1"/>
  <c r="D77" i="21"/>
  <c r="G152" i="20"/>
  <c r="G159" i="20" s="1"/>
  <c r="G151" i="20"/>
  <c r="G197" i="20"/>
  <c r="E149" i="20"/>
  <c r="AH216" i="21"/>
  <c r="E60" i="57"/>
  <c r="AN84" i="21"/>
  <c r="AK157" i="21"/>
  <c r="C157" i="20"/>
  <c r="AM157" i="21" s="1"/>
  <c r="AJ208" i="21"/>
  <c r="E220" i="20"/>
  <c r="F142" i="20"/>
  <c r="F189" i="20" s="1"/>
  <c r="F190" i="20" s="1"/>
  <c r="AJ143" i="21"/>
  <c r="D141" i="20"/>
  <c r="P236" i="15"/>
  <c r="AL237" i="16"/>
  <c r="AJ233" i="16"/>
  <c r="AL233" i="16" s="1"/>
  <c r="I269" i="15"/>
  <c r="AJ266" i="16"/>
  <c r="J267" i="15"/>
  <c r="I264" i="15"/>
  <c r="J272" i="15"/>
  <c r="AJ271" i="16"/>
  <c r="AJ252" i="16"/>
  <c r="H274" i="15"/>
  <c r="I260" i="15"/>
  <c r="I258" i="15"/>
  <c r="I257" i="15"/>
  <c r="I252" i="15"/>
  <c r="I256" i="15"/>
  <c r="I250" i="15"/>
  <c r="F274" i="15"/>
  <c r="P235" i="15"/>
  <c r="P239" i="15" s="1"/>
  <c r="S239" i="15" s="1"/>
  <c r="T239" i="15" s="1"/>
  <c r="AJ234" i="16"/>
  <c r="I239" i="15"/>
  <c r="AF233" i="16"/>
  <c r="S234" i="15"/>
  <c r="T234" i="15" s="1"/>
  <c r="P240" i="15"/>
  <c r="S240" i="15" s="1"/>
  <c r="S237" i="15"/>
  <c r="T237" i="15" s="1"/>
  <c r="AF236" i="16"/>
  <c r="AG236" i="16" s="1"/>
  <c r="AK236" i="16" s="1"/>
  <c r="I240" i="15"/>
  <c r="AJ236" i="16"/>
  <c r="H240" i="15"/>
  <c r="T225" i="15"/>
  <c r="I225" i="15"/>
  <c r="AJ224" i="16" s="1"/>
  <c r="AL224" i="16" s="1"/>
  <c r="I227" i="15"/>
  <c r="I226" i="15"/>
  <c r="D241" i="15"/>
  <c r="D276" i="15" s="1"/>
  <c r="AJ218" i="16"/>
  <c r="AL218" i="16" s="1"/>
  <c r="L219" i="15"/>
  <c r="I218" i="15"/>
  <c r="F206" i="15"/>
  <c r="F208" i="15" s="1"/>
  <c r="G193" i="15"/>
  <c r="G208" i="15" s="1"/>
  <c r="G210" i="15" s="1"/>
  <c r="I144" i="15"/>
  <c r="I145" i="15"/>
  <c r="X146" i="16"/>
  <c r="S146" i="15"/>
  <c r="T146" i="15" s="1"/>
  <c r="I139" i="15"/>
  <c r="AJ147" i="16"/>
  <c r="N141" i="15"/>
  <c r="AA141" i="16" s="1"/>
  <c r="AA149" i="16" s="1"/>
  <c r="Q141" i="15"/>
  <c r="M141" i="15"/>
  <c r="O141" i="15"/>
  <c r="P141" i="15"/>
  <c r="P149" i="15" s="1"/>
  <c r="Q19" i="75" s="1"/>
  <c r="AJ141" i="16"/>
  <c r="L141" i="15"/>
  <c r="M141" i="16" s="1"/>
  <c r="I143" i="15"/>
  <c r="L140" i="15"/>
  <c r="AJ140" i="16"/>
  <c r="AL140" i="16" s="1"/>
  <c r="D150" i="15"/>
  <c r="AJ134" i="16"/>
  <c r="H136" i="15"/>
  <c r="I126" i="15"/>
  <c r="I133" i="15"/>
  <c r="I132" i="15"/>
  <c r="N128" i="15"/>
  <c r="O128" i="15"/>
  <c r="AJ128" i="16"/>
  <c r="M128" i="15"/>
  <c r="Q128" i="15"/>
  <c r="L128" i="15"/>
  <c r="M128" i="16" s="1"/>
  <c r="Q128" i="16" s="1"/>
  <c r="P128" i="15"/>
  <c r="J128" i="15"/>
  <c r="I130" i="15"/>
  <c r="I129" i="15"/>
  <c r="I135" i="15"/>
  <c r="I131" i="15"/>
  <c r="H137" i="15"/>
  <c r="I22" i="75" s="1"/>
  <c r="I127" i="15"/>
  <c r="I117" i="15"/>
  <c r="I114" i="15"/>
  <c r="O116" i="15"/>
  <c r="AB116" i="16" s="1"/>
  <c r="AB120" i="16" s="1"/>
  <c r="AJ116" i="16"/>
  <c r="K116" i="15"/>
  <c r="M116" i="15"/>
  <c r="X116" i="16" s="1"/>
  <c r="X120" i="16" s="1"/>
  <c r="Q116" i="15"/>
  <c r="AH116" i="16" s="1"/>
  <c r="AH120" i="16" s="1"/>
  <c r="P116" i="15"/>
  <c r="AF116" i="16" s="1"/>
  <c r="AF120" i="16" s="1"/>
  <c r="N116" i="15"/>
  <c r="AA116" i="16" s="1"/>
  <c r="AA120" i="16" s="1"/>
  <c r="I118" i="15"/>
  <c r="I119" i="15"/>
  <c r="H115" i="15"/>
  <c r="F122" i="15"/>
  <c r="I110" i="15"/>
  <c r="H111" i="15"/>
  <c r="S108" i="15"/>
  <c r="T108" i="15" s="1"/>
  <c r="L108" i="16"/>
  <c r="S104" i="15"/>
  <c r="T104" i="15" s="1"/>
  <c r="L104" i="16"/>
  <c r="AL104" i="16" s="1"/>
  <c r="S107" i="15"/>
  <c r="T107" i="15" s="1"/>
  <c r="L107" i="16"/>
  <c r="AJ108" i="16"/>
  <c r="AJ107" i="16"/>
  <c r="K106" i="15"/>
  <c r="I103" i="15"/>
  <c r="O105" i="15"/>
  <c r="O111" i="15" s="1"/>
  <c r="O122" i="15" s="1"/>
  <c r="Q105" i="15"/>
  <c r="S50" i="15"/>
  <c r="T50" i="15" s="1"/>
  <c r="D152" i="15"/>
  <c r="S28" i="15"/>
  <c r="T28" i="15" s="1"/>
  <c r="S18" i="15"/>
  <c r="T18" i="15" s="1"/>
  <c r="M248" i="15"/>
  <c r="X247" i="16" s="1"/>
  <c r="P248" i="15"/>
  <c r="AF247" i="16" s="1"/>
  <c r="Q248" i="15"/>
  <c r="AH247" i="16" s="1"/>
  <c r="AJ247" i="16"/>
  <c r="K248" i="15"/>
  <c r="L247" i="16" s="1"/>
  <c r="L248" i="15"/>
  <c r="M247" i="16" s="1"/>
  <c r="N248" i="15"/>
  <c r="AA247" i="16" s="1"/>
  <c r="O248" i="15"/>
  <c r="AB247" i="16" s="1"/>
  <c r="AJ269" i="9"/>
  <c r="T273" i="8"/>
  <c r="T269" i="8"/>
  <c r="I270" i="8"/>
  <c r="AJ264" i="9"/>
  <c r="AJ273" i="9"/>
  <c r="AJ274" i="9"/>
  <c r="AJ271" i="9"/>
  <c r="L267" i="8"/>
  <c r="T265" i="8"/>
  <c r="Q253" i="8"/>
  <c r="AH253" i="9" s="1"/>
  <c r="M253" i="8"/>
  <c r="X253" i="9" s="1"/>
  <c r="L253" i="8"/>
  <c r="M253" i="9" s="1"/>
  <c r="P253" i="8"/>
  <c r="AF253" i="9" s="1"/>
  <c r="K253" i="8"/>
  <c r="L253" i="9" s="1"/>
  <c r="O253" i="8"/>
  <c r="AB253" i="9" s="1"/>
  <c r="N253" i="8"/>
  <c r="AA253" i="9" s="1"/>
  <c r="AJ253" i="9"/>
  <c r="AJ259" i="9"/>
  <c r="I251" i="8"/>
  <c r="AJ261" i="9"/>
  <c r="P249" i="8"/>
  <c r="AF249" i="9" s="1"/>
  <c r="AJ249" i="9"/>
  <c r="Q249" i="8"/>
  <c r="AH249" i="9" s="1"/>
  <c r="L249" i="8"/>
  <c r="M249" i="9" s="1"/>
  <c r="M249" i="8"/>
  <c r="X249" i="9" s="1"/>
  <c r="K249" i="8"/>
  <c r="L249" i="9" s="1"/>
  <c r="O249" i="8"/>
  <c r="AB249" i="9" s="1"/>
  <c r="N249" i="8"/>
  <c r="AA249" i="9" s="1"/>
  <c r="AJ250" i="9"/>
  <c r="S256" i="8"/>
  <c r="T256" i="8" s="1"/>
  <c r="P238" i="8"/>
  <c r="AJ238" i="9"/>
  <c r="I241" i="8"/>
  <c r="AJ235" i="9"/>
  <c r="P235" i="8"/>
  <c r="I233" i="8"/>
  <c r="H240" i="8"/>
  <c r="AF239" i="9"/>
  <c r="AG239" i="9" s="1"/>
  <c r="AK239" i="9" s="1"/>
  <c r="AL239" i="9" s="1"/>
  <c r="S239" i="8"/>
  <c r="T239" i="8" s="1"/>
  <c r="AF237" i="9"/>
  <c r="AG237" i="9" s="1"/>
  <c r="AK237" i="9" s="1"/>
  <c r="S237" i="8"/>
  <c r="T237" i="8" s="1"/>
  <c r="I236" i="8"/>
  <c r="F240" i="8"/>
  <c r="F242" i="8" s="1"/>
  <c r="AJ237" i="9"/>
  <c r="AJ226" i="9"/>
  <c r="AL226" i="9" s="1"/>
  <c r="AJ228" i="9"/>
  <c r="AL228" i="9" s="1"/>
  <c r="L228" i="8"/>
  <c r="I227" i="8"/>
  <c r="H231" i="8"/>
  <c r="G229" i="8"/>
  <c r="H229" i="8" s="1"/>
  <c r="G221" i="8"/>
  <c r="G222" i="8" s="1"/>
  <c r="H17" i="75"/>
  <c r="I223" i="8"/>
  <c r="J17" i="75" s="1"/>
  <c r="AJ218" i="9"/>
  <c r="M218" i="8"/>
  <c r="M220" i="9"/>
  <c r="S220" i="8"/>
  <c r="T220" i="8" s="1"/>
  <c r="AJ217" i="9"/>
  <c r="AJ220" i="9"/>
  <c r="AL220" i="9" s="1"/>
  <c r="H221" i="8"/>
  <c r="H222" i="8" s="1"/>
  <c r="H223" i="8"/>
  <c r="I17" i="75" s="1"/>
  <c r="T198" i="8"/>
  <c r="I202" i="8"/>
  <c r="T202" i="8"/>
  <c r="T204" i="8"/>
  <c r="I204" i="8"/>
  <c r="F209" i="8"/>
  <c r="H209" i="8" s="1"/>
  <c r="T209" i="8" s="1"/>
  <c r="T201" i="8"/>
  <c r="T199" i="8"/>
  <c r="T189" i="8"/>
  <c r="T193" i="8"/>
  <c r="I193" i="8"/>
  <c r="I184" i="8"/>
  <c r="T184" i="8"/>
  <c r="T190" i="8"/>
  <c r="I190" i="8"/>
  <c r="T187" i="8"/>
  <c r="H194" i="8"/>
  <c r="T194" i="8" s="1"/>
  <c r="T191" i="8"/>
  <c r="I176" i="8"/>
  <c r="I177" i="8" s="1"/>
  <c r="I179" i="8" s="1"/>
  <c r="H179" i="8"/>
  <c r="F179" i="8"/>
  <c r="I161" i="8"/>
  <c r="I165" i="8" s="1"/>
  <c r="T161" i="8"/>
  <c r="H165" i="8"/>
  <c r="T162" i="8"/>
  <c r="G20" i="75"/>
  <c r="L145" i="8"/>
  <c r="AJ145" i="9"/>
  <c r="L141" i="8"/>
  <c r="AJ141" i="9"/>
  <c r="AJ142" i="9"/>
  <c r="L142" i="8"/>
  <c r="L143" i="8"/>
  <c r="AJ143" i="9"/>
  <c r="L144" i="8"/>
  <c r="AJ144" i="9"/>
  <c r="H148" i="8"/>
  <c r="I147" i="8"/>
  <c r="AJ139" i="9"/>
  <c r="I140" i="8"/>
  <c r="I146" i="8"/>
  <c r="G152" i="8"/>
  <c r="M135" i="9"/>
  <c r="S135" i="8"/>
  <c r="T135" i="8" s="1"/>
  <c r="I126" i="8"/>
  <c r="I133" i="8"/>
  <c r="I129" i="8"/>
  <c r="I128" i="8"/>
  <c r="X137" i="9"/>
  <c r="Y132" i="9"/>
  <c r="Z132" i="9"/>
  <c r="Z137" i="9" s="1"/>
  <c r="G23" i="75"/>
  <c r="S132" i="8"/>
  <c r="F136" i="8"/>
  <c r="H127" i="8"/>
  <c r="I131" i="8"/>
  <c r="H134" i="8"/>
  <c r="M137" i="8"/>
  <c r="N23" i="75" s="1"/>
  <c r="K114" i="8"/>
  <c r="AJ114" i="9"/>
  <c r="AJ116" i="9"/>
  <c r="K116" i="8"/>
  <c r="T115" i="8"/>
  <c r="I118" i="8"/>
  <c r="H119" i="8"/>
  <c r="S117" i="8"/>
  <c r="T117" i="8" s="1"/>
  <c r="AJ107" i="9"/>
  <c r="K107" i="8"/>
  <c r="AJ109" i="9"/>
  <c r="K109" i="8"/>
  <c r="F122" i="8"/>
  <c r="I110" i="8"/>
  <c r="AJ105" i="9"/>
  <c r="K105" i="8"/>
  <c r="K104" i="8"/>
  <c r="AJ104" i="9"/>
  <c r="AJ108" i="9"/>
  <c r="K108" i="8"/>
  <c r="K103" i="8"/>
  <c r="AJ103" i="9"/>
  <c r="H106" i="8"/>
  <c r="H111" i="8" s="1"/>
  <c r="AJ95" i="9"/>
  <c r="AJ93" i="9"/>
  <c r="AJ84" i="9"/>
  <c r="AJ86" i="9" s="1"/>
  <c r="AJ85" i="9"/>
  <c r="AJ78" i="9"/>
  <c r="S77" i="8"/>
  <c r="T77" i="8" s="1"/>
  <c r="AJ74" i="9"/>
  <c r="AJ77" i="9"/>
  <c r="AJ51" i="9"/>
  <c r="AJ48" i="9"/>
  <c r="AJ39" i="9"/>
  <c r="AJ40" i="9"/>
  <c r="AJ37" i="9"/>
  <c r="D152" i="8"/>
  <c r="S41" i="8"/>
  <c r="AJ25" i="9"/>
  <c r="AJ30" i="9"/>
  <c r="AL30" i="9" s="1"/>
  <c r="S26" i="8"/>
  <c r="T26" i="8" s="1"/>
  <c r="AJ28" i="9"/>
  <c r="AJ13" i="9"/>
  <c r="AJ19" i="9"/>
  <c r="AJ20" i="9"/>
  <c r="AL20" i="9" s="1"/>
  <c r="AJ16" i="9"/>
  <c r="L240" i="6"/>
  <c r="P239" i="5"/>
  <c r="AJ239" i="6"/>
  <c r="T234" i="5"/>
  <c r="L229" i="6"/>
  <c r="L230" i="6" s="1"/>
  <c r="K230" i="5"/>
  <c r="K219" i="5"/>
  <c r="P219" i="5"/>
  <c r="Q219" i="5"/>
  <c r="Q223" i="5" s="1"/>
  <c r="R15" i="75" s="1"/>
  <c r="O219" i="5"/>
  <c r="O223" i="5" s="1"/>
  <c r="P15" i="75" s="1"/>
  <c r="N219" i="5"/>
  <c r="M229" i="6"/>
  <c r="M230" i="6" s="1"/>
  <c r="AH229" i="6"/>
  <c r="AH230" i="6" s="1"/>
  <c r="Q230" i="5"/>
  <c r="AG230" i="6"/>
  <c r="Q21" i="75"/>
  <c r="AF120" i="6"/>
  <c r="AF122" i="6" s="1"/>
  <c r="AJ42" i="21"/>
  <c r="AJ130" i="21" s="1"/>
  <c r="AJ177" i="21" s="1"/>
  <c r="D42" i="20"/>
  <c r="D130" i="20" s="1"/>
  <c r="D177" i="20" s="1"/>
  <c r="F240" i="5"/>
  <c r="D242" i="5"/>
  <c r="L219" i="6"/>
  <c r="K223" i="5"/>
  <c r="L15" i="75" s="1"/>
  <c r="L219" i="5"/>
  <c r="J219" i="5"/>
  <c r="F223" i="5"/>
  <c r="H218" i="5"/>
  <c r="I218" i="5" s="1"/>
  <c r="M218" i="5" s="1"/>
  <c r="O219" i="8"/>
  <c r="AB219" i="9" s="1"/>
  <c r="AC219" i="9" s="1"/>
  <c r="AJ219" i="6"/>
  <c r="M219" i="5"/>
  <c r="X219" i="6" s="1"/>
  <c r="F194" i="5"/>
  <c r="F179" i="5"/>
  <c r="G165" i="5"/>
  <c r="D39" i="20" s="1"/>
  <c r="F165" i="5"/>
  <c r="F137" i="5"/>
  <c r="G21" i="75" s="1"/>
  <c r="F136" i="5"/>
  <c r="F120" i="5"/>
  <c r="AJ47" i="6"/>
  <c r="AJ30" i="6"/>
  <c r="AL30" i="6" s="1"/>
  <c r="S154" i="2"/>
  <c r="AF17" i="21"/>
  <c r="AJ26" i="6"/>
  <c r="S49" i="5"/>
  <c r="T49" i="5" s="1"/>
  <c r="AK56" i="9"/>
  <c r="AL56" i="9" s="1"/>
  <c r="AK61" i="9"/>
  <c r="AL61" i="9" s="1"/>
  <c r="AK58" i="6"/>
  <c r="AL58" i="6" s="1"/>
  <c r="AK59" i="9"/>
  <c r="AL59" i="9" s="1"/>
  <c r="AK59" i="6"/>
  <c r="AL59" i="6" s="1"/>
  <c r="AK68" i="9"/>
  <c r="AL68" i="9" s="1"/>
  <c r="AK67" i="6"/>
  <c r="AL67" i="6" s="1"/>
  <c r="AK65" i="9"/>
  <c r="AL65" i="9" s="1"/>
  <c r="AK69" i="9"/>
  <c r="AL69" i="9" s="1"/>
  <c r="AK66" i="9"/>
  <c r="AL66" i="9" s="1"/>
  <c r="AK65" i="6"/>
  <c r="AL65" i="6" s="1"/>
  <c r="AJ78" i="6"/>
  <c r="AJ96" i="6"/>
  <c r="AJ95" i="6"/>
  <c r="AJ128" i="6"/>
  <c r="L128" i="5"/>
  <c r="M128" i="6" s="1"/>
  <c r="P128" i="6" s="1"/>
  <c r="K120" i="9"/>
  <c r="K122" i="9" s="1"/>
  <c r="H164" i="5"/>
  <c r="H162" i="5"/>
  <c r="H172" i="5"/>
  <c r="I172" i="5" s="1"/>
  <c r="H174" i="5"/>
  <c r="I174" i="5" s="1"/>
  <c r="T183" i="5"/>
  <c r="I183" i="5"/>
  <c r="H202" i="5"/>
  <c r="I202" i="5" s="1"/>
  <c r="F207" i="5"/>
  <c r="AB219" i="6"/>
  <c r="S219" i="5"/>
  <c r="T219" i="5" s="1"/>
  <c r="F222" i="5"/>
  <c r="N223" i="5"/>
  <c r="O15" i="75" s="1"/>
  <c r="AJ266" i="6"/>
  <c r="I267" i="5"/>
  <c r="AJ267" i="6" s="1"/>
  <c r="T267" i="5"/>
  <c r="I269" i="5"/>
  <c r="AJ269" i="6" s="1"/>
  <c r="T269" i="5"/>
  <c r="S255" i="5"/>
  <c r="T255" i="5" s="1"/>
  <c r="AF137" i="6"/>
  <c r="AF149" i="6"/>
  <c r="M270" i="5"/>
  <c r="X270" i="6" s="1"/>
  <c r="K270" i="5"/>
  <c r="L270" i="6" s="1"/>
  <c r="P270" i="5"/>
  <c r="AF270" i="6" s="1"/>
  <c r="L270" i="5"/>
  <c r="M270" i="6" s="1"/>
  <c r="AJ258" i="6"/>
  <c r="T268" i="5"/>
  <c r="H268" i="8"/>
  <c r="I268" i="5"/>
  <c r="AJ268" i="6" s="1"/>
  <c r="I263" i="5"/>
  <c r="AJ263" i="6" s="1"/>
  <c r="T263" i="5"/>
  <c r="I272" i="5"/>
  <c r="L272" i="5" s="1"/>
  <c r="M272" i="6" s="1"/>
  <c r="AJ271" i="6"/>
  <c r="T273" i="5"/>
  <c r="I273" i="5"/>
  <c r="AJ273" i="6" s="1"/>
  <c r="AJ274" i="6"/>
  <c r="F272" i="8"/>
  <c r="AJ270" i="6"/>
  <c r="O270" i="5"/>
  <c r="AB270" i="6" s="1"/>
  <c r="Q270" i="5"/>
  <c r="AH270" i="6" s="1"/>
  <c r="AK42" i="21"/>
  <c r="T265" i="5"/>
  <c r="N270" i="5"/>
  <c r="AA270" i="6" s="1"/>
  <c r="AJ252" i="6"/>
  <c r="I249" i="5"/>
  <c r="I251" i="5"/>
  <c r="T256" i="5"/>
  <c r="AJ257" i="6"/>
  <c r="AJ259" i="6"/>
  <c r="AJ253" i="6"/>
  <c r="K253" i="5"/>
  <c r="L253" i="6" s="1"/>
  <c r="P253" i="5"/>
  <c r="AF253" i="6" s="1"/>
  <c r="N253" i="5"/>
  <c r="AA253" i="6" s="1"/>
  <c r="Q253" i="5"/>
  <c r="AH253" i="6" s="1"/>
  <c r="M253" i="5"/>
  <c r="X253" i="6" s="1"/>
  <c r="L253" i="5"/>
  <c r="M253" i="6" s="1"/>
  <c r="O253" i="5"/>
  <c r="AB253" i="6" s="1"/>
  <c r="AJ260" i="6"/>
  <c r="AJ250" i="6"/>
  <c r="S258" i="5"/>
  <c r="T258" i="5" s="1"/>
  <c r="I237" i="5"/>
  <c r="I238" i="5"/>
  <c r="I233" i="5"/>
  <c r="H240" i="5"/>
  <c r="P236" i="5"/>
  <c r="AJ236" i="6"/>
  <c r="I235" i="5"/>
  <c r="H231" i="5"/>
  <c r="I228" i="5"/>
  <c r="I231" i="5"/>
  <c r="O227" i="5"/>
  <c r="AJ227" i="6"/>
  <c r="I226" i="5"/>
  <c r="G229" i="5"/>
  <c r="G230" i="5" s="1"/>
  <c r="F230" i="5"/>
  <c r="I217" i="5"/>
  <c r="L220" i="5"/>
  <c r="AJ220" i="6"/>
  <c r="AL220" i="6" s="1"/>
  <c r="I107" i="12"/>
  <c r="N107" i="12"/>
  <c r="G222" i="15"/>
  <c r="H217" i="15"/>
  <c r="AJ218" i="6"/>
  <c r="G105" i="12"/>
  <c r="H105" i="12" s="1"/>
  <c r="G106" i="12"/>
  <c r="H106" i="12" s="1"/>
  <c r="T205" i="5"/>
  <c r="I205" i="5"/>
  <c r="T206" i="5"/>
  <c r="I206" i="5"/>
  <c r="I201" i="5"/>
  <c r="T201" i="5"/>
  <c r="G197" i="5"/>
  <c r="H203" i="5"/>
  <c r="H199" i="5"/>
  <c r="H198" i="5"/>
  <c r="H204" i="5"/>
  <c r="H200" i="5"/>
  <c r="G194" i="5"/>
  <c r="F209" i="5"/>
  <c r="H193" i="5"/>
  <c r="H192" i="5"/>
  <c r="H191" i="5"/>
  <c r="H190" i="5"/>
  <c r="H189" i="5"/>
  <c r="H188" i="5"/>
  <c r="H187" i="5"/>
  <c r="H186" i="5"/>
  <c r="H185" i="5"/>
  <c r="D211" i="5"/>
  <c r="H184" i="5"/>
  <c r="H169" i="5"/>
  <c r="G173" i="5"/>
  <c r="H173" i="5" s="1"/>
  <c r="I173" i="5" s="1"/>
  <c r="H175" i="5"/>
  <c r="I175" i="5" s="1"/>
  <c r="T164" i="5"/>
  <c r="I164" i="5"/>
  <c r="F98" i="12"/>
  <c r="F117" i="12" s="1"/>
  <c r="F118" i="12" s="1"/>
  <c r="G96" i="12"/>
  <c r="G98" i="12" s="1"/>
  <c r="D74" i="20"/>
  <c r="J33" i="66"/>
  <c r="I162" i="5"/>
  <c r="T162" i="5"/>
  <c r="H165" i="5"/>
  <c r="I160" i="5"/>
  <c r="T160" i="5"/>
  <c r="E211" i="5"/>
  <c r="I161" i="5"/>
  <c r="D98" i="12"/>
  <c r="D117" i="12" s="1"/>
  <c r="D118" i="12" s="1"/>
  <c r="AJ146" i="6"/>
  <c r="M146" i="5"/>
  <c r="I143" i="5"/>
  <c r="AJ140" i="6"/>
  <c r="L140" i="5"/>
  <c r="H148" i="5"/>
  <c r="I139" i="5"/>
  <c r="I142" i="5"/>
  <c r="AJ147" i="6"/>
  <c r="I145" i="5"/>
  <c r="I144" i="5"/>
  <c r="I141" i="5"/>
  <c r="F148" i="5"/>
  <c r="H149" i="5"/>
  <c r="I18" i="75" s="1"/>
  <c r="F149" i="5"/>
  <c r="G18" i="75" s="1"/>
  <c r="D150" i="5"/>
  <c r="I131" i="5"/>
  <c r="H136" i="5"/>
  <c r="I126" i="5"/>
  <c r="L130" i="5"/>
  <c r="AJ130" i="6"/>
  <c r="AJ134" i="6"/>
  <c r="I133" i="5"/>
  <c r="I132" i="5"/>
  <c r="I135" i="5"/>
  <c r="L129" i="5"/>
  <c r="I127" i="5"/>
  <c r="H137" i="5"/>
  <c r="I21" i="75" s="1"/>
  <c r="I118" i="5"/>
  <c r="L116" i="6"/>
  <c r="AK116" i="6" s="1"/>
  <c r="S116" i="5"/>
  <c r="T116" i="5" s="1"/>
  <c r="AJ117" i="6"/>
  <c r="K117" i="5"/>
  <c r="I115" i="5"/>
  <c r="K119" i="5"/>
  <c r="AJ119" i="6"/>
  <c r="H120" i="5"/>
  <c r="I114" i="5"/>
  <c r="AJ116" i="6"/>
  <c r="H111" i="5"/>
  <c r="I103" i="5"/>
  <c r="I109" i="5"/>
  <c r="I108" i="5"/>
  <c r="I110" i="5"/>
  <c r="I106" i="5"/>
  <c r="K105" i="5"/>
  <c r="AJ105" i="6"/>
  <c r="I107" i="5"/>
  <c r="I104" i="5"/>
  <c r="F111" i="5"/>
  <c r="F122" i="5" s="1"/>
  <c r="AJ94" i="6"/>
  <c r="AJ85" i="6"/>
  <c r="AJ75" i="6"/>
  <c r="AJ50" i="6"/>
  <c r="AK50" i="9"/>
  <c r="AL50" i="9" s="1"/>
  <c r="AJ49" i="6"/>
  <c r="AJ29" i="6"/>
  <c r="AJ13" i="6"/>
  <c r="AJ14" i="6"/>
  <c r="AJ18" i="6"/>
  <c r="AK15" i="9"/>
  <c r="AL15" i="9" s="1"/>
  <c r="S170" i="2"/>
  <c r="T170" i="2" s="1"/>
  <c r="D16" i="20"/>
  <c r="D108" i="20" s="1"/>
  <c r="D140" i="2"/>
  <c r="T176" i="2"/>
  <c r="S180" i="2"/>
  <c r="T180" i="2" s="1"/>
  <c r="T183" i="2"/>
  <c r="T156" i="2"/>
  <c r="D16" i="21"/>
  <c r="F132" i="2"/>
  <c r="S83" i="2"/>
  <c r="T82" i="2"/>
  <c r="I94" i="2"/>
  <c r="AK90" i="3"/>
  <c r="AL90" i="3" s="1"/>
  <c r="AK82" i="3"/>
  <c r="AL82" i="3" s="1"/>
  <c r="AK91" i="3"/>
  <c r="AL91" i="3" s="1"/>
  <c r="S86" i="2"/>
  <c r="T86" i="2" s="1"/>
  <c r="T68" i="2"/>
  <c r="S73" i="2"/>
  <c r="T73" i="2" s="1"/>
  <c r="S69" i="2"/>
  <c r="T69" i="2" s="1"/>
  <c r="AL72" i="3"/>
  <c r="AK55" i="3"/>
  <c r="AL55" i="3" s="1"/>
  <c r="S58" i="2"/>
  <c r="T58" i="2" s="1"/>
  <c r="S54" i="2"/>
  <c r="T54" i="2" s="1"/>
  <c r="S45" i="2"/>
  <c r="T45" i="2" s="1"/>
  <c r="AK43" i="3"/>
  <c r="AL43" i="3" s="1"/>
  <c r="S47" i="2"/>
  <c r="T47" i="2" s="1"/>
  <c r="S43" i="2"/>
  <c r="T43" i="2" s="1"/>
  <c r="AK32" i="3"/>
  <c r="AL32" i="3" s="1"/>
  <c r="S34" i="2"/>
  <c r="T34" i="2" s="1"/>
  <c r="S21" i="2"/>
  <c r="T21" i="2" s="1"/>
  <c r="S20" i="2"/>
  <c r="T20" i="2" s="1"/>
  <c r="S25" i="2"/>
  <c r="T25" i="2" s="1"/>
  <c r="S23" i="2"/>
  <c r="T23" i="2" s="1"/>
  <c r="J132" i="2"/>
  <c r="G30" i="18" s="1"/>
  <c r="I132" i="2"/>
  <c r="L101" i="13"/>
  <c r="L112" i="13" s="1"/>
  <c r="H132" i="2"/>
  <c r="D115" i="2"/>
  <c r="D117" i="2" s="1"/>
  <c r="H94" i="2"/>
  <c r="D94" i="3"/>
  <c r="S90" i="2"/>
  <c r="V88" i="3"/>
  <c r="S92" i="3"/>
  <c r="P88" i="3"/>
  <c r="F94" i="2"/>
  <c r="M94" i="3"/>
  <c r="S80" i="2"/>
  <c r="D94" i="2"/>
  <c r="W92" i="3"/>
  <c r="W84" i="3"/>
  <c r="N83" i="3"/>
  <c r="AA107" i="16"/>
  <c r="AA111" i="16" s="1"/>
  <c r="D76" i="3"/>
  <c r="S72" i="2"/>
  <c r="T72" i="2" s="1"/>
  <c r="M76" i="3"/>
  <c r="AL74" i="3"/>
  <c r="AL70" i="3"/>
  <c r="S74" i="2"/>
  <c r="T74" i="2" s="1"/>
  <c r="S70" i="2"/>
  <c r="T70" i="2" s="1"/>
  <c r="S57" i="2"/>
  <c r="S59" i="2"/>
  <c r="T59" i="2" s="1"/>
  <c r="S55" i="2"/>
  <c r="T55" i="2" s="1"/>
  <c r="S56" i="2"/>
  <c r="T56" i="2" s="1"/>
  <c r="S35" i="2"/>
  <c r="T35" i="2" s="1"/>
  <c r="S32" i="2"/>
  <c r="T32" i="2" s="1"/>
  <c r="S37" i="2"/>
  <c r="AK35" i="3"/>
  <c r="AL35" i="3" s="1"/>
  <c r="S30" i="2"/>
  <c r="T30" i="2" s="1"/>
  <c r="S24" i="2"/>
  <c r="T24" i="2" s="1"/>
  <c r="T28" i="75"/>
  <c r="P175" i="36"/>
  <c r="M107" i="21"/>
  <c r="E11" i="20"/>
  <c r="C11" i="20" s="1"/>
  <c r="F107" i="20"/>
  <c r="E107" i="20" s="1"/>
  <c r="E15" i="20"/>
  <c r="C15" i="20" s="1"/>
  <c r="AM15" i="21" s="1"/>
  <c r="I76" i="2"/>
  <c r="AJ94" i="3"/>
  <c r="L76" i="3"/>
  <c r="AF16" i="21"/>
  <c r="AG98" i="3"/>
  <c r="AG257" i="17"/>
  <c r="AF257" i="17" s="1"/>
  <c r="O76" i="2"/>
  <c r="S46" i="2"/>
  <c r="T46" i="2" s="1"/>
  <c r="O170" i="3"/>
  <c r="N170" i="3"/>
  <c r="Q170" i="3"/>
  <c r="T170" i="3"/>
  <c r="V170" i="3"/>
  <c r="R170" i="3"/>
  <c r="P170" i="3"/>
  <c r="S170" i="3"/>
  <c r="U170" i="3"/>
  <c r="W170" i="3"/>
  <c r="O137" i="15"/>
  <c r="P22" i="75" s="1"/>
  <c r="S53" i="2"/>
  <c r="T53" i="2" s="1"/>
  <c r="S113" i="2"/>
  <c r="T113" i="2" s="1"/>
  <c r="S110" i="2"/>
  <c r="T110" i="2" s="1"/>
  <c r="H103" i="12"/>
  <c r="AF94" i="3"/>
  <c r="AJ76" i="3"/>
  <c r="L132" i="3"/>
  <c r="L108" i="14" s="1"/>
  <c r="AK42" i="3"/>
  <c r="AL42" i="3" s="1"/>
  <c r="AA76" i="3"/>
  <c r="I107" i="21"/>
  <c r="T147" i="2"/>
  <c r="S146" i="2"/>
  <c r="T146" i="2" s="1"/>
  <c r="L76" i="2"/>
  <c r="S31" i="2"/>
  <c r="T31" i="2" s="1"/>
  <c r="D18" i="20"/>
  <c r="D110" i="20" s="1"/>
  <c r="S33" i="2"/>
  <c r="T33" i="2" s="1"/>
  <c r="S22" i="2"/>
  <c r="T22" i="2" s="1"/>
  <c r="W86" i="3"/>
  <c r="U86" i="3"/>
  <c r="N84" i="3"/>
  <c r="Q84" i="3"/>
  <c r="T84" i="3"/>
  <c r="Q137" i="15"/>
  <c r="AH128" i="16"/>
  <c r="AH137" i="16" s="1"/>
  <c r="AK48" i="3"/>
  <c r="AL48" i="3" s="1"/>
  <c r="J28" i="75"/>
  <c r="I28" i="75" s="1"/>
  <c r="G28" i="75" s="1"/>
  <c r="I103" i="20"/>
  <c r="L103" i="20"/>
  <c r="D76" i="2"/>
  <c r="H76" i="2"/>
  <c r="E115" i="2"/>
  <c r="E117" i="2" s="1"/>
  <c r="T37" i="2"/>
  <c r="X76" i="3"/>
  <c r="AJ132" i="3"/>
  <c r="L94" i="3"/>
  <c r="AB128" i="16"/>
  <c r="AB137" i="16" s="1"/>
  <c r="Q76" i="2"/>
  <c r="O94" i="2"/>
  <c r="N94" i="2"/>
  <c r="K76" i="2"/>
  <c r="S36" i="2"/>
  <c r="T36" i="2" s="1"/>
  <c r="G132" i="2"/>
  <c r="E30" i="18" s="1"/>
  <c r="S177" i="2"/>
  <c r="T177" i="2" s="1"/>
  <c r="S91" i="2"/>
  <c r="T91" i="2" s="1"/>
  <c r="S87" i="2"/>
  <c r="T87" i="2" s="1"/>
  <c r="J94" i="2"/>
  <c r="S71" i="2"/>
  <c r="S67" i="2"/>
  <c r="S48" i="2"/>
  <c r="T48" i="2" s="1"/>
  <c r="N92" i="3"/>
  <c r="O92" i="3"/>
  <c r="P92" i="3"/>
  <c r="Q92" i="3"/>
  <c r="R92" i="3"/>
  <c r="T92" i="3"/>
  <c r="V92" i="3"/>
  <c r="N149" i="15"/>
  <c r="AJ101" i="21"/>
  <c r="S66" i="2"/>
  <c r="T66" i="2" s="1"/>
  <c r="S42" i="2"/>
  <c r="T42" i="2" s="1"/>
  <c r="S103" i="2"/>
  <c r="T103" i="2" s="1"/>
  <c r="S112" i="2"/>
  <c r="T112" i="2" s="1"/>
  <c r="S109" i="2"/>
  <c r="T109" i="2" s="1"/>
  <c r="F109" i="20"/>
  <c r="E109" i="20" s="1"/>
  <c r="C109" i="20" s="1"/>
  <c r="AM109" i="21" s="1"/>
  <c r="E17" i="20"/>
  <c r="C17" i="20" s="1"/>
  <c r="AM17" i="21" s="1"/>
  <c r="T154" i="2"/>
  <c r="T83" i="2"/>
  <c r="A166" i="21"/>
  <c r="A31" i="21"/>
  <c r="A119" i="21"/>
  <c r="AH94" i="3"/>
  <c r="AA94" i="3"/>
  <c r="AB94" i="3"/>
  <c r="Q94" i="2"/>
  <c r="M76" i="2"/>
  <c r="G18" i="20"/>
  <c r="S151" i="2"/>
  <c r="T151" i="2" s="1"/>
  <c r="K132" i="2"/>
  <c r="H30" i="18" s="1"/>
  <c r="S150" i="2"/>
  <c r="T150" i="2" s="1"/>
  <c r="D108" i="13"/>
  <c r="T89" i="2"/>
  <c r="T85" i="2"/>
  <c r="AK110" i="3"/>
  <c r="AL110" i="3" s="1"/>
  <c r="AK106" i="3"/>
  <c r="AL106" i="3" s="1"/>
  <c r="D132" i="2"/>
  <c r="F115" i="2"/>
  <c r="F117" i="2" s="1"/>
  <c r="F76" i="2"/>
  <c r="L18" i="21"/>
  <c r="L16" i="20"/>
  <c r="L108" i="20" s="1"/>
  <c r="N76" i="2"/>
  <c r="K94" i="2"/>
  <c r="G98" i="2"/>
  <c r="G142" i="2" s="1"/>
  <c r="D9" i="20" s="1"/>
  <c r="D101" i="20" s="1"/>
  <c r="J76" i="2"/>
  <c r="Q88" i="3"/>
  <c r="T88" i="3"/>
  <c r="N88" i="3"/>
  <c r="T87" i="3"/>
  <c r="Q87" i="3"/>
  <c r="Q144" i="7" s="1"/>
  <c r="N87" i="3"/>
  <c r="O87" i="3"/>
  <c r="P87" i="3"/>
  <c r="R87" i="3"/>
  <c r="S87" i="3"/>
  <c r="O85" i="3"/>
  <c r="W85" i="3"/>
  <c r="P85" i="3"/>
  <c r="V85" i="3"/>
  <c r="V83" i="3"/>
  <c r="O83" i="3"/>
  <c r="S83" i="3"/>
  <c r="P83" i="3"/>
  <c r="AK44" i="3"/>
  <c r="AL44" i="3" s="1"/>
  <c r="E68" i="3"/>
  <c r="AK111" i="3"/>
  <c r="AL111" i="3" s="1"/>
  <c r="AK107" i="3"/>
  <c r="AL107" i="3" s="1"/>
  <c r="S105" i="2"/>
  <c r="T105" i="2" s="1"/>
  <c r="AK104" i="3"/>
  <c r="AL104" i="3" s="1"/>
  <c r="F140" i="2"/>
  <c r="E98" i="2"/>
  <c r="E142" i="2" s="1"/>
  <c r="X94" i="3"/>
  <c r="J147" i="3"/>
  <c r="J15" i="21" s="1"/>
  <c r="J107" i="21" s="1"/>
  <c r="P94" i="2"/>
  <c r="M94" i="2"/>
  <c r="L94" i="2"/>
  <c r="G16" i="20"/>
  <c r="S92" i="2"/>
  <c r="T92" i="2" s="1"/>
  <c r="S88" i="2"/>
  <c r="T88" i="2" s="1"/>
  <c r="S84" i="2"/>
  <c r="T84" i="2" s="1"/>
  <c r="P66" i="3"/>
  <c r="V66" i="3"/>
  <c r="P76" i="2"/>
  <c r="H16" i="20"/>
  <c r="H108" i="20" s="1"/>
  <c r="T79" i="3"/>
  <c r="I76" i="3"/>
  <c r="AL108" i="3"/>
  <c r="A93" i="20"/>
  <c r="A31" i="20"/>
  <c r="A119" i="20"/>
  <c r="E103" i="20"/>
  <c r="C103" i="20" s="1"/>
  <c r="C107" i="20"/>
  <c r="AM107" i="21" s="1"/>
  <c r="T90" i="2"/>
  <c r="T71" i="2"/>
  <c r="T67" i="2"/>
  <c r="T57" i="2"/>
  <c r="E96" i="2"/>
  <c r="T80" i="2"/>
  <c r="Z89" i="3"/>
  <c r="Z94" i="3" s="1"/>
  <c r="AB175" i="4" s="1"/>
  <c r="Y89" i="3"/>
  <c r="E170" i="3"/>
  <c r="I170" i="3"/>
  <c r="J170" i="3"/>
  <c r="Q144" i="17"/>
  <c r="E146" i="3"/>
  <c r="I146" i="3"/>
  <c r="O80" i="3"/>
  <c r="T80" i="3"/>
  <c r="U80" i="3"/>
  <c r="N80" i="3"/>
  <c r="Q80" i="3"/>
  <c r="R80" i="3"/>
  <c r="W80" i="3"/>
  <c r="S80" i="3"/>
  <c r="P80" i="3"/>
  <c r="N81" i="3"/>
  <c r="S81" i="3"/>
  <c r="P81" i="3"/>
  <c r="V81" i="3"/>
  <c r="R81" i="3"/>
  <c r="T81" i="3"/>
  <c r="O81" i="3"/>
  <c r="Q81" i="3"/>
  <c r="O86" i="3"/>
  <c r="P86" i="3"/>
  <c r="R86" i="3"/>
  <c r="R130" i="7" s="1"/>
  <c r="R143" i="7" s="1"/>
  <c r="S86" i="3"/>
  <c r="S130" i="7" s="1"/>
  <c r="S143" i="7" s="1"/>
  <c r="V86" i="3"/>
  <c r="N86" i="3"/>
  <c r="T86" i="3"/>
  <c r="Q86" i="3"/>
  <c r="P68" i="3"/>
  <c r="Q68" i="3"/>
  <c r="Q76" i="3" s="1"/>
  <c r="V68" i="3"/>
  <c r="N68" i="3"/>
  <c r="S68" i="3"/>
  <c r="S76" i="3" s="1"/>
  <c r="T68" i="3"/>
  <c r="T76" i="3" s="1"/>
  <c r="N79" i="3"/>
  <c r="P79" i="3"/>
  <c r="V79" i="3"/>
  <c r="S79" i="3"/>
  <c r="AK45" i="3"/>
  <c r="AL45" i="3" s="1"/>
  <c r="N66" i="3"/>
  <c r="R66" i="3"/>
  <c r="R76" i="3" s="1"/>
  <c r="O66" i="3"/>
  <c r="O76" i="3" s="1"/>
  <c r="U66" i="3"/>
  <c r="U76" i="3" s="1"/>
  <c r="W66" i="3"/>
  <c r="W76" i="3" s="1"/>
  <c r="P128" i="16"/>
  <c r="T128" i="16"/>
  <c r="S128" i="16"/>
  <c r="V128" i="16"/>
  <c r="O84" i="3"/>
  <c r="P84" i="3"/>
  <c r="R84" i="3"/>
  <c r="R129" i="17" s="1"/>
  <c r="R142" i="17" s="1"/>
  <c r="S84" i="3"/>
  <c r="V84" i="3"/>
  <c r="E66" i="3"/>
  <c r="E76" i="3" s="1"/>
  <c r="F47" i="60"/>
  <c r="G47" i="60"/>
  <c r="E51" i="35"/>
  <c r="E12" i="60"/>
  <c r="Q12" i="60" s="1"/>
  <c r="P12" i="60"/>
  <c r="P63" i="36"/>
  <c r="E63" i="36"/>
  <c r="AK13" i="3" l="1"/>
  <c r="AL13" i="3" s="1"/>
  <c r="AI107" i="21"/>
  <c r="AL89" i="13"/>
  <c r="F38" i="61"/>
  <c r="H38" i="25"/>
  <c r="H38" i="61"/>
  <c r="K38" i="55"/>
  <c r="K38" i="29"/>
  <c r="K38" i="31"/>
  <c r="O59" i="20"/>
  <c r="AM59" i="21"/>
  <c r="M130" i="9"/>
  <c r="S130" i="8"/>
  <c r="T130" i="8" s="1"/>
  <c r="P130" i="7"/>
  <c r="P143" i="7" s="1"/>
  <c r="F38" i="57"/>
  <c r="H15" i="25"/>
  <c r="N17" i="29"/>
  <c r="H246" i="15"/>
  <c r="AK25" i="3"/>
  <c r="AL25" i="3" s="1"/>
  <c r="H22" i="26"/>
  <c r="I22" i="57"/>
  <c r="AN181" i="21"/>
  <c r="P44" i="30"/>
  <c r="Q44" i="30" s="1"/>
  <c r="J246" i="15"/>
  <c r="E12" i="76"/>
  <c r="AH88" i="13"/>
  <c r="AL88" i="13" s="1"/>
  <c r="S88" i="12"/>
  <c r="T88" i="12" s="1"/>
  <c r="H22" i="25"/>
  <c r="H22" i="30"/>
  <c r="N15" i="61"/>
  <c r="F17" i="29"/>
  <c r="N17" i="31"/>
  <c r="M22" i="61"/>
  <c r="I22" i="29"/>
  <c r="K22" i="58"/>
  <c r="I83" i="12"/>
  <c r="K30" i="66"/>
  <c r="D12" i="76"/>
  <c r="D106" i="13"/>
  <c r="E106" i="13" s="1"/>
  <c r="S108" i="12"/>
  <c r="T108" i="12" s="1"/>
  <c r="D112" i="13"/>
  <c r="J114" i="12"/>
  <c r="AH101" i="13"/>
  <c r="AH112" i="13" s="1"/>
  <c r="Q114" i="12"/>
  <c r="Q117" i="12" s="1"/>
  <c r="Q118" i="12" s="1"/>
  <c r="M65" i="20" s="1"/>
  <c r="M155" i="20" s="1"/>
  <c r="M206" i="20" s="1"/>
  <c r="M214" i="20" s="1"/>
  <c r="K217" i="21"/>
  <c r="K221" i="21" s="1"/>
  <c r="K222" i="21" s="1"/>
  <c r="K194" i="21" s="1"/>
  <c r="E20" i="24" s="1"/>
  <c r="AJ93" i="13"/>
  <c r="T93" i="12"/>
  <c r="AJ95" i="13"/>
  <c r="S90" i="12"/>
  <c r="T90" i="12" s="1"/>
  <c r="M64" i="20"/>
  <c r="AH90" i="13"/>
  <c r="P93" i="13"/>
  <c r="V93" i="13"/>
  <c r="Q93" i="13"/>
  <c r="W93" i="13"/>
  <c r="O93" i="13"/>
  <c r="N93" i="13"/>
  <c r="S93" i="13"/>
  <c r="R93" i="13"/>
  <c r="U93" i="13"/>
  <c r="T93" i="13"/>
  <c r="AH91" i="13"/>
  <c r="S91" i="12"/>
  <c r="T91" i="12" s="1"/>
  <c r="S86" i="12"/>
  <c r="T86" i="12" s="1"/>
  <c r="J98" i="12"/>
  <c r="D86" i="13"/>
  <c r="D97" i="13" s="1"/>
  <c r="I97" i="13"/>
  <c r="AL87" i="13"/>
  <c r="L95" i="13"/>
  <c r="K98" i="12"/>
  <c r="K117" i="12" s="1"/>
  <c r="K118" i="12" s="1"/>
  <c r="G65" i="20" s="1"/>
  <c r="S95" i="12"/>
  <c r="T95" i="12" s="1"/>
  <c r="M97" i="13"/>
  <c r="AJ90" i="13"/>
  <c r="AJ91" i="13"/>
  <c r="AL235" i="9"/>
  <c r="AK41" i="9"/>
  <c r="AL41" i="9" s="1"/>
  <c r="J120" i="9"/>
  <c r="J122" i="9" s="1"/>
  <c r="S255" i="8"/>
  <c r="T255" i="8" s="1"/>
  <c r="O223" i="8"/>
  <c r="Q217" i="8"/>
  <c r="AD219" i="9"/>
  <c r="L217" i="8"/>
  <c r="L222" i="8" s="1"/>
  <c r="P217" i="8"/>
  <c r="AE219" i="9"/>
  <c r="K217" i="8"/>
  <c r="J217" i="8"/>
  <c r="J222" i="8" s="1"/>
  <c r="J242" i="8" s="1"/>
  <c r="F211" i="8"/>
  <c r="I148" i="8"/>
  <c r="E279" i="8"/>
  <c r="E283" i="8" s="1"/>
  <c r="E285" i="8" s="1"/>
  <c r="E441" i="1" s="1"/>
  <c r="E444" i="1" s="1"/>
  <c r="E465" i="1" s="1"/>
  <c r="K176" i="21"/>
  <c r="AL260" i="6"/>
  <c r="I149" i="5"/>
  <c r="L126" i="4"/>
  <c r="L127" i="4"/>
  <c r="L130" i="4"/>
  <c r="L128" i="4"/>
  <c r="L125" i="4"/>
  <c r="W94" i="3"/>
  <c r="Y175" i="4" s="1"/>
  <c r="AK147" i="3"/>
  <c r="AL147" i="3" s="1"/>
  <c r="P129" i="7"/>
  <c r="P142" i="7" s="1"/>
  <c r="AK33" i="3"/>
  <c r="AL33" i="3" s="1"/>
  <c r="AK20" i="3"/>
  <c r="AL20" i="3" s="1"/>
  <c r="AK57" i="3"/>
  <c r="AL57" i="3" s="1"/>
  <c r="E41" i="55"/>
  <c r="L217" i="21"/>
  <c r="L221" i="21" s="1"/>
  <c r="L222" i="21" s="1"/>
  <c r="L194" i="21" s="1"/>
  <c r="E22" i="24" s="1"/>
  <c r="I22" i="24" s="1"/>
  <c r="E41" i="25"/>
  <c r="E39" i="57"/>
  <c r="E54" i="57"/>
  <c r="J10" i="55"/>
  <c r="M44" i="57"/>
  <c r="K44" i="57"/>
  <c r="N44" i="57"/>
  <c r="L44" i="57"/>
  <c r="I44" i="57"/>
  <c r="H44" i="57"/>
  <c r="E46" i="57"/>
  <c r="F44" i="57"/>
  <c r="J44" i="57"/>
  <c r="G44" i="57"/>
  <c r="P44" i="25"/>
  <c r="Q44" i="25" s="1"/>
  <c r="P37" i="55"/>
  <c r="Q37" i="55" s="1"/>
  <c r="F37" i="57"/>
  <c r="J37" i="57"/>
  <c r="G37" i="57"/>
  <c r="N37" i="57"/>
  <c r="L37" i="57"/>
  <c r="K37" i="57"/>
  <c r="I37" i="57"/>
  <c r="M37" i="57"/>
  <c r="H37" i="57"/>
  <c r="P37" i="25"/>
  <c r="Q37" i="25" s="1"/>
  <c r="N10" i="55"/>
  <c r="H15" i="57"/>
  <c r="P44" i="55"/>
  <c r="Q44" i="55" s="1"/>
  <c r="E30" i="57"/>
  <c r="G44" i="61"/>
  <c r="E46" i="61"/>
  <c r="K44" i="61"/>
  <c r="N44" i="61"/>
  <c r="I44" i="61"/>
  <c r="J44" i="61"/>
  <c r="L44" i="61"/>
  <c r="H44" i="61"/>
  <c r="F44" i="61"/>
  <c r="M44" i="61"/>
  <c r="P37" i="31"/>
  <c r="Q37" i="31" s="1"/>
  <c r="P44" i="31"/>
  <c r="Q44" i="31" s="1"/>
  <c r="E41" i="61"/>
  <c r="P37" i="30"/>
  <c r="Q37" i="30" s="1"/>
  <c r="P44" i="29"/>
  <c r="Q44" i="29" s="1"/>
  <c r="P37" i="61"/>
  <c r="Q37" i="61" s="1"/>
  <c r="E54" i="61"/>
  <c r="P37" i="29"/>
  <c r="Q37" i="29" s="1"/>
  <c r="C208" i="20"/>
  <c r="AM208" i="21" s="1"/>
  <c r="AL108" i="16"/>
  <c r="F148" i="15"/>
  <c r="F150" i="15" s="1"/>
  <c r="F149" i="15"/>
  <c r="G19" i="75" s="1"/>
  <c r="F25" i="75"/>
  <c r="F26" i="75"/>
  <c r="R128" i="16"/>
  <c r="N128" i="16"/>
  <c r="AF107" i="16"/>
  <c r="AF111" i="16" s="1"/>
  <c r="AF122" i="16" s="1"/>
  <c r="AL250" i="9"/>
  <c r="H142" i="15"/>
  <c r="I142" i="15" s="1"/>
  <c r="I148" i="15" s="1"/>
  <c r="AJ148" i="16" s="1"/>
  <c r="S141" i="15"/>
  <c r="T141" i="15" s="1"/>
  <c r="S33" i="15"/>
  <c r="T33" i="15" s="1"/>
  <c r="X107" i="16"/>
  <c r="X111" i="16" s="1"/>
  <c r="X122" i="16" s="1"/>
  <c r="AF141" i="16"/>
  <c r="AF149" i="16" s="1"/>
  <c r="X240" i="16"/>
  <c r="L240" i="16"/>
  <c r="E278" i="15"/>
  <c r="E36" i="35"/>
  <c r="E14" i="34"/>
  <c r="O57" i="20"/>
  <c r="AM57" i="21"/>
  <c r="F72" i="20"/>
  <c r="E72" i="20" s="1"/>
  <c r="C72" i="20" s="1"/>
  <c r="AM72" i="21" s="1"/>
  <c r="E71" i="20"/>
  <c r="C71" i="20" s="1"/>
  <c r="AM71" i="21" s="1"/>
  <c r="M28" i="30"/>
  <c r="M28" i="25"/>
  <c r="S34" i="12"/>
  <c r="T34" i="12" s="1"/>
  <c r="J36" i="12"/>
  <c r="E12" i="35"/>
  <c r="D34" i="13"/>
  <c r="D36" i="13" s="1"/>
  <c r="D47" i="13" s="1"/>
  <c r="D45" i="21" s="1"/>
  <c r="E32" i="13"/>
  <c r="E34" i="13" s="1"/>
  <c r="E36" i="13" s="1"/>
  <c r="E47" i="13" s="1"/>
  <c r="E45" i="21" s="1"/>
  <c r="E133" i="21" s="1"/>
  <c r="I32" i="13"/>
  <c r="I34" i="13" s="1"/>
  <c r="I36" i="13" s="1"/>
  <c r="I47" i="13" s="1"/>
  <c r="I45" i="21" s="1"/>
  <c r="I133" i="21" s="1"/>
  <c r="I180" i="21" s="1"/>
  <c r="E15" i="31" s="1"/>
  <c r="I47" i="12"/>
  <c r="AJ36" i="13"/>
  <c r="K29" i="66"/>
  <c r="I82" i="12"/>
  <c r="Q82" i="12"/>
  <c r="N28" i="25"/>
  <c r="E23" i="33"/>
  <c r="L27" i="55" s="1"/>
  <c r="N28" i="29"/>
  <c r="E37" i="35"/>
  <c r="F28" i="61"/>
  <c r="F28" i="25"/>
  <c r="N28" i="55"/>
  <c r="N28" i="31"/>
  <c r="M28" i="29"/>
  <c r="F28" i="31"/>
  <c r="M28" i="31"/>
  <c r="N28" i="57"/>
  <c r="N28" i="61"/>
  <c r="M22" i="58"/>
  <c r="M22" i="30"/>
  <c r="I22" i="30"/>
  <c r="K22" i="59"/>
  <c r="I22" i="61"/>
  <c r="M22" i="31"/>
  <c r="H22" i="59"/>
  <c r="H22" i="27"/>
  <c r="K22" i="57"/>
  <c r="K22" i="26"/>
  <c r="I22" i="59"/>
  <c r="K22" i="30"/>
  <c r="M22" i="25"/>
  <c r="I22" i="58"/>
  <c r="F22" i="26"/>
  <c r="F22" i="22"/>
  <c r="F22" i="59"/>
  <c r="N22" i="61"/>
  <c r="N22" i="26"/>
  <c r="N22" i="59"/>
  <c r="L22" i="31"/>
  <c r="J22" i="27"/>
  <c r="N22" i="25"/>
  <c r="L22" i="22"/>
  <c r="N22" i="58"/>
  <c r="J22" i="23"/>
  <c r="F22" i="23"/>
  <c r="F22" i="57"/>
  <c r="F22" i="27"/>
  <c r="G22" i="29"/>
  <c r="M22" i="29"/>
  <c r="H22" i="29"/>
  <c r="J22" i="31"/>
  <c r="G22" i="27"/>
  <c r="L22" i="25"/>
  <c r="J22" i="22"/>
  <c r="G22" i="26"/>
  <c r="H22" i="58"/>
  <c r="M22" i="57"/>
  <c r="G22" i="31"/>
  <c r="L22" i="27"/>
  <c r="G22" i="25"/>
  <c r="H22" i="61"/>
  <c r="N22" i="22"/>
  <c r="J22" i="30"/>
  <c r="L22" i="26"/>
  <c r="H22" i="57"/>
  <c r="H22" i="23"/>
  <c r="G22" i="23"/>
  <c r="K22" i="29"/>
  <c r="F22" i="31"/>
  <c r="F22" i="30"/>
  <c r="F22" i="25"/>
  <c r="L22" i="29"/>
  <c r="K22" i="31"/>
  <c r="I22" i="25"/>
  <c r="G22" i="61"/>
  <c r="K22" i="22"/>
  <c r="L22" i="30"/>
  <c r="J22" i="26"/>
  <c r="G22" i="59"/>
  <c r="L22" i="58"/>
  <c r="J22" i="57"/>
  <c r="F22" i="58"/>
  <c r="F22" i="61"/>
  <c r="F22" i="29"/>
  <c r="F22" i="24"/>
  <c r="N22" i="29"/>
  <c r="J22" i="29"/>
  <c r="N22" i="31"/>
  <c r="G22" i="22"/>
  <c r="L22" i="59"/>
  <c r="J22" i="58"/>
  <c r="N22" i="57"/>
  <c r="N22" i="27"/>
  <c r="J22" i="61"/>
  <c r="N22" i="30"/>
  <c r="L22" i="57"/>
  <c r="N22" i="23"/>
  <c r="K22" i="27"/>
  <c r="G22" i="30"/>
  <c r="G22" i="57"/>
  <c r="K22" i="23"/>
  <c r="H22" i="24"/>
  <c r="I22" i="27"/>
  <c r="L22" i="23"/>
  <c r="J22" i="25"/>
  <c r="I22" i="26"/>
  <c r="K22" i="24"/>
  <c r="G22" i="58"/>
  <c r="H22" i="31"/>
  <c r="L22" i="61"/>
  <c r="J22" i="59"/>
  <c r="H22" i="22"/>
  <c r="M22" i="26"/>
  <c r="I22" i="22"/>
  <c r="M22" i="23"/>
  <c r="K22" i="25"/>
  <c r="I47" i="60"/>
  <c r="I46" i="60"/>
  <c r="F79" i="20"/>
  <c r="E79" i="20" s="1"/>
  <c r="C79" i="20" s="1"/>
  <c r="AM79" i="21" s="1"/>
  <c r="F127" i="20"/>
  <c r="E77" i="20"/>
  <c r="G17" i="31"/>
  <c r="J46" i="60"/>
  <c r="J47" i="60"/>
  <c r="K17" i="29"/>
  <c r="K17" i="61"/>
  <c r="G72" i="36"/>
  <c r="G73" i="36" s="1"/>
  <c r="G138" i="36"/>
  <c r="E68" i="36"/>
  <c r="I17" i="55"/>
  <c r="H47" i="60"/>
  <c r="H46" i="60"/>
  <c r="F17" i="57"/>
  <c r="N46" i="60"/>
  <c r="N47" i="60"/>
  <c r="K17" i="31"/>
  <c r="G17" i="55"/>
  <c r="N17" i="57"/>
  <c r="K17" i="55"/>
  <c r="K17" i="57"/>
  <c r="L17" i="29"/>
  <c r="M17" i="29"/>
  <c r="J17" i="57"/>
  <c r="H17" i="57"/>
  <c r="H17" i="61"/>
  <c r="J17" i="29"/>
  <c r="M17" i="61"/>
  <c r="J17" i="55"/>
  <c r="L17" i="55"/>
  <c r="J17" i="31"/>
  <c r="L17" i="31"/>
  <c r="F17" i="55"/>
  <c r="I17" i="29"/>
  <c r="L17" i="57"/>
  <c r="M17" i="55"/>
  <c r="J17" i="61"/>
  <c r="M17" i="31"/>
  <c r="F17" i="31"/>
  <c r="L17" i="61"/>
  <c r="H17" i="29"/>
  <c r="H17" i="55"/>
  <c r="M17" i="57"/>
  <c r="I17" i="61"/>
  <c r="I17" i="57"/>
  <c r="H17" i="31"/>
  <c r="G17" i="61"/>
  <c r="N138" i="36"/>
  <c r="N72" i="36"/>
  <c r="N73" i="36" s="1"/>
  <c r="N17" i="61"/>
  <c r="AK77" i="21"/>
  <c r="J79" i="21"/>
  <c r="J127" i="21"/>
  <c r="K138" i="36"/>
  <c r="K72" i="36"/>
  <c r="K73" i="36" s="1"/>
  <c r="N17" i="55"/>
  <c r="E53" i="33"/>
  <c r="N57" i="30" s="1"/>
  <c r="N58" i="30" s="1"/>
  <c r="F15" i="25"/>
  <c r="K15" i="57"/>
  <c r="L15" i="25"/>
  <c r="K15" i="55"/>
  <c r="L15" i="57"/>
  <c r="I15" i="25"/>
  <c r="J15" i="55"/>
  <c r="F15" i="29"/>
  <c r="L15" i="55"/>
  <c r="I15" i="57"/>
  <c r="F15" i="57"/>
  <c r="J15" i="57"/>
  <c r="H15" i="55"/>
  <c r="J15" i="61"/>
  <c r="F15" i="61"/>
  <c r="I15" i="55"/>
  <c r="H15" i="29"/>
  <c r="I15" i="61"/>
  <c r="K15" i="61"/>
  <c r="M15" i="29"/>
  <c r="K15" i="25"/>
  <c r="F15" i="55"/>
  <c r="M15" i="57"/>
  <c r="J15" i="25"/>
  <c r="I15" i="29"/>
  <c r="L15" i="61"/>
  <c r="N15" i="55"/>
  <c r="K15" i="29"/>
  <c r="L15" i="29"/>
  <c r="G15" i="61"/>
  <c r="M15" i="55"/>
  <c r="J15" i="29"/>
  <c r="H15" i="61"/>
  <c r="E49" i="33"/>
  <c r="N53" i="25" s="1"/>
  <c r="J38" i="31"/>
  <c r="M38" i="25"/>
  <c r="J38" i="55"/>
  <c r="I38" i="61"/>
  <c r="L38" i="31"/>
  <c r="J38" i="61"/>
  <c r="N38" i="29"/>
  <c r="I38" i="30"/>
  <c r="L38" i="55"/>
  <c r="M38" i="31"/>
  <c r="I38" i="57"/>
  <c r="L38" i="57"/>
  <c r="I38" i="55"/>
  <c r="J38" i="30"/>
  <c r="L38" i="29"/>
  <c r="M38" i="55"/>
  <c r="M38" i="30"/>
  <c r="N38" i="57"/>
  <c r="N38" i="55"/>
  <c r="M38" i="29"/>
  <c r="N38" i="61"/>
  <c r="J38" i="29"/>
  <c r="L38" i="61"/>
  <c r="I38" i="25"/>
  <c r="I38" i="29"/>
  <c r="N38" i="31"/>
  <c r="L38" i="30"/>
  <c r="J38" i="25"/>
  <c r="M38" i="61"/>
  <c r="F38" i="31"/>
  <c r="F38" i="29"/>
  <c r="H38" i="29"/>
  <c r="N38" i="25"/>
  <c r="I38" i="31"/>
  <c r="H38" i="30"/>
  <c r="M38" i="57"/>
  <c r="J38" i="57"/>
  <c r="N38" i="30"/>
  <c r="L38" i="25"/>
  <c r="H38" i="55"/>
  <c r="H38" i="57"/>
  <c r="M57" i="25"/>
  <c r="M58" i="25" s="1"/>
  <c r="M57" i="55"/>
  <c r="M58" i="55" s="1"/>
  <c r="M57" i="31"/>
  <c r="M58" i="31" s="1"/>
  <c r="M57" i="30"/>
  <c r="M58" i="30" s="1"/>
  <c r="H38" i="31"/>
  <c r="G38" i="30"/>
  <c r="G38" i="61"/>
  <c r="G38" i="31"/>
  <c r="G38" i="29"/>
  <c r="G38" i="55"/>
  <c r="G38" i="25"/>
  <c r="G38" i="57"/>
  <c r="E48" i="33"/>
  <c r="H52" i="30" s="1"/>
  <c r="G52" i="29"/>
  <c r="G52" i="55"/>
  <c r="N15" i="29"/>
  <c r="N53" i="29"/>
  <c r="N53" i="61"/>
  <c r="N53" i="30"/>
  <c r="K38" i="30"/>
  <c r="K38" i="25"/>
  <c r="H53" i="55"/>
  <c r="H53" i="30"/>
  <c r="H53" i="25"/>
  <c r="F38" i="55"/>
  <c r="F38" i="25"/>
  <c r="M52" i="30"/>
  <c r="M52" i="57"/>
  <c r="M52" i="25"/>
  <c r="M52" i="31"/>
  <c r="G15" i="57"/>
  <c r="G15" i="55"/>
  <c r="G15" i="25"/>
  <c r="N15" i="57"/>
  <c r="N15" i="25"/>
  <c r="F38" i="30"/>
  <c r="K38" i="57"/>
  <c r="K38" i="61"/>
  <c r="J10" i="25"/>
  <c r="N10" i="29"/>
  <c r="N16" i="33"/>
  <c r="J10" i="29"/>
  <c r="N10" i="57"/>
  <c r="F10" i="57"/>
  <c r="H10" i="55"/>
  <c r="L16" i="33"/>
  <c r="K10" i="61"/>
  <c r="H10" i="25"/>
  <c r="M10" i="57"/>
  <c r="G10" i="25"/>
  <c r="G10" i="57"/>
  <c r="H10" i="57"/>
  <c r="F10" i="25"/>
  <c r="F10" i="29"/>
  <c r="K16" i="33"/>
  <c r="F16" i="33"/>
  <c r="H16" i="33"/>
  <c r="I10" i="55"/>
  <c r="M10" i="25"/>
  <c r="K10" i="55"/>
  <c r="M10" i="61"/>
  <c r="L10" i="55"/>
  <c r="I10" i="61"/>
  <c r="M10" i="55"/>
  <c r="I10" i="25"/>
  <c r="M10" i="29"/>
  <c r="I10" i="29"/>
  <c r="F10" i="61"/>
  <c r="F10" i="55"/>
  <c r="G16" i="33"/>
  <c r="M16" i="33"/>
  <c r="H10" i="61"/>
  <c r="G10" i="61"/>
  <c r="L10" i="25"/>
  <c r="G10" i="55"/>
  <c r="L10" i="29"/>
  <c r="H10" i="29"/>
  <c r="J10" i="61"/>
  <c r="K10" i="25"/>
  <c r="K10" i="29"/>
  <c r="I16" i="33"/>
  <c r="L10" i="61"/>
  <c r="I10" i="57"/>
  <c r="L10" i="57"/>
  <c r="G10" i="29"/>
  <c r="G18" i="29" s="1"/>
  <c r="K10" i="57"/>
  <c r="J10" i="57"/>
  <c r="N10" i="61"/>
  <c r="N10" i="25"/>
  <c r="E35" i="35"/>
  <c r="M28" i="61"/>
  <c r="M28" i="55"/>
  <c r="F28" i="55"/>
  <c r="F28" i="30"/>
  <c r="N28" i="30"/>
  <c r="L28" i="30"/>
  <c r="H28" i="29"/>
  <c r="J28" i="55"/>
  <c r="H28" i="57"/>
  <c r="I28" i="31"/>
  <c r="H28" i="55"/>
  <c r="L28" i="25"/>
  <c r="L28" i="57"/>
  <c r="G28" i="31"/>
  <c r="J28" i="30"/>
  <c r="I28" i="25"/>
  <c r="L28" i="61"/>
  <c r="K28" i="61"/>
  <c r="H28" i="31"/>
  <c r="F28" i="57"/>
  <c r="H28" i="30"/>
  <c r="I28" i="61"/>
  <c r="K28" i="31"/>
  <c r="K28" i="25"/>
  <c r="J28" i="61"/>
  <c r="L28" i="31"/>
  <c r="G28" i="30"/>
  <c r="I28" i="30"/>
  <c r="G28" i="55"/>
  <c r="K28" i="55"/>
  <c r="H28" i="61"/>
  <c r="G28" i="57"/>
  <c r="J28" i="31"/>
  <c r="K28" i="29"/>
  <c r="L28" i="55"/>
  <c r="I28" i="55"/>
  <c r="G28" i="61"/>
  <c r="K28" i="30"/>
  <c r="L28" i="29"/>
  <c r="G28" i="25"/>
  <c r="K28" i="57"/>
  <c r="I28" i="29"/>
  <c r="I28" i="57"/>
  <c r="F28" i="29"/>
  <c r="J28" i="29"/>
  <c r="J28" i="25"/>
  <c r="M28" i="57"/>
  <c r="G28" i="29"/>
  <c r="H28" i="25"/>
  <c r="J28" i="57"/>
  <c r="L27" i="25"/>
  <c r="E25" i="33"/>
  <c r="F29" i="31" s="1"/>
  <c r="M27" i="29"/>
  <c r="E13" i="34"/>
  <c r="E22" i="33"/>
  <c r="K26" i="31" s="1"/>
  <c r="N30" i="33"/>
  <c r="E30" i="33" s="1"/>
  <c r="I34" i="55" s="1"/>
  <c r="N31" i="33"/>
  <c r="E31" i="33" s="1"/>
  <c r="G35" i="61" s="1"/>
  <c r="N15" i="34"/>
  <c r="N19" i="34" s="1"/>
  <c r="N21" i="34" s="1"/>
  <c r="N32" i="33" s="1"/>
  <c r="N35" i="34"/>
  <c r="N37" i="34" s="1"/>
  <c r="N44" i="33" s="1"/>
  <c r="N56" i="33" s="1"/>
  <c r="E56" i="33" s="1"/>
  <c r="N29" i="34"/>
  <c r="N31" i="34" s="1"/>
  <c r="N41" i="33" s="1"/>
  <c r="N41" i="34"/>
  <c r="N43" i="34" s="1"/>
  <c r="N47" i="33" s="1"/>
  <c r="E38" i="35"/>
  <c r="I34" i="31"/>
  <c r="F21" i="34"/>
  <c r="E19" i="34"/>
  <c r="F31" i="34"/>
  <c r="F37" i="34"/>
  <c r="E29" i="33"/>
  <c r="J33" i="30" s="1"/>
  <c r="E15" i="34"/>
  <c r="F43" i="34"/>
  <c r="D174" i="20"/>
  <c r="L149" i="21"/>
  <c r="AK149" i="21" s="1"/>
  <c r="K37" i="66"/>
  <c r="I37" i="66" s="1"/>
  <c r="C149" i="20"/>
  <c r="G198" i="20"/>
  <c r="G199" i="20" s="1"/>
  <c r="L150" i="21"/>
  <c r="L196" i="21"/>
  <c r="AN157" i="21"/>
  <c r="AJ216" i="21"/>
  <c r="AK208" i="21"/>
  <c r="AM147" i="21"/>
  <c r="C220" i="20"/>
  <c r="AM220" i="21" s="1"/>
  <c r="F143" i="20"/>
  <c r="D143" i="20"/>
  <c r="D188" i="20"/>
  <c r="D190" i="20" s="1"/>
  <c r="S236" i="15"/>
  <c r="T236" i="15" s="1"/>
  <c r="AF235" i="16"/>
  <c r="AG235" i="16" s="1"/>
  <c r="AK235" i="16" s="1"/>
  <c r="AL235" i="16" s="1"/>
  <c r="T240" i="15"/>
  <c r="S93" i="15"/>
  <c r="T93" i="15" s="1"/>
  <c r="D271" i="16"/>
  <c r="S272" i="15"/>
  <c r="T272" i="15" s="1"/>
  <c r="S267" i="15"/>
  <c r="T267" i="15" s="1"/>
  <c r="D266" i="16"/>
  <c r="O264" i="15"/>
  <c r="AB263" i="16" s="1"/>
  <c r="N264" i="15"/>
  <c r="AA263" i="16" s="1"/>
  <c r="J264" i="15"/>
  <c r="L264" i="15"/>
  <c r="M263" i="16" s="1"/>
  <c r="P264" i="15"/>
  <c r="AF263" i="16" s="1"/>
  <c r="Q264" i="15"/>
  <c r="AH263" i="16" s="1"/>
  <c r="K264" i="15"/>
  <c r="L263" i="16" s="1"/>
  <c r="AJ263" i="16"/>
  <c r="M264" i="15"/>
  <c r="X263" i="16" s="1"/>
  <c r="P269" i="15"/>
  <c r="AF268" i="16" s="1"/>
  <c r="N269" i="15"/>
  <c r="AA268" i="16" s="1"/>
  <c r="K269" i="15"/>
  <c r="L268" i="16" s="1"/>
  <c r="M269" i="15"/>
  <c r="X268" i="16" s="1"/>
  <c r="Q269" i="15"/>
  <c r="AH268" i="16" s="1"/>
  <c r="AJ268" i="16"/>
  <c r="L269" i="15"/>
  <c r="M268" i="16" s="1"/>
  <c r="J269" i="15"/>
  <c r="O269" i="15"/>
  <c r="AB268" i="16" s="1"/>
  <c r="F276" i="15"/>
  <c r="AJ255" i="16"/>
  <c r="I261" i="15"/>
  <c r="J256" i="15"/>
  <c r="K257" i="15"/>
  <c r="AJ256" i="16"/>
  <c r="AJ259" i="16"/>
  <c r="J260" i="15"/>
  <c r="L250" i="15"/>
  <c r="M249" i="16" s="1"/>
  <c r="M250" i="15"/>
  <c r="X249" i="16" s="1"/>
  <c r="N250" i="15"/>
  <c r="AA249" i="16" s="1"/>
  <c r="O250" i="15"/>
  <c r="AB249" i="16" s="1"/>
  <c r="Q250" i="15"/>
  <c r="AH249" i="16" s="1"/>
  <c r="J250" i="15"/>
  <c r="AJ249" i="16"/>
  <c r="K250" i="15"/>
  <c r="L249" i="16" s="1"/>
  <c r="P250" i="15"/>
  <c r="AF249" i="16" s="1"/>
  <c r="Q252" i="15"/>
  <c r="AH251" i="16" s="1"/>
  <c r="O252" i="15"/>
  <c r="AB251" i="16" s="1"/>
  <c r="P252" i="15"/>
  <c r="AF251" i="16" s="1"/>
  <c r="K252" i="15"/>
  <c r="L251" i="16" s="1"/>
  <c r="AJ251" i="16"/>
  <c r="J252" i="15"/>
  <c r="L252" i="15"/>
  <c r="M251" i="16" s="1"/>
  <c r="M252" i="15"/>
  <c r="X251" i="16" s="1"/>
  <c r="N252" i="15"/>
  <c r="AA251" i="16" s="1"/>
  <c r="L258" i="15"/>
  <c r="AJ257" i="16"/>
  <c r="AJ238" i="16"/>
  <c r="AJ239" i="16"/>
  <c r="AL236" i="16"/>
  <c r="S235" i="15"/>
  <c r="T235" i="15" s="1"/>
  <c r="AF234" i="16"/>
  <c r="AG234" i="16" s="1"/>
  <c r="AJ226" i="16"/>
  <c r="AL226" i="16" s="1"/>
  <c r="P227" i="15"/>
  <c r="D278" i="15"/>
  <c r="AJ225" i="16"/>
  <c r="AL225" i="16" s="1"/>
  <c r="I230" i="15"/>
  <c r="J218" i="15"/>
  <c r="P218" i="15"/>
  <c r="AJ217" i="16"/>
  <c r="M218" i="15"/>
  <c r="X217" i="16" s="1"/>
  <c r="N218" i="15"/>
  <c r="L218" i="15"/>
  <c r="O218" i="15"/>
  <c r="K218" i="15"/>
  <c r="Q218" i="15"/>
  <c r="M218" i="16"/>
  <c r="S219" i="15"/>
  <c r="T219" i="15" s="1"/>
  <c r="F210" i="15"/>
  <c r="L143" i="15"/>
  <c r="AJ143" i="16"/>
  <c r="AJ145" i="16"/>
  <c r="L145" i="15"/>
  <c r="AJ139" i="16"/>
  <c r="S140" i="15"/>
  <c r="T140" i="15" s="1"/>
  <c r="M140" i="16"/>
  <c r="W141" i="16"/>
  <c r="V141" i="16"/>
  <c r="S141" i="16"/>
  <c r="O141" i="16"/>
  <c r="P141" i="16"/>
  <c r="Q141" i="16"/>
  <c r="N141" i="16"/>
  <c r="U141" i="16"/>
  <c r="R141" i="16"/>
  <c r="T141" i="16"/>
  <c r="M149" i="15"/>
  <c r="X141" i="16"/>
  <c r="X149" i="16" s="1"/>
  <c r="AJ144" i="16"/>
  <c r="L144" i="15"/>
  <c r="O149" i="15"/>
  <c r="AB141" i="16"/>
  <c r="AB149" i="16" s="1"/>
  <c r="Q149" i="15"/>
  <c r="R19" i="75" s="1"/>
  <c r="AH141" i="16"/>
  <c r="AH149" i="16" s="1"/>
  <c r="Y146" i="16"/>
  <c r="Z146" i="16"/>
  <c r="Z149" i="16" s="1"/>
  <c r="J137" i="15"/>
  <c r="D128" i="16"/>
  <c r="D137" i="16" s="1"/>
  <c r="AJ126" i="16"/>
  <c r="I136" i="15"/>
  <c r="S128" i="15"/>
  <c r="T128" i="15" s="1"/>
  <c r="AJ131" i="16"/>
  <c r="L131" i="15"/>
  <c r="AJ132" i="16"/>
  <c r="M132" i="15"/>
  <c r="L127" i="15"/>
  <c r="AJ127" i="16"/>
  <c r="I137" i="15"/>
  <c r="O126" i="15" s="1"/>
  <c r="U128" i="16"/>
  <c r="O128" i="16"/>
  <c r="W128" i="16"/>
  <c r="AJ133" i="16"/>
  <c r="L133" i="15"/>
  <c r="L129" i="15"/>
  <c r="AJ129" i="16"/>
  <c r="M137" i="15"/>
  <c r="M126" i="15" s="1"/>
  <c r="X126" i="16" s="1"/>
  <c r="P137" i="15"/>
  <c r="AF128" i="16"/>
  <c r="AF137" i="16" s="1"/>
  <c r="X128" i="16"/>
  <c r="L135" i="15"/>
  <c r="AJ135" i="16"/>
  <c r="AL135" i="16" s="1"/>
  <c r="L130" i="15"/>
  <c r="AJ130" i="16"/>
  <c r="N137" i="15"/>
  <c r="AA128" i="16"/>
  <c r="AA137" i="16" s="1"/>
  <c r="S116" i="15"/>
  <c r="T116" i="15" s="1"/>
  <c r="L116" i="16"/>
  <c r="AL116" i="16" s="1"/>
  <c r="AJ119" i="16"/>
  <c r="K119" i="15"/>
  <c r="AJ114" i="16"/>
  <c r="K114" i="15"/>
  <c r="I115" i="15"/>
  <c r="I120" i="15" s="1"/>
  <c r="AJ118" i="16"/>
  <c r="K118" i="15"/>
  <c r="H120" i="15"/>
  <c r="K117" i="15"/>
  <c r="AJ117" i="16"/>
  <c r="AJ103" i="16"/>
  <c r="I111" i="15"/>
  <c r="K103" i="15"/>
  <c r="S105" i="15"/>
  <c r="T105" i="15" s="1"/>
  <c r="Q111" i="15"/>
  <c r="Q122" i="15" s="1"/>
  <c r="AH107" i="16"/>
  <c r="AH111" i="16" s="1"/>
  <c r="AH122" i="16" s="1"/>
  <c r="AB107" i="16"/>
  <c r="AB111" i="16" s="1"/>
  <c r="AB122" i="16" s="1"/>
  <c r="S106" i="15"/>
  <c r="T106" i="15" s="1"/>
  <c r="L106" i="16"/>
  <c r="AL106" i="16" s="1"/>
  <c r="AJ110" i="16"/>
  <c r="K110" i="15"/>
  <c r="S82" i="15"/>
  <c r="T82" i="15" s="1"/>
  <c r="S84" i="15"/>
  <c r="T84" i="15" s="1"/>
  <c r="F152" i="15"/>
  <c r="S77" i="15"/>
  <c r="T77" i="15" s="1"/>
  <c r="D242" i="15"/>
  <c r="E25" i="75" s="1"/>
  <c r="S43" i="15"/>
  <c r="T43" i="15" s="1"/>
  <c r="S29" i="15"/>
  <c r="T29" i="15" s="1"/>
  <c r="S16" i="15"/>
  <c r="T16" i="15" s="1"/>
  <c r="S21" i="15"/>
  <c r="T21" i="15" s="1"/>
  <c r="S19" i="15"/>
  <c r="T19" i="15" s="1"/>
  <c r="M267" i="9"/>
  <c r="S267" i="8"/>
  <c r="T267" i="8" s="1"/>
  <c r="S264" i="8"/>
  <c r="T264" i="8" s="1"/>
  <c r="S274" i="8"/>
  <c r="K270" i="8"/>
  <c r="L270" i="9" s="1"/>
  <c r="O270" i="8"/>
  <c r="AB270" i="9" s="1"/>
  <c r="P270" i="8"/>
  <c r="AF270" i="9" s="1"/>
  <c r="AJ270" i="9"/>
  <c r="M270" i="8"/>
  <c r="X270" i="9" s="1"/>
  <c r="L270" i="8"/>
  <c r="M270" i="9" s="1"/>
  <c r="J270" i="8"/>
  <c r="Q270" i="8"/>
  <c r="AH270" i="9" s="1"/>
  <c r="N270" i="8"/>
  <c r="AA270" i="9" s="1"/>
  <c r="S271" i="8"/>
  <c r="T271" i="8" s="1"/>
  <c r="AJ266" i="9"/>
  <c r="AJ260" i="9"/>
  <c r="S258" i="8"/>
  <c r="T258" i="8" s="1"/>
  <c r="S261" i="8"/>
  <c r="T261" i="8" s="1"/>
  <c r="AJ257" i="9"/>
  <c r="Q251" i="8"/>
  <c r="AH251" i="9" s="1"/>
  <c r="P251" i="8"/>
  <c r="AF251" i="9" s="1"/>
  <c r="L251" i="8"/>
  <c r="M251" i="9" s="1"/>
  <c r="K251" i="8"/>
  <c r="L251" i="9" s="1"/>
  <c r="N251" i="8"/>
  <c r="AA251" i="9" s="1"/>
  <c r="J251" i="8"/>
  <c r="AJ251" i="9"/>
  <c r="O251" i="8"/>
  <c r="AB251" i="9" s="1"/>
  <c r="M251" i="8"/>
  <c r="X251" i="9" s="1"/>
  <c r="S259" i="8"/>
  <c r="T259" i="8" s="1"/>
  <c r="AJ256" i="9"/>
  <c r="AL237" i="9"/>
  <c r="AF235" i="9"/>
  <c r="P241" i="8"/>
  <c r="S235" i="8"/>
  <c r="T235" i="8" s="1"/>
  <c r="S238" i="8"/>
  <c r="T238" i="8" s="1"/>
  <c r="AF238" i="9"/>
  <c r="AG238" i="9" s="1"/>
  <c r="AK238" i="9" s="1"/>
  <c r="AL238" i="9" s="1"/>
  <c r="I240" i="8"/>
  <c r="AJ233" i="9"/>
  <c r="P233" i="8"/>
  <c r="P236" i="8"/>
  <c r="AJ236" i="9"/>
  <c r="H230" i="8"/>
  <c r="H242" i="8" s="1"/>
  <c r="I229" i="8"/>
  <c r="AJ229" i="9" s="1"/>
  <c r="I231" i="8"/>
  <c r="AJ227" i="9"/>
  <c r="O227" i="8"/>
  <c r="S228" i="8"/>
  <c r="L231" i="8"/>
  <c r="M228" i="9"/>
  <c r="M230" i="9" s="1"/>
  <c r="L230" i="8"/>
  <c r="G230" i="8"/>
  <c r="G242" i="8" s="1"/>
  <c r="G277" i="8" s="1"/>
  <c r="G279" i="8" s="1"/>
  <c r="G283" i="8" s="1"/>
  <c r="G285" i="8" s="1"/>
  <c r="G441" i="1" s="1"/>
  <c r="M223" i="8"/>
  <c r="S218" i="8"/>
  <c r="X218" i="9"/>
  <c r="AH217" i="9"/>
  <c r="AH222" i="9" s="1"/>
  <c r="AH242" i="9" s="1"/>
  <c r="Q222" i="8"/>
  <c r="Q242" i="8" s="1"/>
  <c r="I221" i="8"/>
  <c r="I230" i="8"/>
  <c r="O229" i="8"/>
  <c r="K222" i="8"/>
  <c r="K242" i="8" s="1"/>
  <c r="L217" i="9"/>
  <c r="L222" i="9" s="1"/>
  <c r="L242" i="9" s="1"/>
  <c r="P222" i="8"/>
  <c r="AF217" i="9"/>
  <c r="AF222" i="9" s="1"/>
  <c r="I207" i="8"/>
  <c r="I194" i="8"/>
  <c r="T165" i="8"/>
  <c r="H211" i="8"/>
  <c r="T211" i="8" s="1"/>
  <c r="AJ146" i="9"/>
  <c r="M146" i="8"/>
  <c r="AJ147" i="9"/>
  <c r="M143" i="9"/>
  <c r="S143" i="8"/>
  <c r="M145" i="9"/>
  <c r="S145" i="8"/>
  <c r="L140" i="8"/>
  <c r="I149" i="8"/>
  <c r="K147" i="8" s="1"/>
  <c r="L147" i="9" s="1"/>
  <c r="AJ140" i="9"/>
  <c r="M144" i="9"/>
  <c r="S144" i="8"/>
  <c r="T144" i="8" s="1"/>
  <c r="M142" i="9"/>
  <c r="S142" i="8"/>
  <c r="T142" i="8" s="1"/>
  <c r="M141" i="9"/>
  <c r="S141" i="8"/>
  <c r="T141" i="8" s="1"/>
  <c r="I127" i="8"/>
  <c r="H137" i="8"/>
  <c r="H136" i="8"/>
  <c r="F150" i="8"/>
  <c r="I134" i="8"/>
  <c r="T132" i="8"/>
  <c r="L128" i="8"/>
  <c r="AJ128" i="9"/>
  <c r="AJ133" i="9"/>
  <c r="L133" i="8"/>
  <c r="AJ126" i="9"/>
  <c r="AJ131" i="9"/>
  <c r="L131" i="8"/>
  <c r="AK132" i="9"/>
  <c r="AL132" i="9" s="1"/>
  <c r="Y137" i="9"/>
  <c r="AJ129" i="9"/>
  <c r="L129" i="8"/>
  <c r="I119" i="8"/>
  <c r="S116" i="8"/>
  <c r="L116" i="9"/>
  <c r="H120" i="8"/>
  <c r="H122" i="8" s="1"/>
  <c r="K118" i="8"/>
  <c r="AJ118" i="9"/>
  <c r="S114" i="8"/>
  <c r="L114" i="9"/>
  <c r="S103" i="8"/>
  <c r="T103" i="8" s="1"/>
  <c r="L103" i="9"/>
  <c r="I106" i="8"/>
  <c r="L108" i="9"/>
  <c r="AK108" i="9" s="1"/>
  <c r="AL108" i="9" s="1"/>
  <c r="S108" i="8"/>
  <c r="T108" i="8" s="1"/>
  <c r="S104" i="8"/>
  <c r="T104" i="8" s="1"/>
  <c r="L104" i="9"/>
  <c r="AK104" i="9" s="1"/>
  <c r="AL104" i="9" s="1"/>
  <c r="S107" i="8"/>
  <c r="T107" i="8" s="1"/>
  <c r="L107" i="9"/>
  <c r="AK107" i="9" s="1"/>
  <c r="AL107" i="9" s="1"/>
  <c r="S105" i="8"/>
  <c r="L105" i="9"/>
  <c r="AK105" i="9" s="1"/>
  <c r="AL105" i="9" s="1"/>
  <c r="K110" i="8"/>
  <c r="AJ110" i="9"/>
  <c r="S109" i="8"/>
  <c r="L109" i="9"/>
  <c r="AK109" i="9" s="1"/>
  <c r="AL109" i="9" s="1"/>
  <c r="S95" i="8"/>
  <c r="T95" i="8" s="1"/>
  <c r="AJ96" i="9"/>
  <c r="S93" i="8"/>
  <c r="S85" i="8"/>
  <c r="S84" i="8"/>
  <c r="S86" i="8"/>
  <c r="T86" i="8" s="1"/>
  <c r="S82" i="8"/>
  <c r="T82" i="8" s="1"/>
  <c r="AJ76" i="9"/>
  <c r="AJ79" i="9" s="1"/>
  <c r="S79" i="8"/>
  <c r="T79" i="8" s="1"/>
  <c r="S74" i="8"/>
  <c r="S78" i="8"/>
  <c r="AJ47" i="9"/>
  <c r="AJ52" i="9" s="1"/>
  <c r="S48" i="8"/>
  <c r="S49" i="8"/>
  <c r="T49" i="8" s="1"/>
  <c r="D243" i="8"/>
  <c r="E31" i="75" s="1"/>
  <c r="S51" i="8"/>
  <c r="D283" i="8"/>
  <c r="D285" i="8" s="1"/>
  <c r="D441" i="1" s="1"/>
  <c r="D444" i="1" s="1"/>
  <c r="S37" i="8"/>
  <c r="T41" i="8"/>
  <c r="S40" i="8"/>
  <c r="T40" i="8" s="1"/>
  <c r="AJ42" i="9"/>
  <c r="S39" i="8"/>
  <c r="S25" i="8"/>
  <c r="T25" i="8" s="1"/>
  <c r="AJ29" i="9"/>
  <c r="S28" i="8"/>
  <c r="S30" i="8"/>
  <c r="S19" i="8"/>
  <c r="AJ18" i="9"/>
  <c r="S16" i="8"/>
  <c r="T16" i="8" s="1"/>
  <c r="S20" i="8"/>
  <c r="T20" i="8" s="1"/>
  <c r="AJ14" i="9"/>
  <c r="S13" i="8"/>
  <c r="AF239" i="6"/>
  <c r="AG239" i="6" s="1"/>
  <c r="AK239" i="6" s="1"/>
  <c r="AL239" i="6" s="1"/>
  <c r="S239" i="5"/>
  <c r="T239" i="5" s="1"/>
  <c r="AH219" i="6"/>
  <c r="AF219" i="6"/>
  <c r="P223" i="5"/>
  <c r="Q15" i="75" s="1"/>
  <c r="N219" i="8"/>
  <c r="AA219" i="6"/>
  <c r="AJ33" i="6"/>
  <c r="I223" i="5"/>
  <c r="M219" i="6"/>
  <c r="L223" i="5"/>
  <c r="M15" i="75" s="1"/>
  <c r="H223" i="5"/>
  <c r="I15" i="75" s="1"/>
  <c r="G15" i="75"/>
  <c r="G221" i="5"/>
  <c r="D219" i="6"/>
  <c r="J223" i="5"/>
  <c r="K15" i="75" s="1"/>
  <c r="D152" i="5"/>
  <c r="D279" i="5" s="1"/>
  <c r="G28" i="66" s="1"/>
  <c r="G32" i="66" s="1"/>
  <c r="S128" i="5"/>
  <c r="T128" i="5" s="1"/>
  <c r="F150" i="5"/>
  <c r="S91" i="5"/>
  <c r="T91" i="5" s="1"/>
  <c r="S92" i="5"/>
  <c r="T92" i="5" s="1"/>
  <c r="S47" i="5"/>
  <c r="T47" i="5" s="1"/>
  <c r="AK47" i="6"/>
  <c r="AL47" i="6" s="1"/>
  <c r="S30" i="5"/>
  <c r="T30" i="5" s="1"/>
  <c r="S29" i="5"/>
  <c r="T29" i="5" s="1"/>
  <c r="S26" i="5"/>
  <c r="T26" i="5" s="1"/>
  <c r="S50" i="5"/>
  <c r="T50" i="5" s="1"/>
  <c r="S75" i="5"/>
  <c r="T75" i="5" s="1"/>
  <c r="S78" i="5"/>
  <c r="T78" i="5" s="1"/>
  <c r="S85" i="5"/>
  <c r="T85" i="5" s="1"/>
  <c r="S94" i="5"/>
  <c r="T94" i="5" s="1"/>
  <c r="S95" i="5"/>
  <c r="T95" i="5" s="1"/>
  <c r="T202" i="5"/>
  <c r="F242" i="5"/>
  <c r="F277" i="5" s="1"/>
  <c r="AC219" i="6"/>
  <c r="AE219" i="6"/>
  <c r="AD219" i="6"/>
  <c r="G114" i="12"/>
  <c r="G117" i="12" s="1"/>
  <c r="G118" i="12" s="1"/>
  <c r="D65" i="20" s="1"/>
  <c r="D155" i="20" s="1"/>
  <c r="P17" i="75"/>
  <c r="O217" i="8"/>
  <c r="S261" i="5"/>
  <c r="T261" i="5" s="1"/>
  <c r="S252" i="5"/>
  <c r="T252" i="5" s="1"/>
  <c r="S274" i="5"/>
  <c r="T274" i="5" s="1"/>
  <c r="H272" i="8"/>
  <c r="F277" i="8"/>
  <c r="K272" i="5"/>
  <c r="L272" i="6" s="1"/>
  <c r="P272" i="5"/>
  <c r="AF272" i="6" s="1"/>
  <c r="M272" i="5"/>
  <c r="X272" i="6" s="1"/>
  <c r="AJ272" i="6"/>
  <c r="N272" i="5"/>
  <c r="AA272" i="6" s="1"/>
  <c r="Q272" i="5"/>
  <c r="AH272" i="6" s="1"/>
  <c r="O272" i="5"/>
  <c r="AB272" i="6" s="1"/>
  <c r="J272" i="5"/>
  <c r="T268" i="8"/>
  <c r="I268" i="8"/>
  <c r="S259" i="5"/>
  <c r="T259" i="5" s="1"/>
  <c r="AJ256" i="6"/>
  <c r="Q249" i="5"/>
  <c r="AH249" i="6" s="1"/>
  <c r="M249" i="5"/>
  <c r="X249" i="6" s="1"/>
  <c r="P249" i="5"/>
  <c r="AF249" i="6" s="1"/>
  <c r="J249" i="5"/>
  <c r="D249" i="6" s="1"/>
  <c r="L249" i="5"/>
  <c r="M249" i="6" s="1"/>
  <c r="K249" i="5"/>
  <c r="L249" i="6" s="1"/>
  <c r="AJ249" i="6"/>
  <c r="N249" i="5"/>
  <c r="AA249" i="6" s="1"/>
  <c r="O249" i="5"/>
  <c r="AB249" i="6" s="1"/>
  <c r="S257" i="5"/>
  <c r="T257" i="5" s="1"/>
  <c r="S260" i="5"/>
  <c r="T260" i="5" s="1"/>
  <c r="K251" i="5"/>
  <c r="L251" i="6" s="1"/>
  <c r="P251" i="5"/>
  <c r="AF251" i="6" s="1"/>
  <c r="N251" i="5"/>
  <c r="AA251" i="6" s="1"/>
  <c r="J251" i="5"/>
  <c r="D251" i="6" s="1"/>
  <c r="AJ251" i="6"/>
  <c r="Q251" i="5"/>
  <c r="AH251" i="6" s="1"/>
  <c r="M251" i="5"/>
  <c r="X251" i="6" s="1"/>
  <c r="L251" i="5"/>
  <c r="M251" i="6" s="1"/>
  <c r="O251" i="5"/>
  <c r="AB251" i="6" s="1"/>
  <c r="I241" i="5"/>
  <c r="AJ235" i="6"/>
  <c r="AL235" i="6" s="1"/>
  <c r="P235" i="5"/>
  <c r="P238" i="5"/>
  <c r="AJ238" i="6"/>
  <c r="P233" i="5"/>
  <c r="I240" i="5"/>
  <c r="AJ233" i="6"/>
  <c r="AJ237" i="6"/>
  <c r="P237" i="5"/>
  <c r="AF236" i="6"/>
  <c r="AG236" i="6" s="1"/>
  <c r="AK236" i="6" s="1"/>
  <c r="AL236" i="6" s="1"/>
  <c r="S236" i="5"/>
  <c r="T236" i="5" s="1"/>
  <c r="O228" i="5"/>
  <c r="AJ228" i="6"/>
  <c r="AJ226" i="6"/>
  <c r="O226" i="5"/>
  <c r="H229" i="5"/>
  <c r="S227" i="5"/>
  <c r="T227" i="5" s="1"/>
  <c r="O231" i="5"/>
  <c r="P229" i="5" s="1"/>
  <c r="AB227" i="6"/>
  <c r="X218" i="6"/>
  <c r="M223" i="5"/>
  <c r="S218" i="5"/>
  <c r="T218" i="5" s="1"/>
  <c r="H16" i="75"/>
  <c r="G220" i="15"/>
  <c r="H220" i="15" s="1"/>
  <c r="G216" i="15"/>
  <c r="G228" i="15"/>
  <c r="AA105" i="13"/>
  <c r="S107" i="12"/>
  <c r="T107" i="12" s="1"/>
  <c r="S220" i="5"/>
  <c r="T220" i="5" s="1"/>
  <c r="M220" i="6"/>
  <c r="AJ217" i="6"/>
  <c r="I105" i="12"/>
  <c r="N105" i="12"/>
  <c r="AJ105" i="13"/>
  <c r="Q217" i="5"/>
  <c r="J15" i="75"/>
  <c r="I106" i="12"/>
  <c r="N106" i="12"/>
  <c r="I217" i="15"/>
  <c r="H222" i="15"/>
  <c r="H197" i="5"/>
  <c r="G207" i="5"/>
  <c r="H207" i="5" s="1"/>
  <c r="T207" i="5" s="1"/>
  <c r="T198" i="5"/>
  <c r="I198" i="5"/>
  <c r="I200" i="5"/>
  <c r="T200" i="5"/>
  <c r="T199" i="5"/>
  <c r="I199" i="5"/>
  <c r="I204" i="5"/>
  <c r="T204" i="5"/>
  <c r="T203" i="5"/>
  <c r="I203" i="5"/>
  <c r="I186" i="5"/>
  <c r="T186" i="5"/>
  <c r="F211" i="5"/>
  <c r="I184" i="5"/>
  <c r="T184" i="5"/>
  <c r="I187" i="5"/>
  <c r="T187" i="5"/>
  <c r="I191" i="5"/>
  <c r="T191" i="5"/>
  <c r="I190" i="5"/>
  <c r="T190" i="5"/>
  <c r="I188" i="5"/>
  <c r="T188" i="5"/>
  <c r="I192" i="5"/>
  <c r="T192" i="5"/>
  <c r="I185" i="5"/>
  <c r="T185" i="5"/>
  <c r="I189" i="5"/>
  <c r="T189" i="5"/>
  <c r="I193" i="5"/>
  <c r="T193" i="5"/>
  <c r="H194" i="5"/>
  <c r="T194" i="5" s="1"/>
  <c r="G179" i="5"/>
  <c r="I169" i="5"/>
  <c r="I179" i="5" s="1"/>
  <c r="H179" i="5"/>
  <c r="T165" i="5"/>
  <c r="E243" i="5"/>
  <c r="F30" i="75" s="1"/>
  <c r="E279" i="5"/>
  <c r="D75" i="20"/>
  <c r="AJ75" i="21" s="1"/>
  <c r="AJ74" i="21"/>
  <c r="I165" i="5"/>
  <c r="H96" i="12"/>
  <c r="Q147" i="5"/>
  <c r="AH147" i="6" s="1"/>
  <c r="N147" i="5"/>
  <c r="AA147" i="6" s="1"/>
  <c r="P147" i="5"/>
  <c r="AF147" i="6" s="1"/>
  <c r="J18" i="75"/>
  <c r="J147" i="5"/>
  <c r="D147" i="6" s="1"/>
  <c r="O147" i="5"/>
  <c r="AB147" i="6" s="1"/>
  <c r="AJ145" i="6"/>
  <c r="L145" i="5"/>
  <c r="AJ144" i="6"/>
  <c r="L144" i="5"/>
  <c r="L142" i="5"/>
  <c r="AJ142" i="6"/>
  <c r="M140" i="6"/>
  <c r="S140" i="5"/>
  <c r="T140" i="5" s="1"/>
  <c r="AJ143" i="6"/>
  <c r="L143" i="5"/>
  <c r="M149" i="5"/>
  <c r="S146" i="5"/>
  <c r="T146" i="5" s="1"/>
  <c r="X146" i="6"/>
  <c r="L141" i="5"/>
  <c r="AJ141" i="6"/>
  <c r="M139" i="5"/>
  <c r="O139" i="5"/>
  <c r="Q139" i="5"/>
  <c r="P139" i="5"/>
  <c r="AJ139" i="6"/>
  <c r="J139" i="5"/>
  <c r="D139" i="6" s="1"/>
  <c r="N139" i="5"/>
  <c r="I148" i="5"/>
  <c r="AL140" i="6"/>
  <c r="L127" i="5"/>
  <c r="AJ127" i="6"/>
  <c r="I137" i="5"/>
  <c r="P134" i="5" s="1"/>
  <c r="H150" i="5"/>
  <c r="M129" i="6"/>
  <c r="S129" i="5"/>
  <c r="T129" i="5" s="1"/>
  <c r="S130" i="5"/>
  <c r="T130" i="5" s="1"/>
  <c r="M130" i="6"/>
  <c r="V128" i="6"/>
  <c r="S128" i="6"/>
  <c r="N128" i="6"/>
  <c r="U128" i="6"/>
  <c r="R128" i="6"/>
  <c r="O128" i="6"/>
  <c r="W128" i="6"/>
  <c r="Q128" i="6"/>
  <c r="T128" i="6"/>
  <c r="AJ135" i="6"/>
  <c r="AL135" i="6" s="1"/>
  <c r="L135" i="5"/>
  <c r="M132" i="5"/>
  <c r="AJ132" i="6"/>
  <c r="AJ133" i="6"/>
  <c r="L133" i="5"/>
  <c r="AJ126" i="6"/>
  <c r="I136" i="5"/>
  <c r="L131" i="5"/>
  <c r="AJ131" i="6"/>
  <c r="AL116" i="6"/>
  <c r="L117" i="6"/>
  <c r="AK117" i="6" s="1"/>
  <c r="AL117" i="6" s="1"/>
  <c r="S117" i="5"/>
  <c r="T117" i="5" s="1"/>
  <c r="K118" i="5"/>
  <c r="AJ118" i="6"/>
  <c r="K115" i="5"/>
  <c r="AJ115" i="6"/>
  <c r="AJ114" i="6"/>
  <c r="K114" i="5"/>
  <c r="I120" i="5"/>
  <c r="S119" i="5"/>
  <c r="T119" i="5" s="1"/>
  <c r="L119" i="6"/>
  <c r="AK119" i="6" s="1"/>
  <c r="AL119" i="6" s="1"/>
  <c r="AJ104" i="6"/>
  <c r="K104" i="5"/>
  <c r="L105" i="6"/>
  <c r="AK105" i="6" s="1"/>
  <c r="AL105" i="6" s="1"/>
  <c r="S105" i="5"/>
  <c r="T105" i="5" s="1"/>
  <c r="AJ109" i="6"/>
  <c r="K109" i="5"/>
  <c r="K106" i="5"/>
  <c r="AJ106" i="6"/>
  <c r="AJ108" i="6"/>
  <c r="K108" i="5"/>
  <c r="AJ107" i="6"/>
  <c r="K107" i="5"/>
  <c r="AJ103" i="6"/>
  <c r="K103" i="5"/>
  <c r="I111" i="5"/>
  <c r="K110" i="5"/>
  <c r="AJ110" i="6"/>
  <c r="H122" i="5"/>
  <c r="AJ83" i="6"/>
  <c r="AJ84" i="6"/>
  <c r="AJ82" i="6"/>
  <c r="AJ74" i="6"/>
  <c r="AJ76" i="6"/>
  <c r="D243" i="5"/>
  <c r="E30" i="75" s="1"/>
  <c r="AJ51" i="6"/>
  <c r="AJ48" i="6"/>
  <c r="F152" i="5"/>
  <c r="AJ37" i="6"/>
  <c r="AJ38" i="6"/>
  <c r="AJ43" i="6"/>
  <c r="AL43" i="6" s="1"/>
  <c r="AJ39" i="6"/>
  <c r="AJ41" i="6"/>
  <c r="AJ40" i="6"/>
  <c r="AJ42" i="6"/>
  <c r="AJ27" i="6"/>
  <c r="AJ28" i="6"/>
  <c r="AJ25" i="6"/>
  <c r="S13" i="5"/>
  <c r="T13" i="5" s="1"/>
  <c r="AJ19" i="6"/>
  <c r="S14" i="5"/>
  <c r="T14" i="5" s="1"/>
  <c r="AJ15" i="6"/>
  <c r="AJ16" i="6"/>
  <c r="AJ17" i="6"/>
  <c r="AJ20" i="6"/>
  <c r="AL20" i="6" s="1"/>
  <c r="S18" i="5"/>
  <c r="T18" i="5" s="1"/>
  <c r="AJ21" i="6"/>
  <c r="AL21" i="6" s="1"/>
  <c r="AK88" i="3"/>
  <c r="AL88" i="3" s="1"/>
  <c r="L109" i="14"/>
  <c r="L25" i="19"/>
  <c r="L101" i="14"/>
  <c r="AK84" i="3"/>
  <c r="AL84" i="3" s="1"/>
  <c r="P94" i="3"/>
  <c r="R175" i="4" s="1"/>
  <c r="AK86" i="3"/>
  <c r="AL86" i="3" s="1"/>
  <c r="Q98" i="2"/>
  <c r="R130" i="17"/>
  <c r="R143" i="17" s="1"/>
  <c r="U94" i="3"/>
  <c r="W175" i="4" s="1"/>
  <c r="AA122" i="16"/>
  <c r="AL107" i="16"/>
  <c r="AK59" i="3"/>
  <c r="AL59" i="3" s="1"/>
  <c r="AK54" i="3"/>
  <c r="AL54" i="3" s="1"/>
  <c r="AK34" i="3"/>
  <c r="AL34" i="3" s="1"/>
  <c r="P98" i="2"/>
  <c r="F96" i="2"/>
  <c r="U28" i="75"/>
  <c r="AK24" i="3"/>
  <c r="AL24" i="3" s="1"/>
  <c r="M98" i="3"/>
  <c r="AK22" i="3"/>
  <c r="AL22" i="3" s="1"/>
  <c r="D96" i="2"/>
  <c r="I98" i="2"/>
  <c r="I142" i="2" s="1"/>
  <c r="AK14" i="3"/>
  <c r="AL14" i="3" s="1"/>
  <c r="N76" i="3"/>
  <c r="AK56" i="3"/>
  <c r="AL56" i="3" s="1"/>
  <c r="S94" i="3"/>
  <c r="U175" i="4" s="1"/>
  <c r="R94" i="3"/>
  <c r="T175" i="4" s="1"/>
  <c r="T94" i="3"/>
  <c r="V175" i="4" s="1"/>
  <c r="P76" i="3"/>
  <c r="AK92" i="3"/>
  <c r="AL92" i="3" s="1"/>
  <c r="Q94" i="3"/>
  <c r="S175" i="4" s="1"/>
  <c r="O94" i="3"/>
  <c r="Q175" i="4" s="1"/>
  <c r="AK83" i="3"/>
  <c r="AL83" i="3" s="1"/>
  <c r="X98" i="3"/>
  <c r="W110" i="14"/>
  <c r="W257" i="17"/>
  <c r="U257" i="17"/>
  <c r="U110" i="14"/>
  <c r="T96" i="3"/>
  <c r="T118" i="3" s="1"/>
  <c r="R110" i="14"/>
  <c r="AL66" i="3"/>
  <c r="AK150" i="3"/>
  <c r="AL150" i="3" s="1"/>
  <c r="O129" i="17"/>
  <c r="R129" i="7"/>
  <c r="R142" i="7" s="1"/>
  <c r="P129" i="17"/>
  <c r="P142" i="17" s="1"/>
  <c r="V130" i="17"/>
  <c r="V130" i="7"/>
  <c r="V143" i="7" s="1"/>
  <c r="AK87" i="3"/>
  <c r="AL87" i="3" s="1"/>
  <c r="AH98" i="3"/>
  <c r="AH96" i="3"/>
  <c r="AH118" i="3" s="1"/>
  <c r="I103" i="12"/>
  <c r="H114" i="12"/>
  <c r="P122" i="15"/>
  <c r="AM11" i="21"/>
  <c r="AK23" i="3"/>
  <c r="AL23" i="3" s="1"/>
  <c r="R98" i="3"/>
  <c r="N94" i="3"/>
  <c r="N257" i="17" s="1"/>
  <c r="AK79" i="3"/>
  <c r="AL79" i="3" s="1"/>
  <c r="J96" i="2"/>
  <c r="S50" i="2"/>
  <c r="T50" i="2" s="1"/>
  <c r="S129" i="17"/>
  <c r="S142" i="17" s="1"/>
  <c r="S129" i="7"/>
  <c r="S142" i="7" s="1"/>
  <c r="P130" i="17"/>
  <c r="P143" i="17" s="1"/>
  <c r="M98" i="2"/>
  <c r="S94" i="2"/>
  <c r="T94" i="2" s="1"/>
  <c r="O98" i="2"/>
  <c r="Q134" i="15"/>
  <c r="AH134" i="16" s="1"/>
  <c r="R22" i="75"/>
  <c r="AK15" i="21"/>
  <c r="AN15" i="21" s="1"/>
  <c r="AJ98" i="3"/>
  <c r="AJ142" i="3" s="1"/>
  <c r="AK81" i="3"/>
  <c r="AL81" i="3" s="1"/>
  <c r="Y94" i="3"/>
  <c r="AK89" i="3"/>
  <c r="AL89" i="3" s="1"/>
  <c r="AK37" i="3"/>
  <c r="AL37" i="3" s="1"/>
  <c r="AL68" i="3"/>
  <c r="AK50" i="3"/>
  <c r="AL50" i="3" s="1"/>
  <c r="T144" i="17"/>
  <c r="M144" i="17" s="1"/>
  <c r="T144" i="7"/>
  <c r="M144" i="7" s="1"/>
  <c r="AK21" i="3"/>
  <c r="AL21" i="3" s="1"/>
  <c r="F16" i="20"/>
  <c r="S152" i="2"/>
  <c r="T152" i="2" s="1"/>
  <c r="Q96" i="2"/>
  <c r="AB98" i="3"/>
  <c r="AB96" i="3"/>
  <c r="AB118" i="3" s="1"/>
  <c r="S39" i="2"/>
  <c r="T39" i="2" s="1"/>
  <c r="N98" i="2"/>
  <c r="AK107" i="21"/>
  <c r="AN107" i="21" s="1"/>
  <c r="AK53" i="3"/>
  <c r="AL53" i="3" s="1"/>
  <c r="AK58" i="3"/>
  <c r="AL58" i="3" s="1"/>
  <c r="V94" i="3"/>
  <c r="V110" i="14" s="1"/>
  <c r="AK80" i="3"/>
  <c r="AL80" i="3" s="1"/>
  <c r="AK146" i="3"/>
  <c r="AL146" i="3" s="1"/>
  <c r="O129" i="7"/>
  <c r="AL170" i="3"/>
  <c r="AK31" i="3"/>
  <c r="AL31" i="3" s="1"/>
  <c r="V76" i="3"/>
  <c r="S61" i="2"/>
  <c r="T61" i="2" s="1"/>
  <c r="V129" i="17"/>
  <c r="V142" i="17" s="1"/>
  <c r="V129" i="7"/>
  <c r="V142" i="7" s="1"/>
  <c r="O130" i="17"/>
  <c r="O130" i="7"/>
  <c r="AK85" i="3"/>
  <c r="AL85" i="3" s="1"/>
  <c r="S76" i="2"/>
  <c r="T76" i="2" s="1"/>
  <c r="S130" i="17"/>
  <c r="S143" i="17" s="1"/>
  <c r="S27" i="2"/>
  <c r="T27" i="2" s="1"/>
  <c r="AA98" i="3"/>
  <c r="O19" i="75"/>
  <c r="D107" i="21"/>
  <c r="AF98" i="3"/>
  <c r="AF96" i="3"/>
  <c r="AF118" i="3" s="1"/>
  <c r="AK12" i="3"/>
  <c r="AL12" i="3" s="1"/>
  <c r="Z98" i="3"/>
  <c r="Z96" i="3"/>
  <c r="Z118" i="3" s="1"/>
  <c r="Z257" i="17"/>
  <c r="H98" i="2"/>
  <c r="H142" i="2" s="1"/>
  <c r="H96" i="2"/>
  <c r="X96" i="3"/>
  <c r="X118" i="3" s="1"/>
  <c r="AL128" i="16"/>
  <c r="O96" i="3"/>
  <c r="O118" i="3" s="1"/>
  <c r="P110" i="14"/>
  <c r="P96" i="3"/>
  <c r="P118" i="3" s="1"/>
  <c r="P257" i="17"/>
  <c r="U96" i="3"/>
  <c r="U118" i="3" s="1"/>
  <c r="AM103" i="21"/>
  <c r="N110" i="14"/>
  <c r="O142" i="7"/>
  <c r="AK30" i="3"/>
  <c r="AL30" i="3" s="1"/>
  <c r="K98" i="2"/>
  <c r="K96" i="2"/>
  <c r="L98" i="2"/>
  <c r="L96" i="2"/>
  <c r="I259" i="17"/>
  <c r="D259" i="17" s="1"/>
  <c r="W98" i="3"/>
  <c r="W96" i="3"/>
  <c r="W118" i="3" s="1"/>
  <c r="O142" i="17"/>
  <c r="P98" i="3"/>
  <c r="Y98" i="3"/>
  <c r="L98" i="3"/>
  <c r="L96" i="3"/>
  <c r="L118" i="3" s="1"/>
  <c r="D98" i="3"/>
  <c r="D96" i="3"/>
  <c r="D118" i="3" s="1"/>
  <c r="S47" i="60"/>
  <c r="J60" i="30"/>
  <c r="E71" i="36"/>
  <c r="Q63" i="36"/>
  <c r="AK258" i="9" l="1"/>
  <c r="AL258" i="9" s="1"/>
  <c r="AL91" i="13"/>
  <c r="J217" i="5"/>
  <c r="D217" i="6" s="1"/>
  <c r="H52" i="29"/>
  <c r="G53" i="30"/>
  <c r="N57" i="55"/>
  <c r="N58" i="55" s="1"/>
  <c r="D465" i="1"/>
  <c r="D467" i="1" s="1"/>
  <c r="H52" i="61"/>
  <c r="G53" i="55"/>
  <c r="G57" i="55"/>
  <c r="G58" i="55" s="1"/>
  <c r="H52" i="57"/>
  <c r="I246" i="15"/>
  <c r="J253" i="15" s="1"/>
  <c r="J249" i="8"/>
  <c r="J270" i="5"/>
  <c r="J253" i="5"/>
  <c r="J248" i="15"/>
  <c r="J253" i="8"/>
  <c r="J271" i="15"/>
  <c r="J262" i="15"/>
  <c r="J126" i="5"/>
  <c r="D126" i="6" s="1"/>
  <c r="N52" i="30"/>
  <c r="G53" i="25"/>
  <c r="G57" i="31"/>
  <c r="G58" i="31" s="1"/>
  <c r="N52" i="55"/>
  <c r="G53" i="31"/>
  <c r="J83" i="12"/>
  <c r="AJ83" i="13"/>
  <c r="G52" i="31"/>
  <c r="N52" i="61"/>
  <c r="N57" i="25"/>
  <c r="N58" i="25" s="1"/>
  <c r="M52" i="61"/>
  <c r="H53" i="29"/>
  <c r="N53" i="55"/>
  <c r="G52" i="61"/>
  <c r="N52" i="57"/>
  <c r="N57" i="61"/>
  <c r="N58" i="61" s="1"/>
  <c r="AJ262" i="9"/>
  <c r="M52" i="29"/>
  <c r="H53" i="31"/>
  <c r="G52" i="30"/>
  <c r="P126" i="5"/>
  <c r="D115" i="13"/>
  <c r="D116" i="13" s="1"/>
  <c r="D65" i="21" s="1"/>
  <c r="AL93" i="13"/>
  <c r="AL90" i="13"/>
  <c r="AH64" i="21"/>
  <c r="AH97" i="13"/>
  <c r="AH115" i="13" s="1"/>
  <c r="AH116" i="13" s="1"/>
  <c r="AH65" i="21" s="1"/>
  <c r="AH155" i="21" s="1"/>
  <c r="AH206" i="21" s="1"/>
  <c r="L97" i="13"/>
  <c r="L115" i="13" s="1"/>
  <c r="L116" i="13" s="1"/>
  <c r="L65" i="21" s="1"/>
  <c r="S98" i="12"/>
  <c r="M154" i="20"/>
  <c r="E64" i="20"/>
  <c r="C64" i="20" s="1"/>
  <c r="AL95" i="13"/>
  <c r="J117" i="12"/>
  <c r="J118" i="12" s="1"/>
  <c r="M217" i="9"/>
  <c r="M222" i="9" s="1"/>
  <c r="M242" i="9" s="1"/>
  <c r="D217" i="9"/>
  <c r="D222" i="9" s="1"/>
  <c r="D242" i="9" s="1"/>
  <c r="I209" i="8"/>
  <c r="I211" i="8" s="1"/>
  <c r="E467" i="1"/>
  <c r="E469" i="1" s="1"/>
  <c r="F32" i="75" s="1"/>
  <c r="H9" i="66"/>
  <c r="H11" i="66" s="1"/>
  <c r="E169" i="2"/>
  <c r="E172" i="2" s="1"/>
  <c r="E193" i="2" s="1"/>
  <c r="E195" i="2" s="1"/>
  <c r="E197" i="2" s="1"/>
  <c r="E20" i="26"/>
  <c r="F20" i="26" s="1"/>
  <c r="D148" i="6"/>
  <c r="Q257" i="17"/>
  <c r="T98" i="3"/>
  <c r="J18" i="29"/>
  <c r="I18" i="55"/>
  <c r="L22" i="24"/>
  <c r="M22" i="24"/>
  <c r="J22" i="24"/>
  <c r="G22" i="24"/>
  <c r="P22" i="24" s="1"/>
  <c r="Q22" i="24" s="1"/>
  <c r="N22" i="24"/>
  <c r="P17" i="61"/>
  <c r="Q17" i="61" s="1"/>
  <c r="G18" i="55"/>
  <c r="I18" i="29"/>
  <c r="G18" i="57"/>
  <c r="P17" i="31"/>
  <c r="Q17" i="31" s="1"/>
  <c r="N18" i="55"/>
  <c r="K18" i="55"/>
  <c r="H18" i="57"/>
  <c r="E41" i="57"/>
  <c r="E62" i="57" s="1"/>
  <c r="E13" i="60" s="1"/>
  <c r="E14" i="60" s="1"/>
  <c r="I18" i="61"/>
  <c r="P38" i="61"/>
  <c r="Q38" i="61" s="1"/>
  <c r="P22" i="30"/>
  <c r="Q22" i="30" s="1"/>
  <c r="J18" i="57"/>
  <c r="AK216" i="21"/>
  <c r="AN216" i="21" s="1"/>
  <c r="H18" i="55"/>
  <c r="P37" i="57"/>
  <c r="Q37" i="57" s="1"/>
  <c r="M18" i="57"/>
  <c r="P38" i="55"/>
  <c r="Q38" i="55" s="1"/>
  <c r="P15" i="55"/>
  <c r="Q15" i="55" s="1"/>
  <c r="P44" i="57"/>
  <c r="Q44" i="57" s="1"/>
  <c r="I18" i="57"/>
  <c r="P38" i="57"/>
  <c r="Q38" i="57" s="1"/>
  <c r="P17" i="55"/>
  <c r="Q17" i="55" s="1"/>
  <c r="H18" i="29"/>
  <c r="G18" i="61"/>
  <c r="M18" i="61"/>
  <c r="P44" i="61"/>
  <c r="Q44" i="61" s="1"/>
  <c r="J18" i="61"/>
  <c r="P17" i="29"/>
  <c r="Q17" i="29" s="1"/>
  <c r="C216" i="20"/>
  <c r="AM216" i="21" s="1"/>
  <c r="U46" i="60"/>
  <c r="S25" i="15"/>
  <c r="T25" i="15" s="1"/>
  <c r="AL141" i="16"/>
  <c r="N126" i="15"/>
  <c r="AA126" i="16" s="1"/>
  <c r="H148" i="15"/>
  <c r="H150" i="15" s="1"/>
  <c r="H149" i="15"/>
  <c r="I19" i="75" s="1"/>
  <c r="G27" i="61"/>
  <c r="L60" i="30"/>
  <c r="H27" i="30"/>
  <c r="G27" i="29"/>
  <c r="L60" i="31"/>
  <c r="J27" i="25"/>
  <c r="J60" i="57"/>
  <c r="M27" i="30"/>
  <c r="I27" i="29"/>
  <c r="G27" i="57"/>
  <c r="F60" i="31"/>
  <c r="F60" i="57"/>
  <c r="N60" i="25"/>
  <c r="I60" i="55"/>
  <c r="N60" i="31"/>
  <c r="L60" i="55"/>
  <c r="M60" i="30"/>
  <c r="I34" i="61"/>
  <c r="J27" i="61"/>
  <c r="H27" i="55"/>
  <c r="N27" i="31"/>
  <c r="K27" i="61"/>
  <c r="M60" i="55"/>
  <c r="I60" i="57"/>
  <c r="G60" i="55"/>
  <c r="F60" i="55"/>
  <c r="H60" i="31"/>
  <c r="H60" i="25"/>
  <c r="L60" i="25"/>
  <c r="N60" i="57"/>
  <c r="M60" i="31"/>
  <c r="K60" i="57"/>
  <c r="K34" i="55"/>
  <c r="N27" i="30"/>
  <c r="G27" i="55"/>
  <c r="I27" i="57"/>
  <c r="J60" i="55"/>
  <c r="H60" i="57"/>
  <c r="H60" i="55"/>
  <c r="K60" i="31"/>
  <c r="F60" i="30"/>
  <c r="M60" i="25"/>
  <c r="I60" i="31"/>
  <c r="I60" i="30"/>
  <c r="I60" i="25"/>
  <c r="L60" i="57"/>
  <c r="N60" i="30"/>
  <c r="K60" i="30"/>
  <c r="G60" i="57"/>
  <c r="E35" i="34"/>
  <c r="H60" i="30"/>
  <c r="J60" i="25"/>
  <c r="K60" i="25"/>
  <c r="G60" i="31"/>
  <c r="G60" i="30"/>
  <c r="K60" i="55"/>
  <c r="M60" i="57"/>
  <c r="N60" i="55"/>
  <c r="G60" i="25"/>
  <c r="J60" i="31"/>
  <c r="F60" i="25"/>
  <c r="G33" i="30"/>
  <c r="G15" i="31"/>
  <c r="N15" i="31"/>
  <c r="K34" i="25"/>
  <c r="N34" i="29"/>
  <c r="F27" i="31"/>
  <c r="H27" i="29"/>
  <c r="H27" i="25"/>
  <c r="L27" i="29"/>
  <c r="K27" i="25"/>
  <c r="L27" i="31"/>
  <c r="E180" i="21"/>
  <c r="E10" i="31" s="1"/>
  <c r="D133" i="21"/>
  <c r="D180" i="21" s="1"/>
  <c r="G34" i="31"/>
  <c r="I34" i="57"/>
  <c r="N34" i="55"/>
  <c r="L34" i="31"/>
  <c r="N34" i="25"/>
  <c r="J27" i="31"/>
  <c r="M27" i="55"/>
  <c r="I27" i="25"/>
  <c r="F27" i="30"/>
  <c r="F27" i="57"/>
  <c r="N27" i="55"/>
  <c r="L27" i="30"/>
  <c r="I27" i="55"/>
  <c r="H27" i="61"/>
  <c r="N27" i="29"/>
  <c r="N27" i="25"/>
  <c r="K27" i="55"/>
  <c r="G27" i="30"/>
  <c r="K27" i="57"/>
  <c r="H15" i="31"/>
  <c r="K15" i="31"/>
  <c r="J15" i="31"/>
  <c r="F15" i="31"/>
  <c r="J47" i="12"/>
  <c r="S36" i="12"/>
  <c r="T36" i="12" s="1"/>
  <c r="J34" i="29"/>
  <c r="J27" i="55"/>
  <c r="J27" i="29"/>
  <c r="M27" i="31"/>
  <c r="M27" i="61"/>
  <c r="F27" i="61"/>
  <c r="H27" i="57"/>
  <c r="L27" i="61"/>
  <c r="L27" i="57"/>
  <c r="I27" i="31"/>
  <c r="K27" i="30"/>
  <c r="L15" i="31"/>
  <c r="I15" i="31"/>
  <c r="G34" i="25"/>
  <c r="F34" i="57"/>
  <c r="H34" i="29"/>
  <c r="J34" i="31"/>
  <c r="J27" i="30"/>
  <c r="J27" i="57"/>
  <c r="M27" i="57"/>
  <c r="M27" i="25"/>
  <c r="H27" i="31"/>
  <c r="F27" i="29"/>
  <c r="F27" i="55"/>
  <c r="N27" i="57"/>
  <c r="G27" i="25"/>
  <c r="F27" i="25"/>
  <c r="I27" i="61"/>
  <c r="G27" i="31"/>
  <c r="N27" i="61"/>
  <c r="I27" i="30"/>
  <c r="K27" i="31"/>
  <c r="K27" i="29"/>
  <c r="M15" i="31"/>
  <c r="AJ47" i="13"/>
  <c r="G33" i="31"/>
  <c r="K33" i="25"/>
  <c r="G33" i="55"/>
  <c r="G33" i="61"/>
  <c r="J33" i="57"/>
  <c r="AH82" i="13"/>
  <c r="S82" i="12"/>
  <c r="T82" i="12" s="1"/>
  <c r="M43" i="20"/>
  <c r="AJ82" i="13"/>
  <c r="G33" i="25"/>
  <c r="E29" i="34"/>
  <c r="P28" i="31"/>
  <c r="Q28" i="31" s="1"/>
  <c r="K33" i="29"/>
  <c r="K33" i="31"/>
  <c r="J33" i="31"/>
  <c r="P22" i="31"/>
  <c r="Q22" i="31" s="1"/>
  <c r="P22" i="57"/>
  <c r="Q22" i="57" s="1"/>
  <c r="P22" i="29"/>
  <c r="Q22" i="29" s="1"/>
  <c r="P22" i="23"/>
  <c r="Q22" i="23" s="1"/>
  <c r="P22" i="59"/>
  <c r="Q22" i="59" s="1"/>
  <c r="P22" i="58"/>
  <c r="Q22" i="58" s="1"/>
  <c r="P22" i="27"/>
  <c r="Q22" i="27" s="1"/>
  <c r="P22" i="26"/>
  <c r="Q22" i="26" s="1"/>
  <c r="P22" i="61"/>
  <c r="Q22" i="61" s="1"/>
  <c r="P22" i="25"/>
  <c r="Q22" i="25" s="1"/>
  <c r="P22" i="22"/>
  <c r="Q22" i="22" s="1"/>
  <c r="E138" i="36"/>
  <c r="E72" i="36"/>
  <c r="E127" i="20"/>
  <c r="C127" i="20" s="1"/>
  <c r="AM127" i="21" s="1"/>
  <c r="F174" i="20"/>
  <c r="E174" i="20" s="1"/>
  <c r="C174" i="20" s="1"/>
  <c r="E47" i="60"/>
  <c r="L18" i="29"/>
  <c r="P17" i="57"/>
  <c r="Q17" i="57" s="1"/>
  <c r="E73" i="36"/>
  <c r="N18" i="61"/>
  <c r="L18" i="61"/>
  <c r="M18" i="55"/>
  <c r="J18" i="55"/>
  <c r="AK127" i="21"/>
  <c r="J174" i="21"/>
  <c r="D127" i="21"/>
  <c r="D174" i="21" s="1"/>
  <c r="D79" i="21"/>
  <c r="AK79" i="21"/>
  <c r="AN79" i="21" s="1"/>
  <c r="U47" i="60"/>
  <c r="C77" i="20"/>
  <c r="AM77" i="21" s="1"/>
  <c r="AN77" i="21" s="1"/>
  <c r="K35" i="66"/>
  <c r="I35" i="66" s="1"/>
  <c r="P15" i="61"/>
  <c r="Q15" i="61" s="1"/>
  <c r="K18" i="29"/>
  <c r="P38" i="29"/>
  <c r="Q38" i="29" s="1"/>
  <c r="P15" i="25"/>
  <c r="Q15" i="25" s="1"/>
  <c r="K57" i="57"/>
  <c r="K58" i="57" s="1"/>
  <c r="L57" i="61"/>
  <c r="L58" i="61" s="1"/>
  <c r="I57" i="31"/>
  <c r="I58" i="31" s="1"/>
  <c r="I57" i="61"/>
  <c r="I58" i="61" s="1"/>
  <c r="L57" i="25"/>
  <c r="L58" i="25" s="1"/>
  <c r="L57" i="57"/>
  <c r="L58" i="57" s="1"/>
  <c r="K57" i="61"/>
  <c r="K58" i="61" s="1"/>
  <c r="I57" i="25"/>
  <c r="I58" i="25" s="1"/>
  <c r="K57" i="30"/>
  <c r="K58" i="30" s="1"/>
  <c r="J57" i="31"/>
  <c r="J58" i="31" s="1"/>
  <c r="I57" i="55"/>
  <c r="I58" i="55" s="1"/>
  <c r="J57" i="29"/>
  <c r="J58" i="29" s="1"/>
  <c r="I57" i="30"/>
  <c r="I58" i="30" s="1"/>
  <c r="L57" i="30"/>
  <c r="L58" i="30" s="1"/>
  <c r="K57" i="55"/>
  <c r="K58" i="55" s="1"/>
  <c r="J57" i="30"/>
  <c r="J58" i="30" s="1"/>
  <c r="I57" i="57"/>
  <c r="I58" i="57" s="1"/>
  <c r="K57" i="25"/>
  <c r="K58" i="25" s="1"/>
  <c r="J57" i="61"/>
  <c r="J58" i="61" s="1"/>
  <c r="F57" i="61"/>
  <c r="F57" i="57"/>
  <c r="J57" i="25"/>
  <c r="J58" i="25" s="1"/>
  <c r="K57" i="31"/>
  <c r="K58" i="31" s="1"/>
  <c r="L57" i="29"/>
  <c r="L58" i="29" s="1"/>
  <c r="F57" i="31"/>
  <c r="F57" i="30"/>
  <c r="F57" i="55"/>
  <c r="L57" i="31"/>
  <c r="L58" i="31" s="1"/>
  <c r="K57" i="29"/>
  <c r="K58" i="29" s="1"/>
  <c r="I57" i="29"/>
  <c r="I58" i="29" s="1"/>
  <c r="J57" i="55"/>
  <c r="J58" i="55" s="1"/>
  <c r="F57" i="25"/>
  <c r="J57" i="57"/>
  <c r="J58" i="57" s="1"/>
  <c r="L57" i="55"/>
  <c r="L58" i="55" s="1"/>
  <c r="F57" i="29"/>
  <c r="H57" i="29"/>
  <c r="H58" i="29" s="1"/>
  <c r="H57" i="25"/>
  <c r="H58" i="25" s="1"/>
  <c r="H57" i="31"/>
  <c r="H58" i="31" s="1"/>
  <c r="H57" i="61"/>
  <c r="H58" i="61" s="1"/>
  <c r="H57" i="55"/>
  <c r="H58" i="55" s="1"/>
  <c r="H57" i="57"/>
  <c r="H58" i="57" s="1"/>
  <c r="H57" i="30"/>
  <c r="H58" i="30" s="1"/>
  <c r="G57" i="61"/>
  <c r="G58" i="61" s="1"/>
  <c r="K18" i="57"/>
  <c r="L18" i="57"/>
  <c r="M18" i="29"/>
  <c r="L18" i="55"/>
  <c r="K18" i="61"/>
  <c r="P38" i="30"/>
  <c r="Q38" i="30" s="1"/>
  <c r="F52" i="30"/>
  <c r="F52" i="57"/>
  <c r="L52" i="57"/>
  <c r="K52" i="30"/>
  <c r="L52" i="29"/>
  <c r="F52" i="25"/>
  <c r="F52" i="61"/>
  <c r="L52" i="31"/>
  <c r="L52" i="30"/>
  <c r="K52" i="57"/>
  <c r="L52" i="61"/>
  <c r="F52" i="29"/>
  <c r="F52" i="31"/>
  <c r="L52" i="55"/>
  <c r="K52" i="31"/>
  <c r="L52" i="25"/>
  <c r="K52" i="29"/>
  <c r="I52" i="29"/>
  <c r="I52" i="31"/>
  <c r="F52" i="55"/>
  <c r="I52" i="61"/>
  <c r="K52" i="25"/>
  <c r="K52" i="61"/>
  <c r="K52" i="55"/>
  <c r="J52" i="61"/>
  <c r="I52" i="55"/>
  <c r="J52" i="25"/>
  <c r="J52" i="29"/>
  <c r="I52" i="25"/>
  <c r="J52" i="55"/>
  <c r="J52" i="30"/>
  <c r="I52" i="30"/>
  <c r="J52" i="31"/>
  <c r="I52" i="57"/>
  <c r="J52" i="57"/>
  <c r="M57" i="57"/>
  <c r="M58" i="57" s="1"/>
  <c r="M57" i="29"/>
  <c r="M58" i="29" s="1"/>
  <c r="P38" i="31"/>
  <c r="Q38" i="31" s="1"/>
  <c r="H52" i="31"/>
  <c r="H52" i="55"/>
  <c r="N52" i="29"/>
  <c r="N52" i="25"/>
  <c r="F53" i="31"/>
  <c r="F53" i="29"/>
  <c r="F53" i="57"/>
  <c r="F53" i="25"/>
  <c r="L53" i="29"/>
  <c r="L53" i="61"/>
  <c r="F53" i="55"/>
  <c r="L53" i="31"/>
  <c r="K53" i="55"/>
  <c r="I53" i="31"/>
  <c r="I53" i="29"/>
  <c r="L53" i="57"/>
  <c r="K53" i="57"/>
  <c r="K53" i="61"/>
  <c r="K53" i="25"/>
  <c r="L53" i="55"/>
  <c r="L53" i="30"/>
  <c r="I53" i="25"/>
  <c r="J53" i="57"/>
  <c r="J53" i="25"/>
  <c r="I53" i="61"/>
  <c r="F53" i="30"/>
  <c r="L53" i="25"/>
  <c r="K53" i="29"/>
  <c r="I53" i="30"/>
  <c r="F53" i="61"/>
  <c r="M53" i="55"/>
  <c r="M53" i="25"/>
  <c r="J53" i="29"/>
  <c r="M53" i="31"/>
  <c r="M53" i="57"/>
  <c r="J53" i="55"/>
  <c r="J53" i="61"/>
  <c r="M53" i="29"/>
  <c r="M53" i="30"/>
  <c r="I53" i="55"/>
  <c r="J53" i="31"/>
  <c r="K53" i="30"/>
  <c r="M53" i="61"/>
  <c r="I53" i="57"/>
  <c r="J53" i="30"/>
  <c r="K53" i="31"/>
  <c r="G53" i="29"/>
  <c r="P15" i="57"/>
  <c r="Q15" i="57" s="1"/>
  <c r="P15" i="29"/>
  <c r="Q15" i="29" s="1"/>
  <c r="N57" i="57"/>
  <c r="N58" i="57" s="1"/>
  <c r="N57" i="29"/>
  <c r="N58" i="29" s="1"/>
  <c r="G57" i="29"/>
  <c r="G58" i="29" s="1"/>
  <c r="G57" i="57"/>
  <c r="G58" i="57" s="1"/>
  <c r="H18" i="61"/>
  <c r="N18" i="57"/>
  <c r="N18" i="29"/>
  <c r="M52" i="55"/>
  <c r="P38" i="25"/>
  <c r="Q38" i="25" s="1"/>
  <c r="H53" i="57"/>
  <c r="H53" i="61"/>
  <c r="N53" i="57"/>
  <c r="N53" i="31"/>
  <c r="G52" i="57"/>
  <c r="G52" i="25"/>
  <c r="M57" i="61"/>
  <c r="M58" i="61" s="1"/>
  <c r="H52" i="25"/>
  <c r="N52" i="31"/>
  <c r="G53" i="57"/>
  <c r="G53" i="61"/>
  <c r="N57" i="31"/>
  <c r="N58" i="31" s="1"/>
  <c r="G57" i="25"/>
  <c r="G58" i="25" s="1"/>
  <c r="G57" i="30"/>
  <c r="G58" i="30" s="1"/>
  <c r="P10" i="57"/>
  <c r="Q10" i="57" s="1"/>
  <c r="P10" i="55"/>
  <c r="Q10" i="55" s="1"/>
  <c r="P10" i="29"/>
  <c r="Q10" i="29" s="1"/>
  <c r="P10" i="61"/>
  <c r="Q10" i="61" s="1"/>
  <c r="H20" i="57"/>
  <c r="P10" i="25"/>
  <c r="Q10" i="25" s="1"/>
  <c r="L20" i="26"/>
  <c r="N20" i="27"/>
  <c r="G20" i="29"/>
  <c r="K20" i="25"/>
  <c r="M20" i="24"/>
  <c r="E16" i="33"/>
  <c r="I20" i="29" s="1"/>
  <c r="F20" i="59"/>
  <c r="P28" i="61"/>
  <c r="Q28" i="61" s="1"/>
  <c r="P28" i="25"/>
  <c r="Q28" i="25" s="1"/>
  <c r="P28" i="57"/>
  <c r="Q28" i="57" s="1"/>
  <c r="P28" i="30"/>
  <c r="Q28" i="30" s="1"/>
  <c r="P28" i="29"/>
  <c r="Q28" i="29" s="1"/>
  <c r="P28" i="55"/>
  <c r="Q28" i="55" s="1"/>
  <c r="N29" i="29"/>
  <c r="F29" i="57"/>
  <c r="G29" i="55"/>
  <c r="N29" i="25"/>
  <c r="F29" i="61"/>
  <c r="G29" i="31"/>
  <c r="N29" i="57"/>
  <c r="K26" i="30"/>
  <c r="K26" i="29"/>
  <c r="K26" i="57"/>
  <c r="K26" i="61"/>
  <c r="K26" i="25"/>
  <c r="F34" i="55"/>
  <c r="F34" i="30"/>
  <c r="G34" i="57"/>
  <c r="G35" i="30"/>
  <c r="F34" i="31"/>
  <c r="I34" i="25"/>
  <c r="L34" i="25"/>
  <c r="M34" i="30"/>
  <c r="M34" i="25"/>
  <c r="J34" i="55"/>
  <c r="I29" i="57"/>
  <c r="I29" i="30"/>
  <c r="L29" i="57"/>
  <c r="J29" i="25"/>
  <c r="K29" i="29"/>
  <c r="K29" i="31"/>
  <c r="I29" i="31"/>
  <c r="L29" i="25"/>
  <c r="J29" i="29"/>
  <c r="J29" i="55"/>
  <c r="K29" i="61"/>
  <c r="L29" i="30"/>
  <c r="K29" i="25"/>
  <c r="J29" i="61"/>
  <c r="K29" i="55"/>
  <c r="I29" i="25"/>
  <c r="M29" i="57"/>
  <c r="L29" i="31"/>
  <c r="I29" i="61"/>
  <c r="J29" i="31"/>
  <c r="I29" i="29"/>
  <c r="L29" i="55"/>
  <c r="L29" i="29"/>
  <c r="M29" i="29"/>
  <c r="H29" i="61"/>
  <c r="I29" i="55"/>
  <c r="J29" i="57"/>
  <c r="M29" i="31"/>
  <c r="M29" i="25"/>
  <c r="M29" i="61"/>
  <c r="H29" i="55"/>
  <c r="L29" i="61"/>
  <c r="J29" i="30"/>
  <c r="K29" i="30"/>
  <c r="K29" i="57"/>
  <c r="H29" i="25"/>
  <c r="H29" i="57"/>
  <c r="H29" i="31"/>
  <c r="M29" i="30"/>
  <c r="H29" i="29"/>
  <c r="M29" i="55"/>
  <c r="H29" i="30"/>
  <c r="G29" i="25"/>
  <c r="E41" i="34"/>
  <c r="J33" i="25"/>
  <c r="G35" i="55"/>
  <c r="F34" i="61"/>
  <c r="G34" i="55"/>
  <c r="F34" i="25"/>
  <c r="G34" i="61"/>
  <c r="M34" i="57"/>
  <c r="K34" i="30"/>
  <c r="J34" i="61"/>
  <c r="H34" i="25"/>
  <c r="M34" i="55"/>
  <c r="J34" i="25"/>
  <c r="I34" i="29"/>
  <c r="H34" i="57"/>
  <c r="K34" i="29"/>
  <c r="K34" i="57"/>
  <c r="K34" i="31"/>
  <c r="H34" i="31"/>
  <c r="N29" i="61"/>
  <c r="N29" i="55"/>
  <c r="L26" i="29"/>
  <c r="M26" i="55"/>
  <c r="L26" i="31"/>
  <c r="H26" i="25"/>
  <c r="H26" i="61"/>
  <c r="H26" i="30"/>
  <c r="H26" i="55"/>
  <c r="L26" i="25"/>
  <c r="M26" i="31"/>
  <c r="M26" i="57"/>
  <c r="L26" i="30"/>
  <c r="L26" i="55"/>
  <c r="H26" i="31"/>
  <c r="N26" i="55"/>
  <c r="H26" i="57"/>
  <c r="F26" i="55"/>
  <c r="N26" i="30"/>
  <c r="L26" i="61"/>
  <c r="G26" i="31"/>
  <c r="M26" i="25"/>
  <c r="M26" i="29"/>
  <c r="N26" i="61"/>
  <c r="N26" i="29"/>
  <c r="F26" i="30"/>
  <c r="M26" i="30"/>
  <c r="H26" i="29"/>
  <c r="G26" i="25"/>
  <c r="L26" i="57"/>
  <c r="I26" i="25"/>
  <c r="M26" i="61"/>
  <c r="N26" i="31"/>
  <c r="J26" i="61"/>
  <c r="J26" i="25"/>
  <c r="I26" i="31"/>
  <c r="F26" i="31"/>
  <c r="G26" i="30"/>
  <c r="G26" i="61"/>
  <c r="J26" i="31"/>
  <c r="F26" i="25"/>
  <c r="N26" i="25"/>
  <c r="F26" i="61"/>
  <c r="I26" i="29"/>
  <c r="J26" i="55"/>
  <c r="G26" i="29"/>
  <c r="I26" i="61"/>
  <c r="J26" i="57"/>
  <c r="F26" i="29"/>
  <c r="J26" i="29"/>
  <c r="N26" i="57"/>
  <c r="I26" i="30"/>
  <c r="G26" i="55"/>
  <c r="I26" i="55"/>
  <c r="I26" i="57"/>
  <c r="G26" i="57"/>
  <c r="J26" i="30"/>
  <c r="F26" i="57"/>
  <c r="K26" i="55"/>
  <c r="F29" i="25"/>
  <c r="F29" i="30"/>
  <c r="G29" i="57"/>
  <c r="G29" i="61"/>
  <c r="G35" i="57"/>
  <c r="N34" i="30"/>
  <c r="L34" i="55"/>
  <c r="N34" i="31"/>
  <c r="M34" i="29"/>
  <c r="J34" i="30"/>
  <c r="H34" i="55"/>
  <c r="I34" i="30"/>
  <c r="G29" i="30"/>
  <c r="K33" i="30"/>
  <c r="G35" i="29"/>
  <c r="F34" i="29"/>
  <c r="G34" i="30"/>
  <c r="G34" i="29"/>
  <c r="N34" i="61"/>
  <c r="M34" i="31"/>
  <c r="L34" i="30"/>
  <c r="H34" i="30"/>
  <c r="M34" i="61"/>
  <c r="K34" i="61"/>
  <c r="H34" i="61"/>
  <c r="L34" i="61"/>
  <c r="L34" i="57"/>
  <c r="N34" i="57"/>
  <c r="J34" i="57"/>
  <c r="L34" i="29"/>
  <c r="N29" i="30"/>
  <c r="N29" i="31"/>
  <c r="F29" i="55"/>
  <c r="F29" i="29"/>
  <c r="G29" i="29"/>
  <c r="G35" i="31"/>
  <c r="G35" i="25"/>
  <c r="F44" i="33"/>
  <c r="E37" i="34"/>
  <c r="F41" i="33"/>
  <c r="E31" i="34"/>
  <c r="F33" i="55"/>
  <c r="N33" i="30"/>
  <c r="F33" i="57"/>
  <c r="F33" i="61"/>
  <c r="I33" i="29"/>
  <c r="H33" i="31"/>
  <c r="I33" i="55"/>
  <c r="N33" i="31"/>
  <c r="N33" i="25"/>
  <c r="M33" i="61"/>
  <c r="N33" i="61"/>
  <c r="L33" i="57"/>
  <c r="M33" i="29"/>
  <c r="F33" i="25"/>
  <c r="F33" i="30"/>
  <c r="F33" i="31"/>
  <c r="I33" i="30"/>
  <c r="L33" i="55"/>
  <c r="M33" i="55"/>
  <c r="L33" i="61"/>
  <c r="N33" i="29"/>
  <c r="H33" i="57"/>
  <c r="M33" i="25"/>
  <c r="I33" i="31"/>
  <c r="I33" i="25"/>
  <c r="I33" i="61"/>
  <c r="M33" i="31"/>
  <c r="L33" i="25"/>
  <c r="I33" i="57"/>
  <c r="H33" i="55"/>
  <c r="M33" i="57"/>
  <c r="L33" i="29"/>
  <c r="H33" i="61"/>
  <c r="H33" i="25"/>
  <c r="L33" i="30"/>
  <c r="F33" i="29"/>
  <c r="H33" i="30"/>
  <c r="N33" i="55"/>
  <c r="N33" i="57"/>
  <c r="H33" i="29"/>
  <c r="L33" i="31"/>
  <c r="M33" i="30"/>
  <c r="K33" i="57"/>
  <c r="J33" i="29"/>
  <c r="J33" i="61"/>
  <c r="F47" i="33"/>
  <c r="E43" i="34"/>
  <c r="G33" i="57"/>
  <c r="G33" i="29"/>
  <c r="K33" i="61"/>
  <c r="K33" i="55"/>
  <c r="J33" i="55"/>
  <c r="F35" i="29"/>
  <c r="F35" i="30"/>
  <c r="F35" i="31"/>
  <c r="J35" i="55"/>
  <c r="N35" i="30"/>
  <c r="K35" i="31"/>
  <c r="J35" i="29"/>
  <c r="M35" i="30"/>
  <c r="M35" i="55"/>
  <c r="J35" i="57"/>
  <c r="I35" i="30"/>
  <c r="N35" i="31"/>
  <c r="I35" i="55"/>
  <c r="N35" i="25"/>
  <c r="F35" i="25"/>
  <c r="L35" i="30"/>
  <c r="N35" i="57"/>
  <c r="K35" i="61"/>
  <c r="I35" i="57"/>
  <c r="K35" i="29"/>
  <c r="N35" i="29"/>
  <c r="M35" i="29"/>
  <c r="L35" i="61"/>
  <c r="K35" i="57"/>
  <c r="J35" i="61"/>
  <c r="L35" i="29"/>
  <c r="F35" i="55"/>
  <c r="M35" i="61"/>
  <c r="M35" i="31"/>
  <c r="H35" i="30"/>
  <c r="H35" i="31"/>
  <c r="L35" i="57"/>
  <c r="J35" i="30"/>
  <c r="M35" i="57"/>
  <c r="K35" i="25"/>
  <c r="I35" i="61"/>
  <c r="L35" i="25"/>
  <c r="N35" i="61"/>
  <c r="I35" i="25"/>
  <c r="F35" i="61"/>
  <c r="K35" i="30"/>
  <c r="L35" i="55"/>
  <c r="I35" i="29"/>
  <c r="M35" i="25"/>
  <c r="F35" i="57"/>
  <c r="J35" i="31"/>
  <c r="N35" i="55"/>
  <c r="H35" i="61"/>
  <c r="L35" i="31"/>
  <c r="H35" i="25"/>
  <c r="H35" i="55"/>
  <c r="H35" i="57"/>
  <c r="J35" i="25"/>
  <c r="K35" i="55"/>
  <c r="I35" i="31"/>
  <c r="H35" i="29"/>
  <c r="F32" i="33"/>
  <c r="E21" i="34"/>
  <c r="E22" i="55"/>
  <c r="AK196" i="21"/>
  <c r="AN196" i="21" s="1"/>
  <c r="L197" i="21"/>
  <c r="L151" i="21"/>
  <c r="L152" i="21" s="1"/>
  <c r="L159" i="21" s="1"/>
  <c r="AM149" i="21"/>
  <c r="AN149" i="21" s="1"/>
  <c r="O196" i="20"/>
  <c r="AN208" i="21"/>
  <c r="D263" i="16"/>
  <c r="S264" i="15"/>
  <c r="T264" i="15" s="1"/>
  <c r="S269" i="15"/>
  <c r="T269" i="15" s="1"/>
  <c r="D268" i="16"/>
  <c r="S260" i="15"/>
  <c r="T260" i="15" s="1"/>
  <c r="S256" i="15"/>
  <c r="T256" i="15" s="1"/>
  <c r="S258" i="15"/>
  <c r="T258" i="15" s="1"/>
  <c r="D251" i="16"/>
  <c r="S252" i="15"/>
  <c r="T252" i="15" s="1"/>
  <c r="AJ260" i="16"/>
  <c r="AJ273" i="16" s="1"/>
  <c r="I274" i="15"/>
  <c r="D249" i="16"/>
  <c r="S250" i="15"/>
  <c r="T250" i="15" s="1"/>
  <c r="S257" i="15"/>
  <c r="T257" i="15" s="1"/>
  <c r="AL256" i="16"/>
  <c r="AF239" i="16"/>
  <c r="AG238" i="16"/>
  <c r="AG239" i="16"/>
  <c r="AK239" i="16" s="1"/>
  <c r="AL239" i="16" s="1"/>
  <c r="AK234" i="16"/>
  <c r="AF238" i="16"/>
  <c r="P230" i="15"/>
  <c r="S230" i="15" s="1"/>
  <c r="T230" i="15" s="1"/>
  <c r="AF226" i="16"/>
  <c r="P229" i="15"/>
  <c r="S227" i="15"/>
  <c r="T227" i="15" s="1"/>
  <c r="L217" i="16"/>
  <c r="K222" i="15"/>
  <c r="L16" i="75" s="1"/>
  <c r="L222" i="15"/>
  <c r="M16" i="75" s="1"/>
  <c r="M217" i="16"/>
  <c r="AF217" i="16"/>
  <c r="P222" i="15"/>
  <c r="Q16" i="75" s="1"/>
  <c r="O222" i="15"/>
  <c r="P16" i="75" s="1"/>
  <c r="AB217" i="16"/>
  <c r="AH217" i="16"/>
  <c r="Q222" i="15"/>
  <c r="R16" i="75" s="1"/>
  <c r="N222" i="15"/>
  <c r="O16" i="75" s="1"/>
  <c r="AA217" i="16"/>
  <c r="J222" i="15"/>
  <c r="K16" i="75" s="1"/>
  <c r="D217" i="16"/>
  <c r="S218" i="15"/>
  <c r="T218" i="15" s="1"/>
  <c r="F242" i="15"/>
  <c r="Z139" i="17"/>
  <c r="Z147" i="17"/>
  <c r="S144" i="15"/>
  <c r="T144" i="15" s="1"/>
  <c r="M144" i="16"/>
  <c r="P19" i="75"/>
  <c r="N19" i="75"/>
  <c r="AL146" i="16"/>
  <c r="Y149" i="16"/>
  <c r="L142" i="15"/>
  <c r="AJ142" i="16"/>
  <c r="I149" i="15"/>
  <c r="M147" i="15" s="1"/>
  <c r="X147" i="16" s="1"/>
  <c r="M145" i="16"/>
  <c r="S145" i="15"/>
  <c r="T145" i="15" s="1"/>
  <c r="M143" i="16"/>
  <c r="S143" i="15"/>
  <c r="T143" i="15" s="1"/>
  <c r="AB126" i="16"/>
  <c r="E26" i="75"/>
  <c r="Q22" i="75"/>
  <c r="P134" i="15"/>
  <c r="AF134" i="16" s="1"/>
  <c r="S129" i="15"/>
  <c r="T129" i="15" s="1"/>
  <c r="M129" i="16"/>
  <c r="M127" i="16"/>
  <c r="S127" i="15"/>
  <c r="T127" i="15" s="1"/>
  <c r="L137" i="15"/>
  <c r="S131" i="15"/>
  <c r="T131" i="15" s="1"/>
  <c r="M131" i="16"/>
  <c r="K126" i="15"/>
  <c r="Q126" i="15"/>
  <c r="O134" i="15"/>
  <c r="AB134" i="16" s="1"/>
  <c r="M130" i="16"/>
  <c r="S130" i="15"/>
  <c r="T130" i="15" s="1"/>
  <c r="P126" i="15"/>
  <c r="S133" i="15"/>
  <c r="T133" i="15" s="1"/>
  <c r="M133" i="16"/>
  <c r="W133" i="16" s="1"/>
  <c r="AL133" i="16" s="1"/>
  <c r="N22" i="75"/>
  <c r="M134" i="15"/>
  <c r="J22" i="75"/>
  <c r="AJ137" i="16"/>
  <c r="K134" i="15"/>
  <c r="L134" i="16" s="1"/>
  <c r="S132" i="15"/>
  <c r="T132" i="15" s="1"/>
  <c r="X132" i="16"/>
  <c r="O22" i="75"/>
  <c r="N134" i="15"/>
  <c r="AA134" i="16" s="1"/>
  <c r="M135" i="16"/>
  <c r="S135" i="15"/>
  <c r="T135" i="15" s="1"/>
  <c r="AJ136" i="16"/>
  <c r="I150" i="15"/>
  <c r="AJ150" i="16" s="1"/>
  <c r="J126" i="15"/>
  <c r="K22" i="75"/>
  <c r="J134" i="15"/>
  <c r="D134" i="16" s="1"/>
  <c r="L114" i="16"/>
  <c r="S114" i="15"/>
  <c r="T114" i="15" s="1"/>
  <c r="L117" i="16"/>
  <c r="AL117" i="16" s="1"/>
  <c r="S117" i="15"/>
  <c r="T117" i="15" s="1"/>
  <c r="L118" i="16"/>
  <c r="AL118" i="16" s="1"/>
  <c r="S118" i="15"/>
  <c r="T118" i="15" s="1"/>
  <c r="K115" i="15"/>
  <c r="K120" i="15" s="1"/>
  <c r="S120" i="15" s="1"/>
  <c r="T120" i="15" s="1"/>
  <c r="AJ115" i="16"/>
  <c r="S119" i="15"/>
  <c r="T119" i="15" s="1"/>
  <c r="L119" i="16"/>
  <c r="AL119" i="16" s="1"/>
  <c r="H122" i="15"/>
  <c r="L110" i="16"/>
  <c r="AL110" i="16" s="1"/>
  <c r="S110" i="15"/>
  <c r="T110" i="15" s="1"/>
  <c r="L103" i="16"/>
  <c r="S103" i="15"/>
  <c r="T103" i="15" s="1"/>
  <c r="K111" i="15"/>
  <c r="I122" i="15"/>
  <c r="AJ111" i="16"/>
  <c r="F278" i="15"/>
  <c r="S94" i="15"/>
  <c r="T94" i="15" s="1"/>
  <c r="S95" i="15"/>
  <c r="T95" i="15" s="1"/>
  <c r="S83" i="15"/>
  <c r="T83" i="15" s="1"/>
  <c r="S86" i="15"/>
  <c r="T86" i="15" s="1"/>
  <c r="S85" i="15"/>
  <c r="T85" i="15" s="1"/>
  <c r="S76" i="15"/>
  <c r="T76" i="15" s="1"/>
  <c r="S74" i="15"/>
  <c r="T74" i="15" s="1"/>
  <c r="S79" i="15"/>
  <c r="T79" i="15" s="1"/>
  <c r="S78" i="15"/>
  <c r="T78" i="15" s="1"/>
  <c r="S75" i="15"/>
  <c r="T75" i="15" s="1"/>
  <c r="S49" i="15"/>
  <c r="T49" i="15" s="1"/>
  <c r="H152" i="15"/>
  <c r="S51" i="15"/>
  <c r="T51" i="15" s="1"/>
  <c r="S48" i="15"/>
  <c r="T48" i="15" s="1"/>
  <c r="S38" i="15"/>
  <c r="T38" i="15" s="1"/>
  <c r="S40" i="15"/>
  <c r="T40" i="15" s="1"/>
  <c r="S39" i="15"/>
  <c r="T39" i="15" s="1"/>
  <c r="S41" i="15"/>
  <c r="T41" i="15" s="1"/>
  <c r="S44" i="15"/>
  <c r="T44" i="15" s="1"/>
  <c r="S37" i="15"/>
  <c r="T37" i="15" s="1"/>
  <c r="S42" i="15"/>
  <c r="T42" i="15" s="1"/>
  <c r="S27" i="15"/>
  <c r="T27" i="15" s="1"/>
  <c r="S26" i="15"/>
  <c r="T26" i="15" s="1"/>
  <c r="S31" i="15"/>
  <c r="T31" i="15" s="1"/>
  <c r="S30" i="15"/>
  <c r="T30" i="15" s="1"/>
  <c r="S13" i="15"/>
  <c r="T13" i="15" s="1"/>
  <c r="S14" i="15"/>
  <c r="T14" i="15" s="1"/>
  <c r="S17" i="15"/>
  <c r="T17" i="15" s="1"/>
  <c r="T274" i="8"/>
  <c r="S266" i="8"/>
  <c r="T266" i="8" s="1"/>
  <c r="S270" i="8"/>
  <c r="T270" i="8" s="1"/>
  <c r="D270" i="9"/>
  <c r="S251" i="8"/>
  <c r="T251" i="8" s="1"/>
  <c r="D251" i="9"/>
  <c r="S257" i="8"/>
  <c r="T257" i="8" s="1"/>
  <c r="AJ252" i="9"/>
  <c r="AJ240" i="9"/>
  <c r="AF236" i="9"/>
  <c r="AG236" i="9" s="1"/>
  <c r="AK236" i="9" s="1"/>
  <c r="AL236" i="9" s="1"/>
  <c r="S236" i="8"/>
  <c r="T236" i="8" s="1"/>
  <c r="AF233" i="9"/>
  <c r="P240" i="8"/>
  <c r="S240" i="8" s="1"/>
  <c r="T240" i="8" s="1"/>
  <c r="S233" i="8"/>
  <c r="T233" i="8" s="1"/>
  <c r="G444" i="1"/>
  <c r="AJ12" i="21" s="1"/>
  <c r="AJ19" i="21" s="1"/>
  <c r="AJ21" i="21" s="1"/>
  <c r="G169" i="2"/>
  <c r="G172" i="2" s="1"/>
  <c r="L242" i="8"/>
  <c r="T228" i="8"/>
  <c r="G243" i="8"/>
  <c r="H31" i="75" s="1"/>
  <c r="H277" i="8"/>
  <c r="AB227" i="9"/>
  <c r="S227" i="8"/>
  <c r="O231" i="8"/>
  <c r="AJ230" i="9"/>
  <c r="O221" i="8"/>
  <c r="O222" i="8" s="1"/>
  <c r="AJ221" i="9"/>
  <c r="I222" i="8"/>
  <c r="I242" i="8" s="1"/>
  <c r="N17" i="75"/>
  <c r="M217" i="8"/>
  <c r="Z218" i="9"/>
  <c r="Y218" i="9"/>
  <c r="O230" i="8"/>
  <c r="S230" i="8" s="1"/>
  <c r="T230" i="8" s="1"/>
  <c r="AB229" i="9"/>
  <c r="S229" i="8"/>
  <c r="T229" i="8" s="1"/>
  <c r="T218" i="8"/>
  <c r="P141" i="9"/>
  <c r="S141" i="9"/>
  <c r="U141" i="9"/>
  <c r="O141" i="9"/>
  <c r="R141" i="9"/>
  <c r="T141" i="9"/>
  <c r="N141" i="9"/>
  <c r="V141" i="9"/>
  <c r="Q141" i="9"/>
  <c r="W141" i="9"/>
  <c r="T145" i="8"/>
  <c r="J147" i="8"/>
  <c r="AJ149" i="9"/>
  <c r="AL140" i="9"/>
  <c r="R145" i="9"/>
  <c r="T145" i="9"/>
  <c r="P145" i="9"/>
  <c r="W145" i="9"/>
  <c r="N145" i="9"/>
  <c r="V145" i="9"/>
  <c r="Q145" i="9"/>
  <c r="U145" i="9"/>
  <c r="S145" i="9"/>
  <c r="O145" i="9"/>
  <c r="AJ148" i="9"/>
  <c r="J20" i="75"/>
  <c r="K139" i="8"/>
  <c r="T143" i="8"/>
  <c r="X146" i="9"/>
  <c r="S146" i="8"/>
  <c r="M149" i="8"/>
  <c r="L149" i="8"/>
  <c r="M140" i="9"/>
  <c r="M149" i="9" s="1"/>
  <c r="S140" i="8"/>
  <c r="T140" i="8" s="1"/>
  <c r="AJ127" i="9"/>
  <c r="L127" i="8"/>
  <c r="I137" i="8"/>
  <c r="P134" i="8" s="1"/>
  <c r="AF134" i="9" s="1"/>
  <c r="S129" i="8"/>
  <c r="M129" i="9"/>
  <c r="S131" i="8"/>
  <c r="M131" i="9"/>
  <c r="I136" i="8"/>
  <c r="S128" i="8"/>
  <c r="T128" i="8" s="1"/>
  <c r="M128" i="9"/>
  <c r="H150" i="8"/>
  <c r="F152" i="8"/>
  <c r="F279" i="8" s="1"/>
  <c r="F283" i="8" s="1"/>
  <c r="F285" i="8" s="1"/>
  <c r="S133" i="8"/>
  <c r="T133" i="8" s="1"/>
  <c r="M133" i="9"/>
  <c r="N134" i="8"/>
  <c r="AA134" i="9" s="1"/>
  <c r="J134" i="8"/>
  <c r="AJ134" i="9"/>
  <c r="K134" i="8"/>
  <c r="L134" i="9" s="1"/>
  <c r="I23" i="75"/>
  <c r="T116" i="8"/>
  <c r="T114" i="8"/>
  <c r="D169" i="2"/>
  <c r="D172" i="2" s="1"/>
  <c r="AK114" i="9"/>
  <c r="AL114" i="9" s="1"/>
  <c r="L118" i="9"/>
  <c r="S118" i="8"/>
  <c r="T118" i="8" s="1"/>
  <c r="K119" i="8"/>
  <c r="AJ119" i="9"/>
  <c r="I120" i="8"/>
  <c r="S110" i="8"/>
  <c r="T110" i="8" s="1"/>
  <c r="L110" i="9"/>
  <c r="AK110" i="9" s="1"/>
  <c r="AL110" i="9" s="1"/>
  <c r="T109" i="8"/>
  <c r="T105" i="8"/>
  <c r="AK103" i="9"/>
  <c r="AL103" i="9" s="1"/>
  <c r="K106" i="8"/>
  <c r="AJ106" i="9"/>
  <c r="I111" i="8"/>
  <c r="AJ94" i="9"/>
  <c r="AJ97" i="9" s="1"/>
  <c r="S96" i="8"/>
  <c r="T96" i="8" s="1"/>
  <c r="T93" i="8"/>
  <c r="T84" i="8"/>
  <c r="T85" i="8"/>
  <c r="F441" i="1"/>
  <c r="F169" i="2" s="1"/>
  <c r="F172" i="2" s="1"/>
  <c r="S76" i="8"/>
  <c r="T76" i="8" s="1"/>
  <c r="T78" i="8"/>
  <c r="T74" i="8"/>
  <c r="AK77" i="9"/>
  <c r="AL77" i="9" s="1"/>
  <c r="T51" i="8"/>
  <c r="S52" i="8"/>
  <c r="T52" i="8" s="1"/>
  <c r="S47" i="8"/>
  <c r="T48" i="8"/>
  <c r="AJ43" i="9"/>
  <c r="S42" i="8"/>
  <c r="T42" i="8" s="1"/>
  <c r="T39" i="8"/>
  <c r="AJ38" i="9"/>
  <c r="AJ44" i="9" s="1"/>
  <c r="T37" i="8"/>
  <c r="S29" i="8"/>
  <c r="T29" i="8" s="1"/>
  <c r="T28" i="8"/>
  <c r="T30" i="8"/>
  <c r="AJ27" i="9"/>
  <c r="AJ31" i="9" s="1"/>
  <c r="T13" i="8"/>
  <c r="AJ17" i="9"/>
  <c r="AJ22" i="9" s="1"/>
  <c r="S14" i="8"/>
  <c r="T14" i="8" s="1"/>
  <c r="T19" i="8"/>
  <c r="S18" i="8"/>
  <c r="T18" i="8" s="1"/>
  <c r="AJ65" i="21"/>
  <c r="AJ155" i="21" s="1"/>
  <c r="AJ206" i="21" s="1"/>
  <c r="O217" i="5"/>
  <c r="K217" i="5"/>
  <c r="L217" i="6" s="1"/>
  <c r="S219" i="8"/>
  <c r="T219" i="8" s="1"/>
  <c r="AA219" i="9"/>
  <c r="AK219" i="9" s="1"/>
  <c r="AL219" i="9" s="1"/>
  <c r="N223" i="8"/>
  <c r="L217" i="5"/>
  <c r="P217" i="5"/>
  <c r="N217" i="5"/>
  <c r="AK33" i="6"/>
  <c r="AL33" i="6" s="1"/>
  <c r="S33" i="5"/>
  <c r="T33" i="5" s="1"/>
  <c r="H152" i="8"/>
  <c r="AJ33" i="9"/>
  <c r="G222" i="5"/>
  <c r="G242" i="5" s="1"/>
  <c r="G277" i="5" s="1"/>
  <c r="H221" i="5"/>
  <c r="G39" i="20"/>
  <c r="H152" i="5"/>
  <c r="AK49" i="6"/>
  <c r="AL49" i="6" s="1"/>
  <c r="S21" i="5"/>
  <c r="T21" i="5" s="1"/>
  <c r="S20" i="5"/>
  <c r="T20" i="5" s="1"/>
  <c r="S17" i="5"/>
  <c r="T17" i="5" s="1"/>
  <c r="S15" i="5"/>
  <c r="T15" i="5" s="1"/>
  <c r="S19" i="5"/>
  <c r="T19" i="5" s="1"/>
  <c r="S27" i="5"/>
  <c r="T27" i="5" s="1"/>
  <c r="AJ31" i="6"/>
  <c r="S28" i="5"/>
  <c r="T28" i="5" s="1"/>
  <c r="S42" i="5"/>
  <c r="T42" i="5" s="1"/>
  <c r="S41" i="5"/>
  <c r="T41" i="5" s="1"/>
  <c r="S43" i="5"/>
  <c r="T43" i="5" s="1"/>
  <c r="S40" i="5"/>
  <c r="T40" i="5" s="1"/>
  <c r="S39" i="5"/>
  <c r="T39" i="5" s="1"/>
  <c r="S38" i="5"/>
  <c r="T38" i="5" s="1"/>
  <c r="S51" i="5"/>
  <c r="T51" i="5" s="1"/>
  <c r="S76" i="5"/>
  <c r="T76" i="5" s="1"/>
  <c r="S84" i="5"/>
  <c r="T84" i="5" s="1"/>
  <c r="S83" i="5"/>
  <c r="T83" i="5" s="1"/>
  <c r="AK96" i="6"/>
  <c r="AL96" i="6" s="1"/>
  <c r="L149" i="5"/>
  <c r="L139" i="5" s="1"/>
  <c r="S139" i="5" s="1"/>
  <c r="T139" i="5" s="1"/>
  <c r="D282" i="5"/>
  <c r="F243" i="5"/>
  <c r="G30" i="75" s="1"/>
  <c r="AB217" i="9"/>
  <c r="AK219" i="6"/>
  <c r="AL219" i="6" s="1"/>
  <c r="AL105" i="13"/>
  <c r="E274" i="6"/>
  <c r="I274" i="6"/>
  <c r="S272" i="5"/>
  <c r="T272" i="5" s="1"/>
  <c r="AJ268" i="9"/>
  <c r="I272" i="8"/>
  <c r="S251" i="5"/>
  <c r="T251" i="5" s="1"/>
  <c r="S249" i="5"/>
  <c r="T249" i="5" s="1"/>
  <c r="AJ262" i="6"/>
  <c r="S262" i="5"/>
  <c r="T262" i="5" s="1"/>
  <c r="AJ240" i="6"/>
  <c r="AF238" i="6"/>
  <c r="AG238" i="6" s="1"/>
  <c r="AK238" i="6" s="1"/>
  <c r="AL238" i="6" s="1"/>
  <c r="S238" i="5"/>
  <c r="T238" i="5" s="1"/>
  <c r="AF237" i="6"/>
  <c r="AG237" i="6" s="1"/>
  <c r="AK237" i="6" s="1"/>
  <c r="S237" i="5"/>
  <c r="T237" i="5" s="1"/>
  <c r="AF233" i="6"/>
  <c r="S233" i="5"/>
  <c r="T233" i="5" s="1"/>
  <c r="P240" i="5"/>
  <c r="S240" i="5" s="1"/>
  <c r="T240" i="5" s="1"/>
  <c r="P241" i="5"/>
  <c r="AF235" i="6"/>
  <c r="S235" i="5"/>
  <c r="T235" i="5" s="1"/>
  <c r="AL237" i="6"/>
  <c r="I229" i="5"/>
  <c r="H230" i="5"/>
  <c r="AC227" i="6"/>
  <c r="AD227" i="6"/>
  <c r="AE227" i="6"/>
  <c r="AB226" i="6"/>
  <c r="S226" i="5"/>
  <c r="T226" i="5" s="1"/>
  <c r="S228" i="5"/>
  <c r="T228" i="5" s="1"/>
  <c r="AB228" i="6"/>
  <c r="AF229" i="6"/>
  <c r="AF230" i="6" s="1"/>
  <c r="P230" i="5"/>
  <c r="I222" i="15"/>
  <c r="M217" i="15"/>
  <c r="AJ216" i="16"/>
  <c r="AB217" i="6"/>
  <c r="AA103" i="13"/>
  <c r="S105" i="12"/>
  <c r="T105" i="12" s="1"/>
  <c r="H228" i="15"/>
  <c r="G229" i="15"/>
  <c r="S106" i="12"/>
  <c r="T106" i="12" s="1"/>
  <c r="AA104" i="13"/>
  <c r="AF217" i="6"/>
  <c r="AJ103" i="13"/>
  <c r="G221" i="15"/>
  <c r="H216" i="15"/>
  <c r="AJ104" i="13"/>
  <c r="AH217" i="6"/>
  <c r="I220" i="15"/>
  <c r="AJ219" i="16" s="1"/>
  <c r="N15" i="75"/>
  <c r="T15" i="75" s="1"/>
  <c r="U15" i="75" s="1"/>
  <c r="M217" i="5"/>
  <c r="I16" i="75"/>
  <c r="AA217" i="6"/>
  <c r="M217" i="6"/>
  <c r="Z218" i="6"/>
  <c r="Y218" i="6"/>
  <c r="AK218" i="6" s="1"/>
  <c r="AL218" i="6" s="1"/>
  <c r="G209" i="5"/>
  <c r="H209" i="5" s="1"/>
  <c r="T209" i="5" s="1"/>
  <c r="T197" i="5"/>
  <c r="I197" i="5"/>
  <c r="I207" i="5" s="1"/>
  <c r="I194" i="5"/>
  <c r="H98" i="12"/>
  <c r="H117" i="12" s="1"/>
  <c r="H118" i="12" s="1"/>
  <c r="I96" i="12"/>
  <c r="H28" i="66"/>
  <c r="H32" i="66" s="1"/>
  <c r="E282" i="5"/>
  <c r="M18" i="75"/>
  <c r="X139" i="6"/>
  <c r="M142" i="6"/>
  <c r="S142" i="5"/>
  <c r="T142" i="5" s="1"/>
  <c r="M145" i="6"/>
  <c r="P145" i="6" s="1"/>
  <c r="S145" i="5"/>
  <c r="T145" i="5" s="1"/>
  <c r="AA139" i="6"/>
  <c r="AA148" i="6" s="1"/>
  <c r="N148" i="5"/>
  <c r="P148" i="5"/>
  <c r="AF139" i="6"/>
  <c r="AF148" i="6" s="1"/>
  <c r="N18" i="75"/>
  <c r="M147" i="5"/>
  <c r="X147" i="6" s="1"/>
  <c r="M144" i="6"/>
  <c r="P144" i="6" s="1"/>
  <c r="S144" i="5"/>
  <c r="T144" i="5" s="1"/>
  <c r="I150" i="5"/>
  <c r="AJ149" i="6"/>
  <c r="J148" i="5"/>
  <c r="AH139" i="6"/>
  <c r="AH148" i="6" s="1"/>
  <c r="Q148" i="5"/>
  <c r="S141" i="5"/>
  <c r="T141" i="5" s="1"/>
  <c r="M141" i="6"/>
  <c r="P141" i="6" s="1"/>
  <c r="M143" i="6"/>
  <c r="S143" i="5"/>
  <c r="T143" i="5" s="1"/>
  <c r="AJ148" i="6"/>
  <c r="O148" i="5"/>
  <c r="AB139" i="6"/>
  <c r="AB148" i="6" s="1"/>
  <c r="X149" i="6"/>
  <c r="Z146" i="6"/>
  <c r="Z149" i="6" s="1"/>
  <c r="Y146" i="6"/>
  <c r="AF126" i="6"/>
  <c r="S131" i="5"/>
  <c r="T131" i="5" s="1"/>
  <c r="M131" i="6"/>
  <c r="P131" i="6" s="1"/>
  <c r="N126" i="5"/>
  <c r="Q126" i="5"/>
  <c r="O126" i="5"/>
  <c r="AJ136" i="6"/>
  <c r="M137" i="5"/>
  <c r="S132" i="5"/>
  <c r="T132" i="5" s="1"/>
  <c r="X132" i="6"/>
  <c r="AJ137" i="6"/>
  <c r="J21" i="75"/>
  <c r="N134" i="5"/>
  <c r="AA134" i="6" s="1"/>
  <c r="Q134" i="5"/>
  <c r="AH134" i="6" s="1"/>
  <c r="J134" i="5"/>
  <c r="K134" i="5"/>
  <c r="L134" i="6" s="1"/>
  <c r="O134" i="5"/>
  <c r="AB134" i="6" s="1"/>
  <c r="AF134" i="6"/>
  <c r="K126" i="5"/>
  <c r="M133" i="6"/>
  <c r="P133" i="6" s="1"/>
  <c r="S133" i="5"/>
  <c r="T133" i="5" s="1"/>
  <c r="M135" i="6"/>
  <c r="S135" i="5"/>
  <c r="T135" i="5" s="1"/>
  <c r="AK128" i="6"/>
  <c r="AL128" i="6" s="1"/>
  <c r="M127" i="6"/>
  <c r="P127" i="6" s="1"/>
  <c r="L137" i="5"/>
  <c r="S127" i="5"/>
  <c r="T127" i="5" s="1"/>
  <c r="L115" i="6"/>
  <c r="AK115" i="6" s="1"/>
  <c r="S115" i="5"/>
  <c r="T115" i="5" s="1"/>
  <c r="AJ120" i="6"/>
  <c r="S118" i="5"/>
  <c r="T118" i="5" s="1"/>
  <c r="L118" i="6"/>
  <c r="AK118" i="6" s="1"/>
  <c r="AL118" i="6" s="1"/>
  <c r="L114" i="6"/>
  <c r="K120" i="5"/>
  <c r="S120" i="5" s="1"/>
  <c r="T120" i="5" s="1"/>
  <c r="S114" i="5"/>
  <c r="T114" i="5" s="1"/>
  <c r="AL115" i="6"/>
  <c r="S107" i="5"/>
  <c r="T107" i="5" s="1"/>
  <c r="L107" i="6"/>
  <c r="AK107" i="6" s="1"/>
  <c r="AL107" i="6" s="1"/>
  <c r="I122" i="5"/>
  <c r="AJ111" i="6"/>
  <c r="L106" i="6"/>
  <c r="AK106" i="6" s="1"/>
  <c r="AL106" i="6" s="1"/>
  <c r="S106" i="5"/>
  <c r="T106" i="5" s="1"/>
  <c r="S103" i="5"/>
  <c r="T103" i="5" s="1"/>
  <c r="K111" i="5"/>
  <c r="L103" i="6"/>
  <c r="S108" i="5"/>
  <c r="T108" i="5" s="1"/>
  <c r="L108" i="6"/>
  <c r="AK108" i="6" s="1"/>
  <c r="AL108" i="6" s="1"/>
  <c r="S109" i="5"/>
  <c r="T109" i="5" s="1"/>
  <c r="L109" i="6"/>
  <c r="AK109" i="6" s="1"/>
  <c r="AL109" i="6" s="1"/>
  <c r="L104" i="6"/>
  <c r="AK104" i="6" s="1"/>
  <c r="AL104" i="6" s="1"/>
  <c r="S104" i="5"/>
  <c r="T104" i="5" s="1"/>
  <c r="S110" i="5"/>
  <c r="T110" i="5" s="1"/>
  <c r="L110" i="6"/>
  <c r="AK110" i="6" s="1"/>
  <c r="AL110" i="6" s="1"/>
  <c r="S90" i="5"/>
  <c r="T90" i="5" s="1"/>
  <c r="AJ93" i="6"/>
  <c r="S82" i="5"/>
  <c r="T82" i="5" s="1"/>
  <c r="S86" i="5"/>
  <c r="T86" i="5" s="1"/>
  <c r="AJ86" i="6"/>
  <c r="AJ77" i="6"/>
  <c r="S79" i="5"/>
  <c r="T79" i="5" s="1"/>
  <c r="F279" i="5"/>
  <c r="S74" i="5"/>
  <c r="T74" i="5" s="1"/>
  <c r="AJ52" i="6"/>
  <c r="S48" i="5"/>
  <c r="T48" i="5" s="1"/>
  <c r="S52" i="5"/>
  <c r="T52" i="5" s="1"/>
  <c r="AJ44" i="6"/>
  <c r="S44" i="5"/>
  <c r="T44" i="5" s="1"/>
  <c r="S37" i="5"/>
  <c r="T37" i="5" s="1"/>
  <c r="S31" i="5"/>
  <c r="T31" i="5" s="1"/>
  <c r="S25" i="5"/>
  <c r="T25" i="5" s="1"/>
  <c r="S16" i="5"/>
  <c r="T16" i="5" s="1"/>
  <c r="AJ22" i="6"/>
  <c r="S110" i="14"/>
  <c r="R96" i="3"/>
  <c r="R118" i="3" s="1"/>
  <c r="T126" i="4" s="1"/>
  <c r="U98" i="3"/>
  <c r="T257" i="17"/>
  <c r="O110" i="14"/>
  <c r="R257" i="17"/>
  <c r="S257" i="17"/>
  <c r="O98" i="3"/>
  <c r="N98" i="3"/>
  <c r="V257" i="17"/>
  <c r="T110" i="14"/>
  <c r="O257" i="17"/>
  <c r="Q98" i="3"/>
  <c r="P96" i="2"/>
  <c r="I96" i="2"/>
  <c r="F98" i="2"/>
  <c r="F142" i="2" s="1"/>
  <c r="M129" i="7"/>
  <c r="M129" i="17"/>
  <c r="O129" i="16" s="1"/>
  <c r="D98" i="2"/>
  <c r="D142" i="2" s="1"/>
  <c r="AJ96" i="3"/>
  <c r="AK61" i="3"/>
  <c r="AL61" i="3" s="1"/>
  <c r="M96" i="3"/>
  <c r="M118" i="3" s="1"/>
  <c r="N126" i="4"/>
  <c r="N127" i="4"/>
  <c r="N130" i="4"/>
  <c r="N125" i="4"/>
  <c r="N128" i="4"/>
  <c r="O96" i="2"/>
  <c r="AB125" i="4"/>
  <c r="AB126" i="4"/>
  <c r="AB127" i="4"/>
  <c r="AB128" i="4"/>
  <c r="AB130" i="4"/>
  <c r="R125" i="4"/>
  <c r="R126" i="4"/>
  <c r="R127" i="4"/>
  <c r="R128" i="4"/>
  <c r="R130" i="4"/>
  <c r="Q130" i="4"/>
  <c r="Q125" i="4"/>
  <c r="Q126" i="4"/>
  <c r="Q127" i="4"/>
  <c r="Q128" i="4"/>
  <c r="S96" i="3"/>
  <c r="S118" i="3" s="1"/>
  <c r="Y96" i="3"/>
  <c r="Y118" i="3" s="1"/>
  <c r="AA175" i="4"/>
  <c r="Z175" i="4" s="1"/>
  <c r="P175" i="4"/>
  <c r="G180" i="4"/>
  <c r="V130" i="4"/>
  <c r="V126" i="4"/>
  <c r="V128" i="4"/>
  <c r="V125" i="4"/>
  <c r="V127" i="4"/>
  <c r="Q96" i="3"/>
  <c r="Q118" i="3" s="1"/>
  <c r="S98" i="3"/>
  <c r="Y130" i="4"/>
  <c r="Y125" i="4"/>
  <c r="Y126" i="4"/>
  <c r="Y127" i="4"/>
  <c r="Y128" i="4"/>
  <c r="W125" i="4"/>
  <c r="W126" i="4"/>
  <c r="W127" i="4"/>
  <c r="W128" i="4"/>
  <c r="W130" i="4"/>
  <c r="X175" i="4"/>
  <c r="Q110" i="14"/>
  <c r="V96" i="3"/>
  <c r="V118" i="3" s="1"/>
  <c r="AK94" i="3"/>
  <c r="AL94" i="3" s="1"/>
  <c r="Y257" i="17"/>
  <c r="X257" i="17" s="1"/>
  <c r="N96" i="3"/>
  <c r="N118" i="3" s="1"/>
  <c r="O143" i="17"/>
  <c r="M130" i="17"/>
  <c r="V143" i="17"/>
  <c r="AL76" i="3"/>
  <c r="AA96" i="3"/>
  <c r="AA118" i="3" s="1"/>
  <c r="Q136" i="15"/>
  <c r="AH126" i="16"/>
  <c r="AH136" i="16" s="1"/>
  <c r="T63" i="2"/>
  <c r="J98" i="2"/>
  <c r="I114" i="12"/>
  <c r="AJ101" i="13"/>
  <c r="E16" i="20"/>
  <c r="C16" i="20" s="1"/>
  <c r="AM16" i="21" s="1"/>
  <c r="F108" i="20"/>
  <c r="E108" i="20" s="1"/>
  <c r="C108" i="20" s="1"/>
  <c r="AM108" i="21" s="1"/>
  <c r="F65" i="20"/>
  <c r="N96" i="2"/>
  <c r="AB136" i="16"/>
  <c r="V98" i="3"/>
  <c r="AK16" i="3"/>
  <c r="AL16" i="3" s="1"/>
  <c r="O143" i="7"/>
  <c r="M130" i="7"/>
  <c r="P130" i="6" s="1"/>
  <c r="M96" i="2"/>
  <c r="D206" i="20"/>
  <c r="M142" i="17"/>
  <c r="N144" i="9"/>
  <c r="O144" i="9"/>
  <c r="S144" i="9"/>
  <c r="W144" i="9"/>
  <c r="R144" i="9"/>
  <c r="V144" i="9"/>
  <c r="U144" i="9"/>
  <c r="T144" i="9"/>
  <c r="R144" i="6"/>
  <c r="V144" i="6"/>
  <c r="N144" i="6"/>
  <c r="O144" i="6"/>
  <c r="T144" i="6"/>
  <c r="W144" i="6"/>
  <c r="U144" i="6"/>
  <c r="P144" i="9"/>
  <c r="S144" i="6"/>
  <c r="M142" i="7"/>
  <c r="M110" i="14"/>
  <c r="V110" i="13" s="1"/>
  <c r="Q144" i="9"/>
  <c r="AK39" i="3"/>
  <c r="AL39" i="3" s="1"/>
  <c r="O144" i="16"/>
  <c r="S144" i="16"/>
  <c r="W144" i="16"/>
  <c r="V144" i="16"/>
  <c r="N144" i="16"/>
  <c r="P144" i="16"/>
  <c r="R144" i="16"/>
  <c r="U144" i="16"/>
  <c r="T144" i="16"/>
  <c r="Q144" i="6"/>
  <c r="Q129" i="16"/>
  <c r="W129" i="16"/>
  <c r="S129" i="16"/>
  <c r="P129" i="16"/>
  <c r="Q144" i="16"/>
  <c r="G9" i="66" l="1"/>
  <c r="G11" i="66" s="1"/>
  <c r="D469" i="1"/>
  <c r="E32" i="75" s="1"/>
  <c r="E29" i="75"/>
  <c r="D252" i="16"/>
  <c r="T125" i="4"/>
  <c r="M257" i="17"/>
  <c r="G211" i="5"/>
  <c r="G243" i="5" s="1"/>
  <c r="Q134" i="8"/>
  <c r="AH134" i="9" s="1"/>
  <c r="G20" i="25"/>
  <c r="L20" i="55"/>
  <c r="I20" i="27"/>
  <c r="S253" i="5"/>
  <c r="T253" i="5" s="1"/>
  <c r="F20" i="61"/>
  <c r="G20" i="23"/>
  <c r="I20" i="25"/>
  <c r="S270" i="5"/>
  <c r="T270" i="5" s="1"/>
  <c r="F20" i="57"/>
  <c r="F20" i="31"/>
  <c r="K20" i="27"/>
  <c r="N20" i="59"/>
  <c r="I20" i="24"/>
  <c r="S249" i="8"/>
  <c r="D249" i="9"/>
  <c r="AJ150" i="6"/>
  <c r="H211" i="5"/>
  <c r="T211" i="5" s="1"/>
  <c r="O134" i="8"/>
  <c r="AB134" i="9" s="1"/>
  <c r="F20" i="58"/>
  <c r="F20" i="25"/>
  <c r="K20" i="23"/>
  <c r="N20" i="31"/>
  <c r="H20" i="23"/>
  <c r="S83" i="12"/>
  <c r="T83" i="12" s="1"/>
  <c r="D83" i="13"/>
  <c r="F44" i="20"/>
  <c r="D261" i="16"/>
  <c r="O262" i="15"/>
  <c r="AB261" i="16" s="1"/>
  <c r="L271" i="15"/>
  <c r="M270" i="16" s="1"/>
  <c r="P262" i="15"/>
  <c r="AF261" i="16" s="1"/>
  <c r="P271" i="15"/>
  <c r="AF270" i="16" s="1"/>
  <c r="N262" i="15"/>
  <c r="AA261" i="16" s="1"/>
  <c r="K253" i="15"/>
  <c r="L252" i="16" s="1"/>
  <c r="M262" i="15"/>
  <c r="X261" i="16" s="1"/>
  <c r="N253" i="15"/>
  <c r="AA252" i="16" s="1"/>
  <c r="L262" i="15"/>
  <c r="M261" i="16" s="1"/>
  <c r="K271" i="15"/>
  <c r="L270" i="16" s="1"/>
  <c r="Q253" i="15"/>
  <c r="AH252" i="16" s="1"/>
  <c r="Q271" i="15"/>
  <c r="AH270" i="16" s="1"/>
  <c r="Q262" i="15"/>
  <c r="AH261" i="16" s="1"/>
  <c r="N271" i="15"/>
  <c r="AA270" i="16" s="1"/>
  <c r="M253" i="15"/>
  <c r="X252" i="16" s="1"/>
  <c r="P253" i="15"/>
  <c r="AF252" i="16" s="1"/>
  <c r="M271" i="15"/>
  <c r="X270" i="16" s="1"/>
  <c r="L253" i="15"/>
  <c r="M252" i="16" s="1"/>
  <c r="K262" i="15"/>
  <c r="L261" i="16" s="1"/>
  <c r="O271" i="15"/>
  <c r="AB270" i="16" s="1"/>
  <c r="O253" i="15"/>
  <c r="AB252" i="16" s="1"/>
  <c r="F20" i="55"/>
  <c r="M20" i="58"/>
  <c r="K20" i="59"/>
  <c r="H20" i="31"/>
  <c r="D270" i="16"/>
  <c r="T129" i="16"/>
  <c r="L147" i="5"/>
  <c r="M147" i="6" s="1"/>
  <c r="M134" i="8"/>
  <c r="X134" i="9" s="1"/>
  <c r="F20" i="24"/>
  <c r="M20" i="59"/>
  <c r="G20" i="31"/>
  <c r="L20" i="57"/>
  <c r="S253" i="8"/>
  <c r="D253" i="9"/>
  <c r="S248" i="15"/>
  <c r="T248" i="15" s="1"/>
  <c r="D247" i="16"/>
  <c r="AL103" i="13"/>
  <c r="M205" i="20"/>
  <c r="M213" i="20" s="1"/>
  <c r="E154" i="20"/>
  <c r="E60" i="58"/>
  <c r="AH214" i="21"/>
  <c r="AH154" i="21"/>
  <c r="AK64" i="21"/>
  <c r="O64" i="20"/>
  <c r="AM64" i="21"/>
  <c r="AK218" i="9"/>
  <c r="AL218" i="9" s="1"/>
  <c r="AK48" i="9"/>
  <c r="AL48" i="9" s="1"/>
  <c r="AL255" i="9"/>
  <c r="F29" i="75"/>
  <c r="AK85" i="6"/>
  <c r="AL85" i="6" s="1"/>
  <c r="F243" i="8"/>
  <c r="G31" i="75" s="1"/>
  <c r="T130" i="4"/>
  <c r="R129" i="9"/>
  <c r="T128" i="4"/>
  <c r="P130" i="16"/>
  <c r="T127" i="4"/>
  <c r="N129" i="16"/>
  <c r="P60" i="55"/>
  <c r="Q60" i="55" s="1"/>
  <c r="P15" i="31"/>
  <c r="Q15" i="31" s="1"/>
  <c r="G26" i="75"/>
  <c r="V130" i="16"/>
  <c r="K30" i="31"/>
  <c r="P60" i="57"/>
  <c r="Q60" i="57" s="1"/>
  <c r="M30" i="25"/>
  <c r="K30" i="29"/>
  <c r="P27" i="31"/>
  <c r="Q27" i="31" s="1"/>
  <c r="P27" i="57"/>
  <c r="Q27" i="57" s="1"/>
  <c r="P60" i="25"/>
  <c r="Q60" i="25" s="1"/>
  <c r="P60" i="30"/>
  <c r="Q60" i="30" s="1"/>
  <c r="G30" i="31"/>
  <c r="L30" i="30"/>
  <c r="K30" i="25"/>
  <c r="P27" i="61"/>
  <c r="Q27" i="61" s="1"/>
  <c r="P27" i="55"/>
  <c r="Q27" i="55" s="1"/>
  <c r="P60" i="31"/>
  <c r="Q60" i="31" s="1"/>
  <c r="G30" i="55"/>
  <c r="G30" i="57"/>
  <c r="I30" i="29"/>
  <c r="I30" i="31"/>
  <c r="N30" i="55"/>
  <c r="M30" i="57"/>
  <c r="M30" i="55"/>
  <c r="I30" i="57"/>
  <c r="N30" i="57"/>
  <c r="H30" i="31"/>
  <c r="P27" i="30"/>
  <c r="Q27" i="30" s="1"/>
  <c r="P27" i="25"/>
  <c r="Q27" i="25" s="1"/>
  <c r="P27" i="29"/>
  <c r="Q27" i="29" s="1"/>
  <c r="J30" i="57"/>
  <c r="N10" i="31"/>
  <c r="J10" i="31"/>
  <c r="L10" i="31"/>
  <c r="M10" i="31"/>
  <c r="K10" i="31"/>
  <c r="G10" i="31"/>
  <c r="H10" i="31"/>
  <c r="F10" i="31"/>
  <c r="I10" i="31"/>
  <c r="K30" i="30"/>
  <c r="F45" i="20"/>
  <c r="S47" i="12"/>
  <c r="T47" i="12" s="1"/>
  <c r="J30" i="29"/>
  <c r="E43" i="20"/>
  <c r="C43" i="20" s="1"/>
  <c r="AM43" i="21" s="1"/>
  <c r="M131" i="20"/>
  <c r="P34" i="31"/>
  <c r="Q34" i="31" s="1"/>
  <c r="P34" i="25"/>
  <c r="Q34" i="25" s="1"/>
  <c r="K30" i="57"/>
  <c r="J30" i="25"/>
  <c r="M30" i="29"/>
  <c r="AH43" i="21"/>
  <c r="AL82" i="13"/>
  <c r="I30" i="25"/>
  <c r="P34" i="57"/>
  <c r="Q34" i="57" s="1"/>
  <c r="P34" i="61"/>
  <c r="Q34" i="61" s="1"/>
  <c r="P29" i="61"/>
  <c r="Q29" i="61" s="1"/>
  <c r="N30" i="30"/>
  <c r="M30" i="31"/>
  <c r="H30" i="61"/>
  <c r="P34" i="55"/>
  <c r="Q34" i="55" s="1"/>
  <c r="N30" i="29"/>
  <c r="P34" i="30"/>
  <c r="Q34" i="30" s="1"/>
  <c r="O174" i="20"/>
  <c r="AM174" i="21"/>
  <c r="AN127" i="21"/>
  <c r="E17" i="25"/>
  <c r="AK174" i="21"/>
  <c r="P53" i="55"/>
  <c r="Q53" i="55" s="1"/>
  <c r="P53" i="57"/>
  <c r="Q53" i="57" s="1"/>
  <c r="P52" i="31"/>
  <c r="Q52" i="31" s="1"/>
  <c r="P52" i="30"/>
  <c r="Q52" i="30" s="1"/>
  <c r="F58" i="29"/>
  <c r="P58" i="29" s="1"/>
  <c r="Q58" i="29" s="1"/>
  <c r="P57" i="29"/>
  <c r="Q57" i="29" s="1"/>
  <c r="F58" i="55"/>
  <c r="P58" i="55" s="1"/>
  <c r="Q58" i="55" s="1"/>
  <c r="P57" i="55"/>
  <c r="Q57" i="55" s="1"/>
  <c r="P53" i="30"/>
  <c r="Q53" i="30" s="1"/>
  <c r="P52" i="55"/>
  <c r="Q52" i="55" s="1"/>
  <c r="P53" i="31"/>
  <c r="Q53" i="31" s="1"/>
  <c r="P52" i="61"/>
  <c r="Q52" i="61" s="1"/>
  <c r="F58" i="31"/>
  <c r="P58" i="31" s="1"/>
  <c r="Q58" i="31" s="1"/>
  <c r="P57" i="31"/>
  <c r="Q57" i="31" s="1"/>
  <c r="F58" i="57"/>
  <c r="P58" i="57" s="1"/>
  <c r="Q58" i="57" s="1"/>
  <c r="P57" i="57"/>
  <c r="Q57" i="57" s="1"/>
  <c r="P53" i="61"/>
  <c r="Q53" i="61" s="1"/>
  <c r="P53" i="29"/>
  <c r="Q53" i="29" s="1"/>
  <c r="P52" i="29"/>
  <c r="Q52" i="29" s="1"/>
  <c r="P57" i="30"/>
  <c r="Q57" i="30" s="1"/>
  <c r="F58" i="30"/>
  <c r="P58" i="30" s="1"/>
  <c r="Q58" i="30" s="1"/>
  <c r="P53" i="25"/>
  <c r="Q53" i="25" s="1"/>
  <c r="P52" i="25"/>
  <c r="Q52" i="25" s="1"/>
  <c r="P52" i="57"/>
  <c r="Q52" i="57" s="1"/>
  <c r="P57" i="25"/>
  <c r="Q57" i="25" s="1"/>
  <c r="F58" i="25"/>
  <c r="P58" i="25" s="1"/>
  <c r="Q58" i="25" s="1"/>
  <c r="F58" i="61"/>
  <c r="P58" i="61" s="1"/>
  <c r="Q58" i="61" s="1"/>
  <c r="P57" i="61"/>
  <c r="Q57" i="61" s="1"/>
  <c r="F18" i="61"/>
  <c r="P18" i="61" s="1"/>
  <c r="Q18" i="61" s="1"/>
  <c r="Q16" i="61"/>
  <c r="F20" i="27"/>
  <c r="F20" i="29"/>
  <c r="M20" i="23"/>
  <c r="M20" i="57"/>
  <c r="M20" i="27"/>
  <c r="K20" i="55"/>
  <c r="K20" i="26"/>
  <c r="K20" i="31"/>
  <c r="K20" i="24"/>
  <c r="G20" i="27"/>
  <c r="G20" i="57"/>
  <c r="G20" i="24"/>
  <c r="N20" i="25"/>
  <c r="N20" i="55"/>
  <c r="N20" i="61"/>
  <c r="L20" i="23"/>
  <c r="L20" i="29"/>
  <c r="L20" i="27"/>
  <c r="L20" i="25"/>
  <c r="H20" i="59"/>
  <c r="H20" i="25"/>
  <c r="H20" i="55"/>
  <c r="I20" i="57"/>
  <c r="I20" i="59"/>
  <c r="Q16" i="55"/>
  <c r="F18" i="55"/>
  <c r="P18" i="55" s="1"/>
  <c r="Q18" i="55" s="1"/>
  <c r="M20" i="55"/>
  <c r="M20" i="26"/>
  <c r="M20" i="29"/>
  <c r="K20" i="57"/>
  <c r="K20" i="29"/>
  <c r="K20" i="58"/>
  <c r="G20" i="61"/>
  <c r="G20" i="58"/>
  <c r="G20" i="59"/>
  <c r="N20" i="26"/>
  <c r="N20" i="29"/>
  <c r="L20" i="58"/>
  <c r="L20" i="24"/>
  <c r="H20" i="29"/>
  <c r="H20" i="27"/>
  <c r="H20" i="26"/>
  <c r="I20" i="23"/>
  <c r="I20" i="26"/>
  <c r="J20" i="55"/>
  <c r="J20" i="25"/>
  <c r="J20" i="31"/>
  <c r="J20" i="59"/>
  <c r="J20" i="24"/>
  <c r="J20" i="61"/>
  <c r="J20" i="23"/>
  <c r="J20" i="26"/>
  <c r="J20" i="57"/>
  <c r="J20" i="29"/>
  <c r="J20" i="27"/>
  <c r="J20" i="58"/>
  <c r="F20" i="23"/>
  <c r="M20" i="31"/>
  <c r="M20" i="25"/>
  <c r="M20" i="61"/>
  <c r="K20" i="61"/>
  <c r="G20" i="55"/>
  <c r="G20" i="26"/>
  <c r="N20" i="23"/>
  <c r="N20" i="57"/>
  <c r="N20" i="58"/>
  <c r="N20" i="24"/>
  <c r="L20" i="59"/>
  <c r="L20" i="31"/>
  <c r="L20" i="61"/>
  <c r="Q16" i="25"/>
  <c r="H20" i="58"/>
  <c r="H20" i="61"/>
  <c r="H20" i="24"/>
  <c r="I20" i="61"/>
  <c r="I20" i="58"/>
  <c r="I20" i="55"/>
  <c r="I20" i="28" s="1"/>
  <c r="I20" i="31"/>
  <c r="F18" i="29"/>
  <c r="P18" i="29" s="1"/>
  <c r="Q18" i="29" s="1"/>
  <c r="Q16" i="29"/>
  <c r="Q16" i="57"/>
  <c r="F18" i="57"/>
  <c r="P18" i="57" s="1"/>
  <c r="Q18" i="57" s="1"/>
  <c r="L30" i="25"/>
  <c r="H30" i="25"/>
  <c r="J30" i="31"/>
  <c r="H30" i="29"/>
  <c r="N30" i="61"/>
  <c r="L30" i="61"/>
  <c r="N30" i="25"/>
  <c r="P29" i="25"/>
  <c r="Q29" i="25" s="1"/>
  <c r="I30" i="30"/>
  <c r="M30" i="61"/>
  <c r="H30" i="30"/>
  <c r="P29" i="57"/>
  <c r="Q29" i="57" s="1"/>
  <c r="P29" i="31"/>
  <c r="Q29" i="31" s="1"/>
  <c r="K30" i="61"/>
  <c r="K30" i="55"/>
  <c r="I30" i="61"/>
  <c r="P26" i="61"/>
  <c r="Q26" i="61" s="1"/>
  <c r="F30" i="61"/>
  <c r="G30" i="61"/>
  <c r="M30" i="30"/>
  <c r="L30" i="29"/>
  <c r="P29" i="29"/>
  <c r="Q29" i="29" s="1"/>
  <c r="P34" i="29"/>
  <c r="Q34" i="29" s="1"/>
  <c r="P26" i="57"/>
  <c r="Q26" i="57" s="1"/>
  <c r="F30" i="57"/>
  <c r="I30" i="55"/>
  <c r="G30" i="29"/>
  <c r="G30" i="30"/>
  <c r="J30" i="61"/>
  <c r="L30" i="57"/>
  <c r="P26" i="30"/>
  <c r="Q26" i="30" s="1"/>
  <c r="F30" i="30"/>
  <c r="F30" i="55"/>
  <c r="P26" i="55"/>
  <c r="Q26" i="55" s="1"/>
  <c r="L30" i="55"/>
  <c r="P29" i="55"/>
  <c r="Q29" i="55" s="1"/>
  <c r="P29" i="30"/>
  <c r="Q29" i="30" s="1"/>
  <c r="J30" i="30"/>
  <c r="F30" i="29"/>
  <c r="P26" i="29"/>
  <c r="Q26" i="29" s="1"/>
  <c r="J30" i="55"/>
  <c r="P26" i="25"/>
  <c r="Q26" i="25" s="1"/>
  <c r="F30" i="25"/>
  <c r="P26" i="31"/>
  <c r="Q26" i="31" s="1"/>
  <c r="F30" i="31"/>
  <c r="N30" i="31"/>
  <c r="G30" i="25"/>
  <c r="H30" i="57"/>
  <c r="H30" i="55"/>
  <c r="L30" i="31"/>
  <c r="E32" i="33"/>
  <c r="F36" i="31" s="1"/>
  <c r="P35" i="30"/>
  <c r="Q35" i="30" s="1"/>
  <c r="P33" i="29"/>
  <c r="Q33" i="29" s="1"/>
  <c r="P33" i="31"/>
  <c r="Q33" i="31" s="1"/>
  <c r="P33" i="61"/>
  <c r="Q33" i="61" s="1"/>
  <c r="E44" i="33"/>
  <c r="F48" i="30" s="1"/>
  <c r="P35" i="57"/>
  <c r="Q35" i="57" s="1"/>
  <c r="P35" i="29"/>
  <c r="Q35" i="29" s="1"/>
  <c r="P33" i="30"/>
  <c r="Q33" i="30" s="1"/>
  <c r="P33" i="57"/>
  <c r="Q33" i="57" s="1"/>
  <c r="P35" i="61"/>
  <c r="Q35" i="61" s="1"/>
  <c r="P33" i="25"/>
  <c r="Q33" i="25" s="1"/>
  <c r="E41" i="33"/>
  <c r="F45" i="55" s="1"/>
  <c r="P35" i="55"/>
  <c r="Q35" i="55" s="1"/>
  <c r="P35" i="25"/>
  <c r="Q35" i="25" s="1"/>
  <c r="P35" i="31"/>
  <c r="Q35" i="31" s="1"/>
  <c r="E47" i="33"/>
  <c r="F51" i="25" s="1"/>
  <c r="P33" i="55"/>
  <c r="Q33" i="55" s="1"/>
  <c r="L198" i="21"/>
  <c r="E22" i="32" s="1"/>
  <c r="E62" i="55"/>
  <c r="K22" i="55"/>
  <c r="F22" i="55"/>
  <c r="H22" i="55"/>
  <c r="J22" i="55"/>
  <c r="L22" i="55"/>
  <c r="N22" i="55"/>
  <c r="G22" i="55"/>
  <c r="I22" i="55"/>
  <c r="M22" i="55"/>
  <c r="AG241" i="16"/>
  <c r="AG240" i="16"/>
  <c r="AK238" i="16"/>
  <c r="AL238" i="16" s="1"/>
  <c r="AF228" i="16"/>
  <c r="AF240" i="16" s="1"/>
  <c r="AF229" i="16"/>
  <c r="AC217" i="16"/>
  <c r="AD217" i="16"/>
  <c r="AE217" i="16"/>
  <c r="M142" i="16"/>
  <c r="M149" i="16" s="1"/>
  <c r="S142" i="15"/>
  <c r="T142" i="15" s="1"/>
  <c r="L149" i="15"/>
  <c r="AJ149" i="16"/>
  <c r="J19" i="75"/>
  <c r="K147" i="15"/>
  <c r="P139" i="15"/>
  <c r="K139" i="15"/>
  <c r="N139" i="15"/>
  <c r="J139" i="15"/>
  <c r="Q139" i="15"/>
  <c r="W145" i="16"/>
  <c r="O145" i="16"/>
  <c r="V145" i="16"/>
  <c r="P145" i="16"/>
  <c r="N145" i="16"/>
  <c r="Q145" i="16"/>
  <c r="S145" i="16"/>
  <c r="U145" i="16"/>
  <c r="T145" i="16"/>
  <c r="R145" i="16"/>
  <c r="Y147" i="17"/>
  <c r="X147" i="17" s="1"/>
  <c r="Z147" i="16" s="1"/>
  <c r="Y139" i="17"/>
  <c r="X139" i="17" s="1"/>
  <c r="M139" i="15"/>
  <c r="O139" i="15"/>
  <c r="Y132" i="16"/>
  <c r="Z132" i="16"/>
  <c r="Z137" i="16" s="1"/>
  <c r="L126" i="16"/>
  <c r="L136" i="16" s="1"/>
  <c r="K136" i="15"/>
  <c r="AA136" i="16"/>
  <c r="V129" i="16"/>
  <c r="U129" i="16"/>
  <c r="S131" i="16"/>
  <c r="O131" i="16"/>
  <c r="R131" i="16"/>
  <c r="Q131" i="16"/>
  <c r="W131" i="16"/>
  <c r="P131" i="16"/>
  <c r="N131" i="16"/>
  <c r="T131" i="16"/>
  <c r="V131" i="16"/>
  <c r="U131" i="16"/>
  <c r="T127" i="16"/>
  <c r="Q127" i="16"/>
  <c r="W127" i="16"/>
  <c r="S127" i="16"/>
  <c r="V127" i="16"/>
  <c r="O127" i="16"/>
  <c r="M137" i="16"/>
  <c r="R127" i="16"/>
  <c r="N127" i="16"/>
  <c r="P127" i="16"/>
  <c r="U127" i="16"/>
  <c r="N136" i="15"/>
  <c r="X134" i="16"/>
  <c r="M136" i="15"/>
  <c r="X137" i="16"/>
  <c r="O136" i="15"/>
  <c r="X136" i="16"/>
  <c r="R129" i="16"/>
  <c r="D126" i="16"/>
  <c r="D136" i="16" s="1"/>
  <c r="J136" i="15"/>
  <c r="AF126" i="16"/>
  <c r="AF136" i="16" s="1"/>
  <c r="P136" i="15"/>
  <c r="M22" i="75"/>
  <c r="L134" i="15"/>
  <c r="M134" i="16" s="1"/>
  <c r="L126" i="15"/>
  <c r="S126" i="15" s="1"/>
  <c r="T126" i="15" s="1"/>
  <c r="S115" i="15"/>
  <c r="T115" i="15" s="1"/>
  <c r="L115" i="16"/>
  <c r="AL115" i="16" s="1"/>
  <c r="AJ120" i="16"/>
  <c r="AJ122" i="16" s="1"/>
  <c r="AL114" i="16"/>
  <c r="K122" i="15"/>
  <c r="S111" i="15"/>
  <c r="T111" i="15" s="1"/>
  <c r="L111" i="16"/>
  <c r="AL103" i="16"/>
  <c r="S97" i="15"/>
  <c r="T97" i="15" s="1"/>
  <c r="S47" i="15"/>
  <c r="T47" i="15" s="1"/>
  <c r="S52" i="15"/>
  <c r="T52" i="15" s="1"/>
  <c r="S15" i="15"/>
  <c r="T15" i="15" s="1"/>
  <c r="AL274" i="9"/>
  <c r="AL271" i="9"/>
  <c r="AJ104" i="21"/>
  <c r="AJ111" i="21" s="1"/>
  <c r="AJ113" i="21" s="1"/>
  <c r="AL264" i="9"/>
  <c r="H279" i="8"/>
  <c r="H283" i="8" s="1"/>
  <c r="H285" i="8" s="1"/>
  <c r="S252" i="8"/>
  <c r="T252" i="8" s="1"/>
  <c r="G465" i="1"/>
  <c r="P242" i="8"/>
  <c r="AG233" i="9"/>
  <c r="AF240" i="9"/>
  <c r="AF242" i="9" s="1"/>
  <c r="D12" i="20"/>
  <c r="G193" i="2"/>
  <c r="G195" i="2" s="1"/>
  <c r="G197" i="2" s="1"/>
  <c r="E27" i="18" s="1"/>
  <c r="T227" i="8"/>
  <c r="AD227" i="9"/>
  <c r="AD230" i="9" s="1"/>
  <c r="AC227" i="9"/>
  <c r="AE227" i="9"/>
  <c r="AE230" i="9" s="1"/>
  <c r="AB221" i="9"/>
  <c r="AC221" i="9" s="1"/>
  <c r="AK221" i="9" s="1"/>
  <c r="AL221" i="9" s="1"/>
  <c r="S221" i="8"/>
  <c r="M222" i="8"/>
  <c r="M242" i="8" s="1"/>
  <c r="X217" i="9"/>
  <c r="O242" i="8"/>
  <c r="AJ222" i="9"/>
  <c r="AJ242" i="9" s="1"/>
  <c r="AC229" i="9"/>
  <c r="AB230" i="9"/>
  <c r="D193" i="2"/>
  <c r="D195" i="2" s="1"/>
  <c r="D197" i="2" s="1"/>
  <c r="M20" i="75"/>
  <c r="L139" i="8"/>
  <c r="L147" i="8"/>
  <c r="M147" i="9" s="1"/>
  <c r="AK141" i="9"/>
  <c r="AL141" i="9" s="1"/>
  <c r="N20" i="75"/>
  <c r="M139" i="8"/>
  <c r="M147" i="8"/>
  <c r="X147" i="9" s="1"/>
  <c r="T146" i="8"/>
  <c r="D147" i="9"/>
  <c r="S147" i="8"/>
  <c r="T147" i="8" s="1"/>
  <c r="X149" i="9"/>
  <c r="Y146" i="9"/>
  <c r="Z146" i="9"/>
  <c r="Z149" i="9" s="1"/>
  <c r="K148" i="8"/>
  <c r="L139" i="9"/>
  <c r="L148" i="9" s="1"/>
  <c r="AK145" i="9"/>
  <c r="AL145" i="9" s="1"/>
  <c r="L137" i="8"/>
  <c r="M127" i="9"/>
  <c r="S127" i="8"/>
  <c r="T127" i="8" s="1"/>
  <c r="V129" i="9"/>
  <c r="D134" i="9"/>
  <c r="O128" i="9"/>
  <c r="V128" i="9"/>
  <c r="R128" i="9"/>
  <c r="P128" i="9"/>
  <c r="N128" i="9"/>
  <c r="S128" i="9"/>
  <c r="W128" i="9"/>
  <c r="U128" i="9"/>
  <c r="Q128" i="9"/>
  <c r="T128" i="9"/>
  <c r="T131" i="8"/>
  <c r="AJ137" i="9"/>
  <c r="J23" i="75"/>
  <c r="O139" i="8"/>
  <c r="N139" i="8"/>
  <c r="J139" i="8"/>
  <c r="P139" i="8"/>
  <c r="Q139" i="8"/>
  <c r="O126" i="8"/>
  <c r="N126" i="8"/>
  <c r="J126" i="8"/>
  <c r="M126" i="8"/>
  <c r="Q126" i="8"/>
  <c r="K126" i="8"/>
  <c r="P126" i="8"/>
  <c r="P133" i="9"/>
  <c r="O133" i="9"/>
  <c r="Q133" i="9"/>
  <c r="N133" i="9"/>
  <c r="S133" i="9"/>
  <c r="V133" i="9"/>
  <c r="T133" i="9"/>
  <c r="U133" i="9"/>
  <c r="R133" i="9"/>
  <c r="W133" i="9"/>
  <c r="AJ136" i="9"/>
  <c r="AJ150" i="9" s="1"/>
  <c r="I150" i="8"/>
  <c r="T129" i="8"/>
  <c r="W131" i="9"/>
  <c r="T131" i="9"/>
  <c r="Q131" i="9"/>
  <c r="O131" i="9"/>
  <c r="R131" i="9"/>
  <c r="U131" i="9"/>
  <c r="S131" i="9"/>
  <c r="V131" i="9"/>
  <c r="P131" i="9"/>
  <c r="N131" i="9"/>
  <c r="S119" i="8"/>
  <c r="T119" i="8" s="1"/>
  <c r="L119" i="9"/>
  <c r="AK119" i="9" s="1"/>
  <c r="AL119" i="9" s="1"/>
  <c r="K120" i="8"/>
  <c r="S120" i="8" s="1"/>
  <c r="T120" i="8" s="1"/>
  <c r="AJ120" i="9"/>
  <c r="AJ111" i="9"/>
  <c r="I122" i="8"/>
  <c r="L106" i="9"/>
  <c r="S106" i="8"/>
  <c r="T106" i="8" s="1"/>
  <c r="K111" i="8"/>
  <c r="AK95" i="9"/>
  <c r="AL95" i="9" s="1"/>
  <c r="S94" i="8"/>
  <c r="S97" i="8"/>
  <c r="T97" i="8" s="1"/>
  <c r="F193" i="2"/>
  <c r="F195" i="2" s="1"/>
  <c r="F197" i="2" s="1"/>
  <c r="AK93" i="9"/>
  <c r="AL93" i="9" s="1"/>
  <c r="AK84" i="9"/>
  <c r="AL84" i="9" s="1"/>
  <c r="F444" i="1"/>
  <c r="F465" i="1" s="1"/>
  <c r="H441" i="1"/>
  <c r="AK85" i="9"/>
  <c r="AL85" i="9" s="1"/>
  <c r="AK82" i="9"/>
  <c r="AL82" i="9" s="1"/>
  <c r="AK74" i="9"/>
  <c r="AL74" i="9" s="1"/>
  <c r="AK78" i="9"/>
  <c r="AL78" i="9" s="1"/>
  <c r="AK49" i="9"/>
  <c r="AL49" i="9" s="1"/>
  <c r="T47" i="8"/>
  <c r="AK51" i="9"/>
  <c r="AL51" i="9" s="1"/>
  <c r="S43" i="8"/>
  <c r="T43" i="8" s="1"/>
  <c r="AK37" i="9"/>
  <c r="AL37" i="9" s="1"/>
  <c r="S38" i="8"/>
  <c r="T38" i="8" s="1"/>
  <c r="S44" i="8"/>
  <c r="T44" i="8" s="1"/>
  <c r="AK39" i="9"/>
  <c r="AL39" i="9" s="1"/>
  <c r="AK40" i="9"/>
  <c r="AL40" i="9" s="1"/>
  <c r="S27" i="8"/>
  <c r="T27" i="8" s="1"/>
  <c r="S31" i="8"/>
  <c r="T31" i="8" s="1"/>
  <c r="AK28" i="9"/>
  <c r="AL28" i="9" s="1"/>
  <c r="S17" i="8"/>
  <c r="T17" i="8" s="1"/>
  <c r="G279" i="5"/>
  <c r="G282" i="5" s="1"/>
  <c r="AK227" i="6"/>
  <c r="AL227" i="6" s="1"/>
  <c r="N217" i="8"/>
  <c r="O17" i="75"/>
  <c r="T17" i="75" s="1"/>
  <c r="U17" i="75" s="1"/>
  <c r="S33" i="8"/>
  <c r="T33" i="8" s="1"/>
  <c r="H243" i="8"/>
  <c r="I31" i="75" s="1"/>
  <c r="G241" i="15"/>
  <c r="G242" i="15" s="1"/>
  <c r="I221" i="5"/>
  <c r="H222" i="5"/>
  <c r="H242" i="5" s="1"/>
  <c r="H277" i="5" s="1"/>
  <c r="H279" i="5" s="1"/>
  <c r="S147" i="5"/>
  <c r="T147" i="5" s="1"/>
  <c r="AK14" i="6"/>
  <c r="AL14" i="6" s="1"/>
  <c r="AK37" i="6"/>
  <c r="AL37" i="6" s="1"/>
  <c r="AK50" i="6"/>
  <c r="AL50" i="6" s="1"/>
  <c r="AK48" i="6"/>
  <c r="AL48" i="6" s="1"/>
  <c r="S77" i="5"/>
  <c r="T77" i="5" s="1"/>
  <c r="AK78" i="6"/>
  <c r="AL78" i="6" s="1"/>
  <c r="AK75" i="6"/>
  <c r="AL75" i="6" s="1"/>
  <c r="AK82" i="6"/>
  <c r="AL82" i="6" s="1"/>
  <c r="AK94" i="6"/>
  <c r="AL94" i="6" s="1"/>
  <c r="AK95" i="6"/>
  <c r="AL95" i="6" s="1"/>
  <c r="J136" i="5"/>
  <c r="J150" i="5" s="1"/>
  <c r="D134" i="6"/>
  <c r="D136" i="6" s="1"/>
  <c r="D150" i="6" s="1"/>
  <c r="I152" i="5"/>
  <c r="M149" i="6"/>
  <c r="AL104" i="13"/>
  <c r="AD217" i="9"/>
  <c r="AD222" i="9" s="1"/>
  <c r="AB222" i="9"/>
  <c r="AE217" i="9"/>
  <c r="AE222" i="9" s="1"/>
  <c r="AE242" i="9" s="1"/>
  <c r="AE243" i="9" s="1"/>
  <c r="AC217" i="9"/>
  <c r="AJ41" i="21"/>
  <c r="AJ47" i="21" s="1"/>
  <c r="AJ49" i="21" s="1"/>
  <c r="AJ51" i="21" s="1"/>
  <c r="AJ60" i="21" s="1"/>
  <c r="Q129" i="6"/>
  <c r="T129" i="9"/>
  <c r="P129" i="6"/>
  <c r="U129" i="6"/>
  <c r="O142" i="9"/>
  <c r="P142" i="6"/>
  <c r="Q272" i="8"/>
  <c r="AH272" i="9" s="1"/>
  <c r="N272" i="8"/>
  <c r="AA272" i="9" s="1"/>
  <c r="M272" i="8"/>
  <c r="X272" i="9" s="1"/>
  <c r="J272" i="8"/>
  <c r="K272" i="8"/>
  <c r="L272" i="9" s="1"/>
  <c r="P272" i="8"/>
  <c r="AF272" i="9" s="1"/>
  <c r="L272" i="8"/>
  <c r="M272" i="9" s="1"/>
  <c r="O272" i="8"/>
  <c r="AB272" i="9" s="1"/>
  <c r="AJ272" i="9"/>
  <c r="I277" i="8"/>
  <c r="AG233" i="6"/>
  <c r="AF240" i="6"/>
  <c r="AC226" i="6"/>
  <c r="AD226" i="6"/>
  <c r="AE226" i="6"/>
  <c r="AD228" i="6"/>
  <c r="AC228" i="6"/>
  <c r="AE228" i="6"/>
  <c r="AJ229" i="6"/>
  <c r="AJ230" i="6" s="1"/>
  <c r="I230" i="5"/>
  <c r="N229" i="5"/>
  <c r="O229" i="5"/>
  <c r="H229" i="15"/>
  <c r="I228" i="15"/>
  <c r="H221" i="15"/>
  <c r="I216" i="15"/>
  <c r="Q216" i="15" s="1"/>
  <c r="AJ221" i="16"/>
  <c r="X217" i="6"/>
  <c r="S217" i="15"/>
  <c r="T217" i="15" s="1"/>
  <c r="X216" i="16"/>
  <c r="M222" i="15"/>
  <c r="S217" i="5"/>
  <c r="T217" i="5" s="1"/>
  <c r="AD217" i="6"/>
  <c r="AC217" i="6"/>
  <c r="AE217" i="6"/>
  <c r="K220" i="15"/>
  <c r="J16" i="75"/>
  <c r="J220" i="15"/>
  <c r="Q220" i="15"/>
  <c r="AH219" i="16" s="1"/>
  <c r="AH221" i="16" s="1"/>
  <c r="O220" i="15"/>
  <c r="AB219" i="16" s="1"/>
  <c r="L220" i="15"/>
  <c r="M219" i="16" s="1"/>
  <c r="M221" i="16" s="1"/>
  <c r="P220" i="15"/>
  <c r="AF219" i="16" s="1"/>
  <c r="AF221" i="16" s="1"/>
  <c r="N220" i="15"/>
  <c r="AA219" i="16" s="1"/>
  <c r="AA221" i="16" s="1"/>
  <c r="I209" i="5"/>
  <c r="I211" i="5" s="1"/>
  <c r="T96" i="12"/>
  <c r="I98" i="12"/>
  <c r="I117" i="12" s="1"/>
  <c r="W141" i="6"/>
  <c r="U141" i="6"/>
  <c r="R141" i="6"/>
  <c r="O141" i="6"/>
  <c r="T141" i="6"/>
  <c r="S141" i="6"/>
  <c r="Q141" i="6"/>
  <c r="N141" i="6"/>
  <c r="V141" i="6"/>
  <c r="S145" i="6"/>
  <c r="R145" i="6"/>
  <c r="Q145" i="6"/>
  <c r="W145" i="6"/>
  <c r="U145" i="6"/>
  <c r="T145" i="6"/>
  <c r="O145" i="6"/>
  <c r="N145" i="6"/>
  <c r="V145" i="6"/>
  <c r="X148" i="6"/>
  <c r="Z139" i="6"/>
  <c r="M139" i="6"/>
  <c r="M148" i="6" s="1"/>
  <c r="L148" i="5"/>
  <c r="AK146" i="6"/>
  <c r="AL146" i="6" s="1"/>
  <c r="Y149" i="6"/>
  <c r="Y147" i="6" s="1"/>
  <c r="Z147" i="6"/>
  <c r="M148" i="5"/>
  <c r="T18" i="75"/>
  <c r="U18" i="75" s="1"/>
  <c r="N133" i="6"/>
  <c r="T133" i="6"/>
  <c r="S133" i="6"/>
  <c r="W133" i="6"/>
  <c r="R133" i="6"/>
  <c r="U133" i="6"/>
  <c r="V133" i="6"/>
  <c r="O133" i="6"/>
  <c r="Q133" i="6"/>
  <c r="K136" i="5"/>
  <c r="K150" i="5" s="1"/>
  <c r="L126" i="6"/>
  <c r="L136" i="6" s="1"/>
  <c r="L150" i="6" s="1"/>
  <c r="Y132" i="6"/>
  <c r="X137" i="6"/>
  <c r="Z132" i="6"/>
  <c r="Z137" i="6" s="1"/>
  <c r="AB126" i="6"/>
  <c r="AB136" i="6" s="1"/>
  <c r="AB150" i="6" s="1"/>
  <c r="AB152" i="6" s="1"/>
  <c r="O136" i="5"/>
  <c r="O150" i="5" s="1"/>
  <c r="O152" i="5" s="1"/>
  <c r="N136" i="5"/>
  <c r="N150" i="5" s="1"/>
  <c r="N152" i="5" s="1"/>
  <c r="AA126" i="6"/>
  <c r="AA136" i="6" s="1"/>
  <c r="AA150" i="6" s="1"/>
  <c r="AA152" i="6" s="1"/>
  <c r="M21" i="75"/>
  <c r="L134" i="5"/>
  <c r="M134" i="6" s="1"/>
  <c r="L126" i="5"/>
  <c r="Q131" i="6"/>
  <c r="S131" i="6"/>
  <c r="U131" i="6"/>
  <c r="V131" i="6"/>
  <c r="R131" i="6"/>
  <c r="W131" i="6"/>
  <c r="T131" i="6"/>
  <c r="N131" i="6"/>
  <c r="O131" i="6"/>
  <c r="AF136" i="6"/>
  <c r="AF150" i="6" s="1"/>
  <c r="AF152" i="6" s="1"/>
  <c r="Q136" i="5"/>
  <c r="Q150" i="5" s="1"/>
  <c r="Q152" i="5" s="1"/>
  <c r="AH126" i="6"/>
  <c r="AH136" i="6" s="1"/>
  <c r="AH150" i="6" s="1"/>
  <c r="AH152" i="6" s="1"/>
  <c r="W127" i="6"/>
  <c r="V127" i="6"/>
  <c r="S127" i="6"/>
  <c r="U127" i="6"/>
  <c r="R127" i="6"/>
  <c r="T127" i="6"/>
  <c r="O127" i="6"/>
  <c r="M137" i="6"/>
  <c r="Q127" i="6"/>
  <c r="N127" i="6"/>
  <c r="N21" i="75"/>
  <c r="M134" i="5"/>
  <c r="X134" i="6" s="1"/>
  <c r="M126" i="5"/>
  <c r="P136" i="5"/>
  <c r="P150" i="5" s="1"/>
  <c r="P152" i="5" s="1"/>
  <c r="L120" i="6"/>
  <c r="AK120" i="6" s="1"/>
  <c r="AL120" i="6" s="1"/>
  <c r="AK114" i="6"/>
  <c r="AL114" i="6" s="1"/>
  <c r="AK103" i="6"/>
  <c r="AL103" i="6" s="1"/>
  <c r="L111" i="6"/>
  <c r="S111" i="5"/>
  <c r="T111" i="5" s="1"/>
  <c r="K122" i="5"/>
  <c r="AJ122" i="6"/>
  <c r="S93" i="5"/>
  <c r="T93" i="5" s="1"/>
  <c r="S97" i="5"/>
  <c r="T97" i="5" s="1"/>
  <c r="F39" i="20"/>
  <c r="E39" i="20" s="1"/>
  <c r="K33" i="66" s="1"/>
  <c r="I33" i="66" s="1"/>
  <c r="AJ97" i="6"/>
  <c r="AJ79" i="6"/>
  <c r="I28" i="66"/>
  <c r="I32" i="66" s="1"/>
  <c r="F282" i="5"/>
  <c r="S22" i="5"/>
  <c r="T22" i="5" s="1"/>
  <c r="O129" i="6"/>
  <c r="P129" i="9"/>
  <c r="V129" i="6"/>
  <c r="R129" i="6"/>
  <c r="N129" i="9"/>
  <c r="Q129" i="9"/>
  <c r="N129" i="6"/>
  <c r="T129" i="6"/>
  <c r="W129" i="9"/>
  <c r="O129" i="9"/>
  <c r="S129" i="9"/>
  <c r="W129" i="6"/>
  <c r="S129" i="6"/>
  <c r="U129" i="9"/>
  <c r="S96" i="2"/>
  <c r="T96" i="2" s="1"/>
  <c r="X125" i="4"/>
  <c r="X126" i="4"/>
  <c r="X127" i="4"/>
  <c r="X128" i="4"/>
  <c r="X130" i="4"/>
  <c r="F180" i="4"/>
  <c r="O175" i="4"/>
  <c r="P125" i="4"/>
  <c r="P126" i="4"/>
  <c r="P127" i="4"/>
  <c r="P128" i="4"/>
  <c r="P130" i="4"/>
  <c r="U130" i="4"/>
  <c r="U126" i="4"/>
  <c r="U128" i="4"/>
  <c r="U125" i="4"/>
  <c r="U127" i="4"/>
  <c r="S125" i="4"/>
  <c r="S126" i="4"/>
  <c r="S127" i="4"/>
  <c r="S128" i="4"/>
  <c r="S130" i="4"/>
  <c r="AA125" i="4"/>
  <c r="Z125" i="4" s="1"/>
  <c r="AA126" i="4"/>
  <c r="Z126" i="4" s="1"/>
  <c r="AA127" i="4"/>
  <c r="Z127" i="4" s="1"/>
  <c r="AA128" i="4"/>
  <c r="Z128" i="4" s="1"/>
  <c r="AA130" i="4"/>
  <c r="Z130" i="4" s="1"/>
  <c r="O142" i="6"/>
  <c r="S130" i="16"/>
  <c r="S98" i="2"/>
  <c r="T98" i="2" s="1"/>
  <c r="W130" i="16"/>
  <c r="W137" i="16" s="1"/>
  <c r="O130" i="16"/>
  <c r="R130" i="16"/>
  <c r="N130" i="16"/>
  <c r="N137" i="16" s="1"/>
  <c r="T130" i="16"/>
  <c r="U130" i="16"/>
  <c r="Q130" i="16"/>
  <c r="V137" i="16"/>
  <c r="V126" i="17" s="1"/>
  <c r="AK144" i="9"/>
  <c r="AL144" i="9" s="1"/>
  <c r="N130" i="9"/>
  <c r="S130" i="9"/>
  <c r="N130" i="6"/>
  <c r="U130" i="6"/>
  <c r="W130" i="9"/>
  <c r="U130" i="9"/>
  <c r="V130" i="9"/>
  <c r="O130" i="6"/>
  <c r="W130" i="6"/>
  <c r="T130" i="9"/>
  <c r="O130" i="9"/>
  <c r="Q130" i="6"/>
  <c r="R130" i="6"/>
  <c r="V130" i="6"/>
  <c r="Q130" i="9"/>
  <c r="P130" i="9"/>
  <c r="R130" i="9"/>
  <c r="S130" i="6"/>
  <c r="T130" i="6"/>
  <c r="M143" i="17"/>
  <c r="V143" i="16" s="1"/>
  <c r="M143" i="7"/>
  <c r="AJ112" i="13"/>
  <c r="AL144" i="16"/>
  <c r="AK144" i="6"/>
  <c r="AL144" i="6" s="1"/>
  <c r="V134" i="17"/>
  <c r="Q110" i="13"/>
  <c r="W110" i="13"/>
  <c r="O110" i="13"/>
  <c r="T110" i="13"/>
  <c r="U110" i="13"/>
  <c r="R110" i="13"/>
  <c r="AL129" i="16"/>
  <c r="N142" i="16"/>
  <c r="U142" i="16"/>
  <c r="W142" i="16"/>
  <c r="S142" i="16"/>
  <c r="P142" i="16"/>
  <c r="P110" i="13"/>
  <c r="Q142" i="9"/>
  <c r="U142" i="9"/>
  <c r="T142" i="9"/>
  <c r="N142" i="9"/>
  <c r="V142" i="9"/>
  <c r="R142" i="9"/>
  <c r="W142" i="9"/>
  <c r="N142" i="6"/>
  <c r="T142" i="6"/>
  <c r="Q142" i="6"/>
  <c r="R142" i="6"/>
  <c r="V142" i="6"/>
  <c r="U142" i="6"/>
  <c r="W142" i="6"/>
  <c r="P142" i="9"/>
  <c r="S142" i="9"/>
  <c r="S142" i="6"/>
  <c r="S110" i="13"/>
  <c r="D214" i="20"/>
  <c r="AJ214" i="21"/>
  <c r="N110" i="13"/>
  <c r="J28" i="66" l="1"/>
  <c r="J32" i="66" s="1"/>
  <c r="J38" i="66" s="1"/>
  <c r="J44" i="66" s="1"/>
  <c r="S262" i="15"/>
  <c r="T262" i="15" s="1"/>
  <c r="H30" i="75"/>
  <c r="D41" i="20"/>
  <c r="E44" i="20"/>
  <c r="C44" i="20" s="1"/>
  <c r="AM44" i="21" s="1"/>
  <c r="F132" i="20"/>
  <c r="T253" i="8"/>
  <c r="S271" i="15"/>
  <c r="T271" i="15" s="1"/>
  <c r="E83" i="13"/>
  <c r="E44" i="21" s="1"/>
  <c r="D44" i="21"/>
  <c r="J83" i="13"/>
  <c r="J44" i="21" s="1"/>
  <c r="J132" i="21" s="1"/>
  <c r="J179" i="21" s="1"/>
  <c r="E17" i="30" s="1"/>
  <c r="K83" i="13"/>
  <c r="K44" i="21" s="1"/>
  <c r="I83" i="13"/>
  <c r="M216" i="15"/>
  <c r="S253" i="15"/>
  <c r="T253" i="15" s="1"/>
  <c r="T249" i="8"/>
  <c r="I60" i="58"/>
  <c r="N60" i="58"/>
  <c r="J60" i="58"/>
  <c r="G60" i="58"/>
  <c r="M60" i="58"/>
  <c r="L60" i="58"/>
  <c r="H60" i="58"/>
  <c r="K60" i="58"/>
  <c r="F60" i="58"/>
  <c r="AN64" i="21"/>
  <c r="E205" i="20"/>
  <c r="E213" i="20" s="1"/>
  <c r="C154" i="20"/>
  <c r="AH205" i="21"/>
  <c r="AK154" i="21"/>
  <c r="AD242" i="9"/>
  <c r="AD243" i="9" s="1"/>
  <c r="AC222" i="9"/>
  <c r="AK42" i="9"/>
  <c r="AL42" i="9" s="1"/>
  <c r="V137" i="6"/>
  <c r="AK76" i="6"/>
  <c r="AL76" i="6" s="1"/>
  <c r="P20" i="55"/>
  <c r="Q20" i="55" s="1"/>
  <c r="G20" i="28"/>
  <c r="P20" i="57"/>
  <c r="Q20" i="57" s="1"/>
  <c r="P20" i="61"/>
  <c r="Q20" i="61" s="1"/>
  <c r="P20" i="58"/>
  <c r="Q20" i="58" s="1"/>
  <c r="P20" i="26"/>
  <c r="Q20" i="26" s="1"/>
  <c r="P20" i="24"/>
  <c r="Q20" i="24" s="1"/>
  <c r="P20" i="31"/>
  <c r="Q20" i="31" s="1"/>
  <c r="P20" i="59"/>
  <c r="Q20" i="59" s="1"/>
  <c r="T137" i="16"/>
  <c r="I152" i="15"/>
  <c r="AJ152" i="16" s="1"/>
  <c r="O142" i="16"/>
  <c r="V142" i="16"/>
  <c r="Q142" i="16"/>
  <c r="R142" i="16"/>
  <c r="T142" i="16"/>
  <c r="P137" i="16"/>
  <c r="P126" i="17" s="1"/>
  <c r="Q137" i="16"/>
  <c r="Q126" i="17" s="1"/>
  <c r="AK217" i="16"/>
  <c r="AL217" i="16" s="1"/>
  <c r="R137" i="16"/>
  <c r="R126" i="17" s="1"/>
  <c r="P10" i="31"/>
  <c r="Q10" i="31" s="1"/>
  <c r="E45" i="20"/>
  <c r="C45" i="20" s="1"/>
  <c r="AM45" i="21" s="1"/>
  <c r="F133" i="20"/>
  <c r="F48" i="31"/>
  <c r="AK43" i="21"/>
  <c r="AN43" i="21" s="1"/>
  <c r="AH131" i="21"/>
  <c r="F48" i="55"/>
  <c r="M178" i="20"/>
  <c r="E178" i="20" s="1"/>
  <c r="C178" i="20" s="1"/>
  <c r="E131" i="20"/>
  <c r="C131" i="20" s="1"/>
  <c r="AM131" i="21" s="1"/>
  <c r="F51" i="29"/>
  <c r="F54" i="29" s="1"/>
  <c r="F48" i="25"/>
  <c r="M17" i="25"/>
  <c r="M18" i="25" s="1"/>
  <c r="G17" i="25"/>
  <c r="G18" i="25" s="1"/>
  <c r="L17" i="25"/>
  <c r="L18" i="25" s="1"/>
  <c r="F17" i="25"/>
  <c r="K17" i="25"/>
  <c r="K18" i="25" s="1"/>
  <c r="I17" i="25"/>
  <c r="I18" i="25" s="1"/>
  <c r="H17" i="25"/>
  <c r="H18" i="25" s="1"/>
  <c r="J17" i="25"/>
  <c r="J18" i="25" s="1"/>
  <c r="E18" i="25"/>
  <c r="E62" i="25" s="1"/>
  <c r="N17" i="25"/>
  <c r="N18" i="25" s="1"/>
  <c r="AN174" i="21"/>
  <c r="L20" i="28"/>
  <c r="P20" i="29"/>
  <c r="Q20" i="29" s="1"/>
  <c r="P20" i="23"/>
  <c r="Q20" i="23" s="1"/>
  <c r="H20" i="28"/>
  <c r="P20" i="25"/>
  <c r="Q20" i="25" s="1"/>
  <c r="N20" i="28"/>
  <c r="P20" i="27"/>
  <c r="Q20" i="27" s="1"/>
  <c r="K20" i="28"/>
  <c r="F20" i="28"/>
  <c r="M20" i="28"/>
  <c r="J20" i="28"/>
  <c r="P30" i="29"/>
  <c r="Q30" i="29" s="1"/>
  <c r="P30" i="61"/>
  <c r="Q30" i="61" s="1"/>
  <c r="F45" i="61"/>
  <c r="F46" i="61" s="1"/>
  <c r="F51" i="57"/>
  <c r="F54" i="57" s="1"/>
  <c r="F45" i="29"/>
  <c r="F46" i="29" s="1"/>
  <c r="F48" i="57"/>
  <c r="F48" i="61"/>
  <c r="P30" i="31"/>
  <c r="Q30" i="31" s="1"/>
  <c r="P30" i="55"/>
  <c r="Q30" i="55" s="1"/>
  <c r="P30" i="57"/>
  <c r="Q30" i="57" s="1"/>
  <c r="F51" i="61"/>
  <c r="F54" i="61" s="1"/>
  <c r="F45" i="31"/>
  <c r="F46" i="31" s="1"/>
  <c r="F45" i="30"/>
  <c r="F46" i="30" s="1"/>
  <c r="P30" i="30"/>
  <c r="Q30" i="30" s="1"/>
  <c r="F51" i="55"/>
  <c r="F54" i="55" s="1"/>
  <c r="F45" i="57"/>
  <c r="F48" i="29"/>
  <c r="P30" i="25"/>
  <c r="Q30" i="25" s="1"/>
  <c r="F54" i="25"/>
  <c r="F46" i="57"/>
  <c r="F46" i="55"/>
  <c r="I36" i="61"/>
  <c r="I39" i="61" s="1"/>
  <c r="I41" i="61" s="1"/>
  <c r="L36" i="31"/>
  <c r="L39" i="31" s="1"/>
  <c r="L41" i="31" s="1"/>
  <c r="L36" i="29"/>
  <c r="L39" i="29" s="1"/>
  <c r="L41" i="29" s="1"/>
  <c r="L36" i="61"/>
  <c r="L39" i="61" s="1"/>
  <c r="L41" i="61" s="1"/>
  <c r="I36" i="31"/>
  <c r="I39" i="31" s="1"/>
  <c r="I41" i="31" s="1"/>
  <c r="K36" i="57"/>
  <c r="K39" i="57" s="1"/>
  <c r="K41" i="57" s="1"/>
  <c r="K36" i="25"/>
  <c r="K39" i="25" s="1"/>
  <c r="K41" i="25" s="1"/>
  <c r="N36" i="55"/>
  <c r="N39" i="55" s="1"/>
  <c r="N41" i="55" s="1"/>
  <c r="I36" i="57"/>
  <c r="I39" i="57" s="1"/>
  <c r="I41" i="57" s="1"/>
  <c r="N36" i="31"/>
  <c r="N39" i="31" s="1"/>
  <c r="N41" i="31" s="1"/>
  <c r="J36" i="57"/>
  <c r="J39" i="57" s="1"/>
  <c r="J41" i="57" s="1"/>
  <c r="L36" i="55"/>
  <c r="L39" i="55" s="1"/>
  <c r="L41" i="55" s="1"/>
  <c r="K36" i="30"/>
  <c r="K39" i="30" s="1"/>
  <c r="K41" i="30" s="1"/>
  <c r="L36" i="30"/>
  <c r="L39" i="30" s="1"/>
  <c r="L41" i="30" s="1"/>
  <c r="I36" i="55"/>
  <c r="I39" i="55" s="1"/>
  <c r="I41" i="55" s="1"/>
  <c r="I36" i="29"/>
  <c r="I39" i="29" s="1"/>
  <c r="I41" i="29" s="1"/>
  <c r="K36" i="31"/>
  <c r="K39" i="31" s="1"/>
  <c r="K41" i="31" s="1"/>
  <c r="N36" i="57"/>
  <c r="N39" i="57" s="1"/>
  <c r="N41" i="57" s="1"/>
  <c r="L36" i="57"/>
  <c r="L39" i="57" s="1"/>
  <c r="L41" i="57" s="1"/>
  <c r="N36" i="30"/>
  <c r="N39" i="30" s="1"/>
  <c r="N41" i="30" s="1"/>
  <c r="N36" i="29"/>
  <c r="N39" i="29" s="1"/>
  <c r="N41" i="29" s="1"/>
  <c r="J36" i="55"/>
  <c r="J39" i="55" s="1"/>
  <c r="J41" i="55" s="1"/>
  <c r="N36" i="25"/>
  <c r="N39" i="25" s="1"/>
  <c r="N41" i="25" s="1"/>
  <c r="K36" i="61"/>
  <c r="K39" i="61" s="1"/>
  <c r="K41" i="61" s="1"/>
  <c r="J36" i="31"/>
  <c r="J39" i="31" s="1"/>
  <c r="J41" i="31" s="1"/>
  <c r="I36" i="25"/>
  <c r="I39" i="25" s="1"/>
  <c r="I41" i="25" s="1"/>
  <c r="J36" i="25"/>
  <c r="J39" i="25" s="1"/>
  <c r="J41" i="25" s="1"/>
  <c r="J36" i="30"/>
  <c r="J39" i="30" s="1"/>
  <c r="J41" i="30" s="1"/>
  <c r="K36" i="29"/>
  <c r="K39" i="29" s="1"/>
  <c r="K41" i="29" s="1"/>
  <c r="I36" i="30"/>
  <c r="I39" i="30" s="1"/>
  <c r="I41" i="30" s="1"/>
  <c r="J36" i="29"/>
  <c r="J39" i="29" s="1"/>
  <c r="J41" i="29" s="1"/>
  <c r="H36" i="55"/>
  <c r="H39" i="55" s="1"/>
  <c r="H41" i="55" s="1"/>
  <c r="N36" i="61"/>
  <c r="N39" i="61" s="1"/>
  <c r="N41" i="61" s="1"/>
  <c r="L36" i="25"/>
  <c r="L39" i="25" s="1"/>
  <c r="L41" i="25" s="1"/>
  <c r="K36" i="55"/>
  <c r="K39" i="55" s="1"/>
  <c r="K41" i="55" s="1"/>
  <c r="J36" i="61"/>
  <c r="J39" i="61" s="1"/>
  <c r="J41" i="61" s="1"/>
  <c r="M36" i="57"/>
  <c r="M39" i="57" s="1"/>
  <c r="M41" i="57" s="1"/>
  <c r="M36" i="55"/>
  <c r="M39" i="55" s="1"/>
  <c r="M41" i="55" s="1"/>
  <c r="H36" i="30"/>
  <c r="H39" i="30" s="1"/>
  <c r="H41" i="30" s="1"/>
  <c r="H36" i="25"/>
  <c r="H39" i="25" s="1"/>
  <c r="H41" i="25" s="1"/>
  <c r="M36" i="61"/>
  <c r="M39" i="61" s="1"/>
  <c r="M41" i="61" s="1"/>
  <c r="M36" i="30"/>
  <c r="M39" i="30" s="1"/>
  <c r="M41" i="30" s="1"/>
  <c r="H36" i="31"/>
  <c r="H39" i="31" s="1"/>
  <c r="H41" i="31" s="1"/>
  <c r="M36" i="29"/>
  <c r="M39" i="29" s="1"/>
  <c r="M41" i="29" s="1"/>
  <c r="H36" i="57"/>
  <c r="H39" i="57" s="1"/>
  <c r="H41" i="57" s="1"/>
  <c r="M36" i="25"/>
  <c r="M39" i="25" s="1"/>
  <c r="M41" i="25" s="1"/>
  <c r="M36" i="31"/>
  <c r="M39" i="31" s="1"/>
  <c r="M41" i="31" s="1"/>
  <c r="H36" i="61"/>
  <c r="H39" i="61" s="1"/>
  <c r="H41" i="61" s="1"/>
  <c r="H36" i="29"/>
  <c r="H39" i="29" s="1"/>
  <c r="H41" i="29" s="1"/>
  <c r="G36" i="57"/>
  <c r="G39" i="57" s="1"/>
  <c r="G41" i="57" s="1"/>
  <c r="G36" i="61"/>
  <c r="G39" i="61" s="1"/>
  <c r="G41" i="61" s="1"/>
  <c r="G36" i="25"/>
  <c r="G39" i="25" s="1"/>
  <c r="G41" i="25" s="1"/>
  <c r="G36" i="31"/>
  <c r="G39" i="31" s="1"/>
  <c r="G41" i="31" s="1"/>
  <c r="G36" i="29"/>
  <c r="G39" i="29" s="1"/>
  <c r="G41" i="29" s="1"/>
  <c r="G36" i="55"/>
  <c r="G39" i="55" s="1"/>
  <c r="G41" i="55" s="1"/>
  <c r="G36" i="30"/>
  <c r="G39" i="30" s="1"/>
  <c r="G41" i="30" s="1"/>
  <c r="F51" i="30"/>
  <c r="N45" i="29"/>
  <c r="N46" i="29" s="1"/>
  <c r="H45" i="30"/>
  <c r="H46" i="30" s="1"/>
  <c r="N45" i="25"/>
  <c r="N46" i="25" s="1"/>
  <c r="N45" i="55"/>
  <c r="N46" i="55" s="1"/>
  <c r="N45" i="61"/>
  <c r="N46" i="61" s="1"/>
  <c r="H45" i="55"/>
  <c r="H46" i="55" s="1"/>
  <c r="H45" i="61"/>
  <c r="H46" i="61" s="1"/>
  <c r="N45" i="57"/>
  <c r="N46" i="57" s="1"/>
  <c r="N45" i="30"/>
  <c r="N46" i="30" s="1"/>
  <c r="N45" i="31"/>
  <c r="N46" i="31" s="1"/>
  <c r="H45" i="57"/>
  <c r="H46" i="57" s="1"/>
  <c r="H45" i="29"/>
  <c r="H46" i="29" s="1"/>
  <c r="H45" i="31"/>
  <c r="H46" i="31" s="1"/>
  <c r="L45" i="25"/>
  <c r="L46" i="25" s="1"/>
  <c r="L45" i="29"/>
  <c r="L46" i="29" s="1"/>
  <c r="L45" i="30"/>
  <c r="L46" i="30" s="1"/>
  <c r="L45" i="61"/>
  <c r="L46" i="61" s="1"/>
  <c r="H45" i="25"/>
  <c r="H46" i="25" s="1"/>
  <c r="L45" i="31"/>
  <c r="L46" i="31" s="1"/>
  <c r="L45" i="55"/>
  <c r="L46" i="55" s="1"/>
  <c r="L45" i="57"/>
  <c r="L46" i="57" s="1"/>
  <c r="K45" i="30"/>
  <c r="K46" i="30" s="1"/>
  <c r="K45" i="31"/>
  <c r="K46" i="31" s="1"/>
  <c r="M45" i="57"/>
  <c r="M46" i="57" s="1"/>
  <c r="M45" i="29"/>
  <c r="M46" i="29" s="1"/>
  <c r="G45" i="25"/>
  <c r="G46" i="25" s="1"/>
  <c r="G45" i="29"/>
  <c r="G46" i="29" s="1"/>
  <c r="I45" i="29"/>
  <c r="I46" i="29" s="1"/>
  <c r="J45" i="57"/>
  <c r="J46" i="57" s="1"/>
  <c r="J45" i="30"/>
  <c r="J46" i="30" s="1"/>
  <c r="K45" i="29"/>
  <c r="K46" i="29" s="1"/>
  <c r="K45" i="61"/>
  <c r="K46" i="61" s="1"/>
  <c r="M45" i="31"/>
  <c r="M46" i="31" s="1"/>
  <c r="M45" i="55"/>
  <c r="M46" i="55" s="1"/>
  <c r="G45" i="57"/>
  <c r="G46" i="57" s="1"/>
  <c r="G45" i="61"/>
  <c r="G46" i="61" s="1"/>
  <c r="I45" i="30"/>
  <c r="I46" i="30" s="1"/>
  <c r="I45" i="55"/>
  <c r="I46" i="55" s="1"/>
  <c r="J45" i="55"/>
  <c r="J46" i="55" s="1"/>
  <c r="J45" i="31"/>
  <c r="J46" i="31" s="1"/>
  <c r="K45" i="55"/>
  <c r="K46" i="55" s="1"/>
  <c r="K45" i="57"/>
  <c r="K46" i="57" s="1"/>
  <c r="M45" i="25"/>
  <c r="M46" i="25" s="1"/>
  <c r="G45" i="30"/>
  <c r="G46" i="30" s="1"/>
  <c r="G45" i="31"/>
  <c r="G46" i="31" s="1"/>
  <c r="I45" i="31"/>
  <c r="I46" i="31" s="1"/>
  <c r="I45" i="57"/>
  <c r="I46" i="57" s="1"/>
  <c r="J45" i="61"/>
  <c r="J46" i="61" s="1"/>
  <c r="K45" i="25"/>
  <c r="K46" i="25" s="1"/>
  <c r="M45" i="30"/>
  <c r="M46" i="30" s="1"/>
  <c r="M45" i="61"/>
  <c r="M46" i="61" s="1"/>
  <c r="G45" i="55"/>
  <c r="G46" i="55" s="1"/>
  <c r="I45" i="25"/>
  <c r="I46" i="25" s="1"/>
  <c r="I45" i="61"/>
  <c r="I46" i="61" s="1"/>
  <c r="J45" i="29"/>
  <c r="J46" i="29" s="1"/>
  <c r="J45" i="25"/>
  <c r="J46" i="25" s="1"/>
  <c r="F45" i="25"/>
  <c r="N48" i="30"/>
  <c r="N48" i="61"/>
  <c r="N48" i="31"/>
  <c r="H48" i="61"/>
  <c r="N48" i="25"/>
  <c r="H48" i="30"/>
  <c r="N48" i="57"/>
  <c r="H48" i="57"/>
  <c r="H48" i="31"/>
  <c r="H48" i="55"/>
  <c r="L48" i="61"/>
  <c r="L48" i="25"/>
  <c r="L48" i="29"/>
  <c r="L48" i="30"/>
  <c r="H48" i="25"/>
  <c r="N48" i="55"/>
  <c r="L48" i="57"/>
  <c r="L48" i="31"/>
  <c r="N48" i="29"/>
  <c r="L48" i="55"/>
  <c r="H48" i="29"/>
  <c r="I48" i="30"/>
  <c r="M48" i="29"/>
  <c r="M48" i="61"/>
  <c r="G48" i="31"/>
  <c r="G48" i="61"/>
  <c r="J48" i="55"/>
  <c r="K48" i="57"/>
  <c r="K48" i="55"/>
  <c r="I48" i="57"/>
  <c r="I48" i="25"/>
  <c r="M48" i="25"/>
  <c r="G48" i="29"/>
  <c r="G48" i="57"/>
  <c r="J48" i="61"/>
  <c r="J48" i="31"/>
  <c r="K48" i="25"/>
  <c r="K48" i="29"/>
  <c r="I48" i="61"/>
  <c r="I48" i="29"/>
  <c r="M48" i="55"/>
  <c r="M48" i="57"/>
  <c r="G48" i="25"/>
  <c r="G48" i="30"/>
  <c r="J48" i="30"/>
  <c r="J48" i="57"/>
  <c r="K48" i="61"/>
  <c r="K48" i="30"/>
  <c r="I48" i="31"/>
  <c r="I48" i="55"/>
  <c r="M48" i="30"/>
  <c r="M48" i="31"/>
  <c r="G48" i="55"/>
  <c r="J48" i="25"/>
  <c r="J48" i="29"/>
  <c r="K48" i="31"/>
  <c r="F36" i="29"/>
  <c r="F36" i="30"/>
  <c r="F39" i="31"/>
  <c r="F36" i="57"/>
  <c r="F36" i="61"/>
  <c r="N51" i="55"/>
  <c r="N54" i="55" s="1"/>
  <c r="N51" i="61"/>
  <c r="N54" i="61" s="1"/>
  <c r="N51" i="31"/>
  <c r="N54" i="31" s="1"/>
  <c r="L51" i="25"/>
  <c r="L54" i="25" s="1"/>
  <c r="L51" i="29"/>
  <c r="L54" i="29" s="1"/>
  <c r="N51" i="57"/>
  <c r="N54" i="57" s="1"/>
  <c r="N51" i="30"/>
  <c r="N54" i="30" s="1"/>
  <c r="N51" i="29"/>
  <c r="N54" i="29" s="1"/>
  <c r="H51" i="61"/>
  <c r="H54" i="61" s="1"/>
  <c r="L51" i="61"/>
  <c r="L54" i="61" s="1"/>
  <c r="L51" i="57"/>
  <c r="L54" i="57" s="1"/>
  <c r="L51" i="31"/>
  <c r="L54" i="31" s="1"/>
  <c r="N51" i="25"/>
  <c r="N54" i="25" s="1"/>
  <c r="H51" i="57"/>
  <c r="H54" i="57" s="1"/>
  <c r="L51" i="30"/>
  <c r="L54" i="30" s="1"/>
  <c r="H51" i="55"/>
  <c r="H54" i="55" s="1"/>
  <c r="H51" i="31"/>
  <c r="H54" i="31" s="1"/>
  <c r="H51" i="30"/>
  <c r="H54" i="30" s="1"/>
  <c r="H51" i="29"/>
  <c r="H54" i="29" s="1"/>
  <c r="H51" i="25"/>
  <c r="H54" i="25" s="1"/>
  <c r="L51" i="55"/>
  <c r="L54" i="55" s="1"/>
  <c r="M51" i="57"/>
  <c r="M54" i="57" s="1"/>
  <c r="I51" i="29"/>
  <c r="I54" i="29" s="1"/>
  <c r="J51" i="29"/>
  <c r="J54" i="29" s="1"/>
  <c r="J51" i="55"/>
  <c r="J54" i="55" s="1"/>
  <c r="K51" i="55"/>
  <c r="K54" i="55" s="1"/>
  <c r="K51" i="57"/>
  <c r="K54" i="57" s="1"/>
  <c r="G51" i="29"/>
  <c r="G54" i="29" s="1"/>
  <c r="M51" i="29"/>
  <c r="M54" i="29" s="1"/>
  <c r="M51" i="55"/>
  <c r="M54" i="55" s="1"/>
  <c r="I51" i="25"/>
  <c r="I54" i="25" s="1"/>
  <c r="I51" i="55"/>
  <c r="I54" i="55" s="1"/>
  <c r="J51" i="61"/>
  <c r="J54" i="61" s="1"/>
  <c r="J51" i="31"/>
  <c r="J54" i="31" s="1"/>
  <c r="K51" i="61"/>
  <c r="K54" i="61" s="1"/>
  <c r="G51" i="31"/>
  <c r="G54" i="31" s="1"/>
  <c r="G51" i="25"/>
  <c r="G54" i="25" s="1"/>
  <c r="M51" i="31"/>
  <c r="M54" i="31" s="1"/>
  <c r="M51" i="25"/>
  <c r="M54" i="25" s="1"/>
  <c r="I51" i="61"/>
  <c r="I54" i="61" s="1"/>
  <c r="I51" i="31"/>
  <c r="I54" i="31" s="1"/>
  <c r="J51" i="25"/>
  <c r="J54" i="25" s="1"/>
  <c r="K51" i="31"/>
  <c r="K54" i="31" s="1"/>
  <c r="K51" i="29"/>
  <c r="K54" i="29" s="1"/>
  <c r="G51" i="30"/>
  <c r="G54" i="30" s="1"/>
  <c r="G51" i="61"/>
  <c r="G54" i="61" s="1"/>
  <c r="M51" i="30"/>
  <c r="M54" i="30" s="1"/>
  <c r="M51" i="61"/>
  <c r="M54" i="61" s="1"/>
  <c r="I51" i="30"/>
  <c r="I54" i="30" s="1"/>
  <c r="I51" i="57"/>
  <c r="I54" i="57" s="1"/>
  <c r="J51" i="30"/>
  <c r="J54" i="30" s="1"/>
  <c r="J51" i="57"/>
  <c r="J54" i="57" s="1"/>
  <c r="K51" i="25"/>
  <c r="K54" i="25" s="1"/>
  <c r="K51" i="30"/>
  <c r="K54" i="30" s="1"/>
  <c r="G51" i="55"/>
  <c r="G54" i="55" s="1"/>
  <c r="G51" i="57"/>
  <c r="G54" i="57" s="1"/>
  <c r="F51" i="31"/>
  <c r="F36" i="25"/>
  <c r="F36" i="55"/>
  <c r="J22" i="28"/>
  <c r="J22" i="62"/>
  <c r="N22" i="28"/>
  <c r="N22" i="62"/>
  <c r="F22" i="62"/>
  <c r="F22" i="28"/>
  <c r="P22" i="55"/>
  <c r="Q22" i="55" s="1"/>
  <c r="L199" i="21"/>
  <c r="E22" i="36" s="1"/>
  <c r="I22" i="62"/>
  <c r="I22" i="28"/>
  <c r="K22" i="62"/>
  <c r="K22" i="28"/>
  <c r="G22" i="62"/>
  <c r="G22" i="28"/>
  <c r="H22" i="28"/>
  <c r="H22" i="62"/>
  <c r="M22" i="62"/>
  <c r="M22" i="28"/>
  <c r="L22" i="62"/>
  <c r="L22" i="28"/>
  <c r="J22" i="32"/>
  <c r="N22" i="32"/>
  <c r="G22" i="32"/>
  <c r="H22" i="32"/>
  <c r="L22" i="32"/>
  <c r="I22" i="32"/>
  <c r="K22" i="32"/>
  <c r="F22" i="32"/>
  <c r="M22" i="32"/>
  <c r="O216" i="15"/>
  <c r="AI122" i="4"/>
  <c r="AH122" i="4" s="1"/>
  <c r="AI124" i="4"/>
  <c r="AH124" i="4" s="1"/>
  <c r="AI138" i="4"/>
  <c r="AI172" i="4"/>
  <c r="AH172" i="4" s="1"/>
  <c r="AI179" i="4"/>
  <c r="AH179" i="4" s="1"/>
  <c r="AI184" i="4"/>
  <c r="AH184" i="4" s="1"/>
  <c r="AI127" i="4"/>
  <c r="AH127" i="4" s="1"/>
  <c r="AI181" i="4"/>
  <c r="AH181" i="4" s="1"/>
  <c r="AI126" i="4"/>
  <c r="AH126" i="4" s="1"/>
  <c r="AI130" i="4"/>
  <c r="AH130" i="4" s="1"/>
  <c r="AI182" i="4"/>
  <c r="AI154" i="4"/>
  <c r="AI123" i="4"/>
  <c r="AH123" i="4" s="1"/>
  <c r="AI125" i="4"/>
  <c r="AH125" i="4" s="1"/>
  <c r="AI128" i="4"/>
  <c r="AH128" i="4" s="1"/>
  <c r="AI137" i="4"/>
  <c r="AH137" i="4" s="1"/>
  <c r="AI171" i="4"/>
  <c r="AH171" i="4" s="1"/>
  <c r="AI178" i="4"/>
  <c r="AH178" i="4" s="1"/>
  <c r="AI183" i="4"/>
  <c r="AI121" i="4"/>
  <c r="AH121" i="4" s="1"/>
  <c r="AI129" i="4"/>
  <c r="AH129" i="4" s="1"/>
  <c r="AG270" i="7"/>
  <c r="AG247" i="17"/>
  <c r="AG269" i="7"/>
  <c r="AG267" i="17"/>
  <c r="AG267" i="7"/>
  <c r="AG251" i="17"/>
  <c r="AG249" i="7"/>
  <c r="AG263" i="17"/>
  <c r="AG268" i="17"/>
  <c r="AG272" i="7"/>
  <c r="AG270" i="17"/>
  <c r="AG249" i="17"/>
  <c r="AG268" i="7"/>
  <c r="AG265" i="7"/>
  <c r="AG253" i="7"/>
  <c r="AG252" i="17"/>
  <c r="AG263" i="7"/>
  <c r="AG251" i="7"/>
  <c r="AG261" i="17"/>
  <c r="AG265" i="17"/>
  <c r="AF265" i="17" s="1"/>
  <c r="AG254" i="7"/>
  <c r="AF254" i="7" s="1"/>
  <c r="G276" i="15"/>
  <c r="G278" i="15" s="1"/>
  <c r="AF139" i="16"/>
  <c r="AF148" i="16" s="1"/>
  <c r="AF150" i="16" s="1"/>
  <c r="AF152" i="16" s="1"/>
  <c r="P148" i="15"/>
  <c r="P150" i="15" s="1"/>
  <c r="P152" i="15" s="1"/>
  <c r="V149" i="16"/>
  <c r="V147" i="17" s="1"/>
  <c r="L139" i="16"/>
  <c r="K148" i="15"/>
  <c r="K150" i="15" s="1"/>
  <c r="K152" i="15" s="1"/>
  <c r="Q148" i="15"/>
  <c r="Q150" i="15" s="1"/>
  <c r="Q152" i="15" s="1"/>
  <c r="AH139" i="16"/>
  <c r="AH148" i="16" s="1"/>
  <c r="AH150" i="16" s="1"/>
  <c r="AH152" i="16" s="1"/>
  <c r="O148" i="15"/>
  <c r="O150" i="15" s="1"/>
  <c r="O152" i="15" s="1"/>
  <c r="AB139" i="16"/>
  <c r="AB148" i="16" s="1"/>
  <c r="AB150" i="16" s="1"/>
  <c r="AB152" i="16" s="1"/>
  <c r="J148" i="15"/>
  <c r="J150" i="15" s="1"/>
  <c r="D139" i="16"/>
  <c r="D148" i="16" s="1"/>
  <c r="D150" i="16" s="1"/>
  <c r="L147" i="16"/>
  <c r="Y147" i="16"/>
  <c r="M19" i="75"/>
  <c r="L147" i="15"/>
  <c r="M147" i="16" s="1"/>
  <c r="L139" i="15"/>
  <c r="S139" i="15" s="1"/>
  <c r="T139" i="15" s="1"/>
  <c r="S149" i="15"/>
  <c r="T149" i="15" s="1"/>
  <c r="M148" i="15"/>
  <c r="M150" i="15" s="1"/>
  <c r="M152" i="15" s="1"/>
  <c r="X139" i="16"/>
  <c r="AL145" i="16"/>
  <c r="N148" i="15"/>
  <c r="N150" i="15" s="1"/>
  <c r="N152" i="15" s="1"/>
  <c r="AA139" i="16"/>
  <c r="AA148" i="16" s="1"/>
  <c r="AA150" i="16" s="1"/>
  <c r="AA152" i="16" s="1"/>
  <c r="Q134" i="17"/>
  <c r="U137" i="16"/>
  <c r="O137" i="16"/>
  <c r="O134" i="17" s="1"/>
  <c r="S137" i="16"/>
  <c r="M126" i="16"/>
  <c r="M136" i="16" s="1"/>
  <c r="L136" i="15"/>
  <c r="S136" i="15" s="1"/>
  <c r="T136" i="15" s="1"/>
  <c r="Z134" i="17"/>
  <c r="Z126" i="17"/>
  <c r="Y137" i="16"/>
  <c r="AL132" i="16"/>
  <c r="AL127" i="16"/>
  <c r="AL131" i="16"/>
  <c r="S134" i="15"/>
  <c r="T134" i="15" s="1"/>
  <c r="L120" i="16"/>
  <c r="AL120" i="16" s="1"/>
  <c r="AL111" i="16"/>
  <c r="AL266" i="9"/>
  <c r="G467" i="1"/>
  <c r="J9" i="66"/>
  <c r="J11" i="66" s="1"/>
  <c r="J13" i="66" s="1"/>
  <c r="J19" i="66" s="1"/>
  <c r="AJ277" i="9"/>
  <c r="AK233" i="9"/>
  <c r="AL233" i="9" s="1"/>
  <c r="AG240" i="9"/>
  <c r="AK227" i="9"/>
  <c r="AL227" i="9" s="1"/>
  <c r="D19" i="20"/>
  <c r="D21" i="20" s="1"/>
  <c r="D104" i="20"/>
  <c r="D111" i="20" s="1"/>
  <c r="D113" i="20" s="1"/>
  <c r="AB242" i="9"/>
  <c r="AK229" i="9"/>
  <c r="AL229" i="9" s="1"/>
  <c r="AC230" i="9"/>
  <c r="AK230" i="9" s="1"/>
  <c r="AL230" i="9" s="1"/>
  <c r="Z217" i="9"/>
  <c r="Z222" i="9" s="1"/>
  <c r="Z242" i="9" s="1"/>
  <c r="Y217" i="9"/>
  <c r="Y222" i="9" s="1"/>
  <c r="Y242" i="9" s="1"/>
  <c r="X222" i="9"/>
  <c r="X242" i="9" s="1"/>
  <c r="T221" i="8"/>
  <c r="Z147" i="9"/>
  <c r="AK146" i="9"/>
  <c r="AL146" i="9" s="1"/>
  <c r="Y149" i="9"/>
  <c r="Y147" i="9" s="1"/>
  <c r="X139" i="9"/>
  <c r="M148" i="8"/>
  <c r="L148" i="8"/>
  <c r="M139" i="9"/>
  <c r="M148" i="9" s="1"/>
  <c r="T20" i="75"/>
  <c r="U20" i="75" s="1"/>
  <c r="AK129" i="9"/>
  <c r="AL129" i="9" s="1"/>
  <c r="L126" i="9"/>
  <c r="L136" i="9" s="1"/>
  <c r="L150" i="9" s="1"/>
  <c r="K136" i="8"/>
  <c r="K150" i="8" s="1"/>
  <c r="N136" i="8"/>
  <c r="AA126" i="9"/>
  <c r="AA136" i="9" s="1"/>
  <c r="J148" i="8"/>
  <c r="D139" i="9"/>
  <c r="D148" i="9" s="1"/>
  <c r="S139" i="8"/>
  <c r="T139" i="8" s="1"/>
  <c r="AK128" i="9"/>
  <c r="AL128" i="9" s="1"/>
  <c r="O136" i="8"/>
  <c r="AB126" i="9"/>
  <c r="AB136" i="9" s="1"/>
  <c r="I152" i="8"/>
  <c r="I279" i="8" s="1"/>
  <c r="I283" i="8" s="1"/>
  <c r="I285" i="8" s="1"/>
  <c r="AK133" i="9"/>
  <c r="AL133" i="9" s="1"/>
  <c r="M136" i="8"/>
  <c r="X126" i="9"/>
  <c r="AH139" i="9"/>
  <c r="AH148" i="9" s="1"/>
  <c r="Q148" i="8"/>
  <c r="O148" i="8"/>
  <c r="AB139" i="9"/>
  <c r="AB148" i="9" s="1"/>
  <c r="T127" i="9"/>
  <c r="T137" i="9" s="1"/>
  <c r="S127" i="9"/>
  <c r="S137" i="9" s="1"/>
  <c r="U127" i="9"/>
  <c r="U137" i="9" s="1"/>
  <c r="V127" i="9"/>
  <c r="V137" i="9" s="1"/>
  <c r="Q127" i="9"/>
  <c r="Q137" i="9" s="1"/>
  <c r="R127" i="9"/>
  <c r="R137" i="9" s="1"/>
  <c r="W127" i="9"/>
  <c r="W137" i="9" s="1"/>
  <c r="M137" i="9"/>
  <c r="P127" i="9"/>
  <c r="P137" i="9" s="1"/>
  <c r="N127" i="9"/>
  <c r="O127" i="9"/>
  <c r="O137" i="9" s="1"/>
  <c r="Q136" i="8"/>
  <c r="AH126" i="9"/>
  <c r="AH136" i="9" s="1"/>
  <c r="N148" i="8"/>
  <c r="N150" i="8" s="1"/>
  <c r="N152" i="8" s="1"/>
  <c r="AA139" i="9"/>
  <c r="AA148" i="9" s="1"/>
  <c r="AK131" i="9"/>
  <c r="AL131" i="9" s="1"/>
  <c r="P136" i="8"/>
  <c r="AF126" i="9"/>
  <c r="AF136" i="9" s="1"/>
  <c r="J136" i="8"/>
  <c r="D126" i="9"/>
  <c r="D136" i="9" s="1"/>
  <c r="AF139" i="9"/>
  <c r="AF148" i="9" s="1"/>
  <c r="P148" i="8"/>
  <c r="M23" i="75"/>
  <c r="T23" i="75" s="1"/>
  <c r="U23" i="75" s="1"/>
  <c r="L126" i="8"/>
  <c r="S126" i="8" s="1"/>
  <c r="T126" i="8" s="1"/>
  <c r="L134" i="8"/>
  <c r="L120" i="9"/>
  <c r="S111" i="8"/>
  <c r="T111" i="8" s="1"/>
  <c r="K122" i="8"/>
  <c r="AK106" i="9"/>
  <c r="AL106" i="9" s="1"/>
  <c r="L111" i="9"/>
  <c r="AJ122" i="9"/>
  <c r="AJ152" i="9" s="1"/>
  <c r="AK96" i="9"/>
  <c r="AL96" i="9" s="1"/>
  <c r="T94" i="8"/>
  <c r="AK86" i="9"/>
  <c r="AL86" i="9" s="1"/>
  <c r="H169" i="2"/>
  <c r="H172" i="2" s="1"/>
  <c r="H193" i="2" s="1"/>
  <c r="H195" i="2" s="1"/>
  <c r="H197" i="2" s="1"/>
  <c r="H444" i="1"/>
  <c r="H465" i="1" s="1"/>
  <c r="I441" i="1"/>
  <c r="F467" i="1"/>
  <c r="I9" i="66"/>
  <c r="I11" i="66" s="1"/>
  <c r="AK79" i="9"/>
  <c r="AL79" i="9" s="1"/>
  <c r="AK76" i="9"/>
  <c r="AL76" i="9" s="1"/>
  <c r="AK52" i="9"/>
  <c r="AL52" i="9" s="1"/>
  <c r="AK47" i="9"/>
  <c r="AL47" i="9" s="1"/>
  <c r="AK29" i="9"/>
  <c r="AL29" i="9" s="1"/>
  <c r="S99" i="8"/>
  <c r="AK14" i="9"/>
  <c r="AL14" i="9" s="1"/>
  <c r="S22" i="8"/>
  <c r="T22" i="8" s="1"/>
  <c r="AA217" i="9"/>
  <c r="AA222" i="9" s="1"/>
  <c r="AA242" i="9" s="1"/>
  <c r="S217" i="8"/>
  <c r="T217" i="8" s="1"/>
  <c r="N222" i="8"/>
  <c r="H243" i="5"/>
  <c r="N216" i="15"/>
  <c r="AA215" i="16" s="1"/>
  <c r="AA220" i="16" s="1"/>
  <c r="AJ221" i="6"/>
  <c r="AJ222" i="6" s="1"/>
  <c r="AJ242" i="6" s="1"/>
  <c r="AJ277" i="6" s="1"/>
  <c r="Q221" i="5"/>
  <c r="O221" i="5"/>
  <c r="J221" i="5"/>
  <c r="I222" i="5"/>
  <c r="L221" i="5"/>
  <c r="N221" i="5"/>
  <c r="P221" i="5"/>
  <c r="K221" i="5"/>
  <c r="M221" i="5"/>
  <c r="L216" i="15"/>
  <c r="L221" i="15" s="1"/>
  <c r="L241" i="15" s="1"/>
  <c r="P216" i="15"/>
  <c r="I242" i="5"/>
  <c r="I277" i="5" s="1"/>
  <c r="I279" i="5" s="1"/>
  <c r="K152" i="5"/>
  <c r="AK84" i="6"/>
  <c r="AL84" i="6" s="1"/>
  <c r="AK40" i="6"/>
  <c r="AL40" i="6" s="1"/>
  <c r="AK42" i="6"/>
  <c r="AL42" i="6" s="1"/>
  <c r="AK29" i="6"/>
  <c r="AL29" i="6" s="1"/>
  <c r="AK41" i="6"/>
  <c r="AL41" i="6" s="1"/>
  <c r="AK39" i="6"/>
  <c r="AL39" i="6" s="1"/>
  <c r="AK38" i="6"/>
  <c r="AL38" i="6" s="1"/>
  <c r="AK51" i="6"/>
  <c r="AL51" i="6" s="1"/>
  <c r="AK52" i="6"/>
  <c r="AL52" i="6" s="1"/>
  <c r="AK74" i="6"/>
  <c r="AL74" i="6" s="1"/>
  <c r="AK83" i="6"/>
  <c r="AL83" i="6" s="1"/>
  <c r="C39" i="20"/>
  <c r="AM39" i="21" s="1"/>
  <c r="AJ152" i="6"/>
  <c r="Y139" i="6"/>
  <c r="Y148" i="6" s="1"/>
  <c r="S148" i="5"/>
  <c r="T148" i="5" s="1"/>
  <c r="AJ129" i="21"/>
  <c r="AJ176" i="21" s="1"/>
  <c r="AJ182" i="21" s="1"/>
  <c r="AJ184" i="21" s="1"/>
  <c r="AJ186" i="21" s="1"/>
  <c r="O143" i="6"/>
  <c r="O149" i="6" s="1"/>
  <c r="P143" i="6"/>
  <c r="P149" i="6" s="1"/>
  <c r="AK141" i="6"/>
  <c r="AL141" i="6" s="1"/>
  <c r="O137" i="6"/>
  <c r="U137" i="6"/>
  <c r="S137" i="6"/>
  <c r="S134" i="7" s="1"/>
  <c r="D272" i="9"/>
  <c r="S272" i="8"/>
  <c r="T272" i="8" s="1"/>
  <c r="AG240" i="6"/>
  <c r="AK233" i="6"/>
  <c r="AL233" i="6" s="1"/>
  <c r="AL240" i="6" s="1"/>
  <c r="N230" i="5"/>
  <c r="S229" i="5"/>
  <c r="T229" i="5" s="1"/>
  <c r="AA229" i="6"/>
  <c r="AA230" i="6" s="1"/>
  <c r="O230" i="5"/>
  <c r="AB229" i="6"/>
  <c r="AK226" i="6"/>
  <c r="AL226" i="6" s="1"/>
  <c r="AH215" i="16"/>
  <c r="AH220" i="16" s="1"/>
  <c r="Q221" i="15"/>
  <c r="Q241" i="15" s="1"/>
  <c r="H241" i="15"/>
  <c r="J221" i="15"/>
  <c r="D219" i="16"/>
  <c r="M220" i="15"/>
  <c r="X219" i="16" s="1"/>
  <c r="S222" i="15"/>
  <c r="T222" i="15" s="1"/>
  <c r="N16" i="75"/>
  <c r="T16" i="75" s="1"/>
  <c r="U16" i="75" s="1"/>
  <c r="O221" i="15"/>
  <c r="AB215" i="16"/>
  <c r="Z216" i="16"/>
  <c r="X221" i="16"/>
  <c r="Y216" i="16"/>
  <c r="P221" i="15"/>
  <c r="P241" i="15" s="1"/>
  <c r="AB221" i="16"/>
  <c r="AE219" i="16"/>
  <c r="AE221" i="16" s="1"/>
  <c r="AC219" i="16"/>
  <c r="AC221" i="16" s="1"/>
  <c r="AD219" i="16"/>
  <c r="AD221" i="16" s="1"/>
  <c r="K221" i="15"/>
  <c r="K241" i="15" s="1"/>
  <c r="L219" i="16"/>
  <c r="G243" i="15"/>
  <c r="H25" i="75"/>
  <c r="Y217" i="6"/>
  <c r="Z217" i="6"/>
  <c r="AJ215" i="16"/>
  <c r="I221" i="15"/>
  <c r="O228" i="15"/>
  <c r="I229" i="15"/>
  <c r="AJ227" i="16"/>
  <c r="AJ97" i="13"/>
  <c r="T98" i="12"/>
  <c r="Z148" i="6"/>
  <c r="AK145" i="6"/>
  <c r="AL145" i="6" s="1"/>
  <c r="Z134" i="6"/>
  <c r="AK133" i="6"/>
  <c r="AL133" i="6" s="1"/>
  <c r="N137" i="6"/>
  <c r="T21" i="75"/>
  <c r="U21" i="75" s="1"/>
  <c r="R137" i="6"/>
  <c r="R126" i="7" s="1"/>
  <c r="P137" i="6"/>
  <c r="P126" i="7" s="1"/>
  <c r="AK129" i="6"/>
  <c r="AL129" i="6" s="1"/>
  <c r="AK127" i="6"/>
  <c r="AL127" i="6" s="1"/>
  <c r="AK131" i="6"/>
  <c r="AL131" i="6" s="1"/>
  <c r="S134" i="5"/>
  <c r="T134" i="5" s="1"/>
  <c r="Z134" i="7"/>
  <c r="Z126" i="7"/>
  <c r="Y137" i="6"/>
  <c r="AK132" i="6"/>
  <c r="AL132" i="6" s="1"/>
  <c r="Q137" i="6"/>
  <c r="Q126" i="7" s="1"/>
  <c r="W137" i="6"/>
  <c r="X126" i="6"/>
  <c r="M136" i="5"/>
  <c r="M150" i="5" s="1"/>
  <c r="M152" i="5" s="1"/>
  <c r="L136" i="5"/>
  <c r="L150" i="5" s="1"/>
  <c r="L152" i="5" s="1"/>
  <c r="M126" i="6"/>
  <c r="M136" i="6" s="1"/>
  <c r="M150" i="6" s="1"/>
  <c r="M152" i="6" s="1"/>
  <c r="S126" i="5"/>
  <c r="T126" i="5" s="1"/>
  <c r="L122" i="6"/>
  <c r="AK111" i="6"/>
  <c r="AL111" i="6" s="1"/>
  <c r="J152" i="5"/>
  <c r="K28" i="66"/>
  <c r="K32" i="66" s="1"/>
  <c r="W134" i="17"/>
  <c r="W126" i="17"/>
  <c r="T137" i="6"/>
  <c r="T134" i="7" s="1"/>
  <c r="O134" i="7"/>
  <c r="O126" i="7"/>
  <c r="O139" i="7"/>
  <c r="O147" i="6"/>
  <c r="U126" i="17"/>
  <c r="U134" i="17"/>
  <c r="T126" i="17"/>
  <c r="T134" i="17"/>
  <c r="S134" i="17"/>
  <c r="S126" i="17"/>
  <c r="O127" i="4"/>
  <c r="O130" i="4"/>
  <c r="O125" i="4"/>
  <c r="O126" i="4"/>
  <c r="O128" i="4"/>
  <c r="W126" i="7"/>
  <c r="V126" i="7"/>
  <c r="AK130" i="9"/>
  <c r="AL130" i="9" s="1"/>
  <c r="N137" i="9"/>
  <c r="W134" i="7"/>
  <c r="O139" i="6"/>
  <c r="T143" i="9"/>
  <c r="T149" i="9" s="1"/>
  <c r="N143" i="6"/>
  <c r="N149" i="6" s="1"/>
  <c r="T143" i="6"/>
  <c r="Q143" i="6"/>
  <c r="Q149" i="6" s="1"/>
  <c r="N143" i="9"/>
  <c r="N149" i="9" s="1"/>
  <c r="Q143" i="9"/>
  <c r="Q149" i="9" s="1"/>
  <c r="W143" i="6"/>
  <c r="W149" i="6" s="1"/>
  <c r="W143" i="9"/>
  <c r="W149" i="9" s="1"/>
  <c r="U143" i="9"/>
  <c r="U149" i="9" s="1"/>
  <c r="U143" i="6"/>
  <c r="U149" i="6" s="1"/>
  <c r="R143" i="9"/>
  <c r="R149" i="9" s="1"/>
  <c r="R147" i="9" s="1"/>
  <c r="S143" i="6"/>
  <c r="S149" i="6" s="1"/>
  <c r="S143" i="9"/>
  <c r="S149" i="9" s="1"/>
  <c r="R143" i="6"/>
  <c r="R149" i="6" s="1"/>
  <c r="V143" i="6"/>
  <c r="P143" i="9"/>
  <c r="P149" i="9" s="1"/>
  <c r="V143" i="9"/>
  <c r="V149" i="9" s="1"/>
  <c r="O143" i="9"/>
  <c r="O149" i="9" s="1"/>
  <c r="O184" i="2"/>
  <c r="AL110" i="13"/>
  <c r="O147" i="7"/>
  <c r="V134" i="7"/>
  <c r="AL257" i="16"/>
  <c r="P184" i="2"/>
  <c r="P181" i="2"/>
  <c r="M184" i="2"/>
  <c r="N181" i="2"/>
  <c r="O281" i="8"/>
  <c r="AB281" i="9" s="1"/>
  <c r="P281" i="8"/>
  <c r="AF281" i="9" s="1"/>
  <c r="I118" i="12"/>
  <c r="AJ115" i="13"/>
  <c r="L181" i="2"/>
  <c r="Q181" i="2"/>
  <c r="AL130" i="16"/>
  <c r="N281" i="8"/>
  <c r="AA281" i="9" s="1"/>
  <c r="T149" i="6"/>
  <c r="T147" i="6" s="1"/>
  <c r="AL259" i="16"/>
  <c r="M281" i="8"/>
  <c r="X281" i="9" s="1"/>
  <c r="M181" i="2"/>
  <c r="L184" i="2"/>
  <c r="L281" i="8"/>
  <c r="M281" i="9" s="1"/>
  <c r="O181" i="2"/>
  <c r="U143" i="16"/>
  <c r="U149" i="16" s="1"/>
  <c r="R143" i="16"/>
  <c r="S143" i="16"/>
  <c r="S149" i="16" s="1"/>
  <c r="W143" i="16"/>
  <c r="W149" i="16" s="1"/>
  <c r="W147" i="17" s="1"/>
  <c r="T143" i="16"/>
  <c r="P143" i="16"/>
  <c r="P149" i="16" s="1"/>
  <c r="N143" i="16"/>
  <c r="N149" i="16" s="1"/>
  <c r="Q143" i="16"/>
  <c r="Q149" i="16" s="1"/>
  <c r="O143" i="16"/>
  <c r="V149" i="6"/>
  <c r="V139" i="7" s="1"/>
  <c r="L171" i="2"/>
  <c r="M171" i="3"/>
  <c r="Q184" i="2"/>
  <c r="AK130" i="6"/>
  <c r="AL130" i="6" s="1"/>
  <c r="N184" i="2"/>
  <c r="AK142" i="6"/>
  <c r="AL142" i="6" s="1"/>
  <c r="AK142" i="9"/>
  <c r="AL142" i="9" s="1"/>
  <c r="N126" i="17"/>
  <c r="N134" i="17"/>
  <c r="N134" i="7"/>
  <c r="AK259" i="9" l="1"/>
  <c r="AL259" i="9" s="1"/>
  <c r="E132" i="21"/>
  <c r="K17" i="30"/>
  <c r="I17" i="30"/>
  <c r="N17" i="30"/>
  <c r="J17" i="30"/>
  <c r="G17" i="30"/>
  <c r="F17" i="30"/>
  <c r="P17" i="30" s="1"/>
  <c r="Q17" i="30" s="1"/>
  <c r="L17" i="30"/>
  <c r="M17" i="30"/>
  <c r="H17" i="30"/>
  <c r="F179" i="20"/>
  <c r="E179" i="20" s="1"/>
  <c r="C179" i="20" s="1"/>
  <c r="E132" i="20"/>
  <c r="C132" i="20" s="1"/>
  <c r="AM132" i="21" s="1"/>
  <c r="E179" i="21"/>
  <c r="Q134" i="7"/>
  <c r="D129" i="20"/>
  <c r="D47" i="20"/>
  <c r="D49" i="20" s="1"/>
  <c r="D51" i="20" s="1"/>
  <c r="D60" i="20" s="1"/>
  <c r="D61" i="20" s="1"/>
  <c r="AJ61" i="21" s="1"/>
  <c r="AJ62" i="21" s="1"/>
  <c r="M215" i="16"/>
  <c r="M220" i="16" s="1"/>
  <c r="AC242" i="9"/>
  <c r="AC243" i="9" s="1"/>
  <c r="I44" i="21"/>
  <c r="AI44" i="21" s="1"/>
  <c r="AL83" i="13"/>
  <c r="K132" i="21"/>
  <c r="K47" i="21"/>
  <c r="K49" i="21" s="1"/>
  <c r="K51" i="21" s="1"/>
  <c r="K60" i="21" s="1"/>
  <c r="K61" i="21" s="1"/>
  <c r="K62" i="21" s="1"/>
  <c r="K67" i="21" s="1"/>
  <c r="K86" i="21" s="1"/>
  <c r="AJ135" i="21"/>
  <c r="AJ137" i="21" s="1"/>
  <c r="AJ139" i="21" s="1"/>
  <c r="AJ150" i="21" s="1"/>
  <c r="AJ151" i="21" s="1"/>
  <c r="AJ152" i="21" s="1"/>
  <c r="AM154" i="21"/>
  <c r="AN154" i="21" s="1"/>
  <c r="C205" i="20"/>
  <c r="AH213" i="21"/>
  <c r="AK213" i="21" s="1"/>
  <c r="E60" i="61"/>
  <c r="AK205" i="21"/>
  <c r="P60" i="58"/>
  <c r="Q60" i="58" s="1"/>
  <c r="V139" i="9"/>
  <c r="S139" i="9"/>
  <c r="U139" i="9"/>
  <c r="T139" i="9"/>
  <c r="P150" i="8"/>
  <c r="P152" i="8" s="1"/>
  <c r="P243" i="8" s="1"/>
  <c r="Q31" i="75" s="1"/>
  <c r="O150" i="8"/>
  <c r="O152" i="8" s="1"/>
  <c r="O243" i="8" s="1"/>
  <c r="P31" i="75" s="1"/>
  <c r="AA150" i="9"/>
  <c r="AA152" i="9" s="1"/>
  <c r="AA243" i="9" s="1"/>
  <c r="AK33" i="9"/>
  <c r="AL33" i="9" s="1"/>
  <c r="V139" i="17"/>
  <c r="AK176" i="3"/>
  <c r="AL176" i="3" s="1"/>
  <c r="AH241" i="16"/>
  <c r="O149" i="16"/>
  <c r="T149" i="16"/>
  <c r="AL142" i="16"/>
  <c r="O126" i="17"/>
  <c r="R134" i="17"/>
  <c r="D152" i="16"/>
  <c r="R149" i="16"/>
  <c r="R147" i="17" s="1"/>
  <c r="AL252" i="9"/>
  <c r="P134" i="17"/>
  <c r="AL137" i="16"/>
  <c r="Q242" i="15"/>
  <c r="Q443" i="1" s="1"/>
  <c r="P48" i="30"/>
  <c r="Q48" i="30" s="1"/>
  <c r="E133" i="20"/>
  <c r="C133" i="20" s="1"/>
  <c r="AM133" i="21" s="1"/>
  <c r="F180" i="20"/>
  <c r="E180" i="20" s="1"/>
  <c r="C180" i="20" s="1"/>
  <c r="P48" i="31"/>
  <c r="Q48" i="31" s="1"/>
  <c r="O178" i="20"/>
  <c r="AM178" i="21"/>
  <c r="AH178" i="21"/>
  <c r="AK131" i="21"/>
  <c r="AN131" i="21" s="1"/>
  <c r="P48" i="29"/>
  <c r="Q48" i="29" s="1"/>
  <c r="P46" i="31"/>
  <c r="Q46" i="31" s="1"/>
  <c r="P17" i="25"/>
  <c r="Q17" i="25" s="1"/>
  <c r="F18" i="25"/>
  <c r="P18" i="25" s="1"/>
  <c r="Q18" i="25" s="1"/>
  <c r="E20" i="28"/>
  <c r="P20" i="28"/>
  <c r="N62" i="55"/>
  <c r="H62" i="55"/>
  <c r="J62" i="55"/>
  <c r="M62" i="55"/>
  <c r="G62" i="55"/>
  <c r="K62" i="55"/>
  <c r="I62" i="55"/>
  <c r="P45" i="30"/>
  <c r="Q45" i="30" s="1"/>
  <c r="P45" i="61"/>
  <c r="Q45" i="61" s="1"/>
  <c r="L62" i="55"/>
  <c r="P45" i="29"/>
  <c r="Q45" i="29" s="1"/>
  <c r="P48" i="25"/>
  <c r="Q48" i="25" s="1"/>
  <c r="P48" i="57"/>
  <c r="Q48" i="57" s="1"/>
  <c r="P48" i="61"/>
  <c r="Q48" i="61" s="1"/>
  <c r="P48" i="55"/>
  <c r="Q48" i="55" s="1"/>
  <c r="P36" i="55"/>
  <c r="Q36" i="55" s="1"/>
  <c r="F39" i="55"/>
  <c r="F54" i="31"/>
  <c r="P54" i="31" s="1"/>
  <c r="Q54" i="31" s="1"/>
  <c r="P51" i="31"/>
  <c r="Q51" i="31" s="1"/>
  <c r="P51" i="29"/>
  <c r="Q51" i="29" s="1"/>
  <c r="J62" i="25"/>
  <c r="N62" i="25"/>
  <c r="L62" i="57"/>
  <c r="L13" i="60" s="1"/>
  <c r="L14" i="60" s="1"/>
  <c r="J62" i="57"/>
  <c r="J13" i="60" s="1"/>
  <c r="J14" i="60" s="1"/>
  <c r="K62" i="25"/>
  <c r="P45" i="57"/>
  <c r="Q45" i="57" s="1"/>
  <c r="P54" i="55"/>
  <c r="Q54" i="55" s="1"/>
  <c r="P36" i="25"/>
  <c r="Q36" i="25" s="1"/>
  <c r="F39" i="25"/>
  <c r="P46" i="30"/>
  <c r="Q46" i="30" s="1"/>
  <c r="P36" i="61"/>
  <c r="Q36" i="61" s="1"/>
  <c r="F39" i="61"/>
  <c r="P54" i="29"/>
  <c r="Q54" i="29" s="1"/>
  <c r="P45" i="25"/>
  <c r="Q45" i="25" s="1"/>
  <c r="F46" i="25"/>
  <c r="P46" i="25" s="1"/>
  <c r="Q46" i="25" s="1"/>
  <c r="G62" i="57"/>
  <c r="G13" i="60" s="1"/>
  <c r="G14" i="60" s="1"/>
  <c r="M62" i="25"/>
  <c r="L62" i="25"/>
  <c r="I62" i="25"/>
  <c r="N62" i="57"/>
  <c r="N13" i="60" s="1"/>
  <c r="N14" i="60" s="1"/>
  <c r="K62" i="57"/>
  <c r="K13" i="60" s="1"/>
  <c r="K14" i="60" s="1"/>
  <c r="P46" i="57"/>
  <c r="Q46" i="57" s="1"/>
  <c r="P51" i="55"/>
  <c r="Q51" i="55" s="1"/>
  <c r="P36" i="57"/>
  <c r="Q36" i="57" s="1"/>
  <c r="F39" i="57"/>
  <c r="P51" i="61"/>
  <c r="Q51" i="61" s="1"/>
  <c r="P36" i="30"/>
  <c r="Q36" i="30" s="1"/>
  <c r="F39" i="30"/>
  <c r="F54" i="30"/>
  <c r="P54" i="30" s="1"/>
  <c r="Q54" i="30" s="1"/>
  <c r="P51" i="30"/>
  <c r="Q51" i="30" s="1"/>
  <c r="H62" i="57"/>
  <c r="H13" i="60" s="1"/>
  <c r="M62" i="57"/>
  <c r="M13" i="60" s="1"/>
  <c r="M14" i="60" s="1"/>
  <c r="I62" i="57"/>
  <c r="I13" i="60" s="1"/>
  <c r="I14" i="60" s="1"/>
  <c r="P45" i="55"/>
  <c r="Q45" i="55" s="1"/>
  <c r="P51" i="57"/>
  <c r="Q51" i="57" s="1"/>
  <c r="P54" i="25"/>
  <c r="Q54" i="25" s="1"/>
  <c r="P45" i="31"/>
  <c r="Q45" i="31" s="1"/>
  <c r="F41" i="31"/>
  <c r="P41" i="31" s="1"/>
  <c r="Q41" i="31" s="1"/>
  <c r="P39" i="31"/>
  <c r="Q39" i="31" s="1"/>
  <c r="P46" i="61"/>
  <c r="Q46" i="61" s="1"/>
  <c r="P54" i="61"/>
  <c r="Q54" i="61" s="1"/>
  <c r="P36" i="29"/>
  <c r="Q36" i="29" s="1"/>
  <c r="F39" i="29"/>
  <c r="G62" i="25"/>
  <c r="H62" i="25"/>
  <c r="P36" i="31"/>
  <c r="Q36" i="31" s="1"/>
  <c r="P46" i="55"/>
  <c r="Q46" i="55" s="1"/>
  <c r="P54" i="57"/>
  <c r="Q54" i="57" s="1"/>
  <c r="P51" i="25"/>
  <c r="Q51" i="25" s="1"/>
  <c r="P22" i="32"/>
  <c r="Q22" i="32" s="1"/>
  <c r="E22" i="28"/>
  <c r="P22" i="28"/>
  <c r="K22" i="36"/>
  <c r="K92" i="36" s="1"/>
  <c r="I22" i="36"/>
  <c r="I92" i="36" s="1"/>
  <c r="G22" i="36"/>
  <c r="G92" i="36" s="1"/>
  <c r="E92" i="36"/>
  <c r="H22" i="36"/>
  <c r="H92" i="36" s="1"/>
  <c r="M22" i="36"/>
  <c r="M92" i="36" s="1"/>
  <c r="N22" i="36"/>
  <c r="N92" i="36" s="1"/>
  <c r="L22" i="36"/>
  <c r="L92" i="36" s="1"/>
  <c r="F22" i="36"/>
  <c r="J22" i="36"/>
  <c r="J92" i="36" s="1"/>
  <c r="P22" i="62"/>
  <c r="E22" i="62"/>
  <c r="N221" i="15"/>
  <c r="N241" i="15" s="1"/>
  <c r="N242" i="15" s="1"/>
  <c r="O25" i="75" s="1"/>
  <c r="AF268" i="7"/>
  <c r="AG268" i="6" s="1"/>
  <c r="AF247" i="17"/>
  <c r="AG247" i="16" s="1"/>
  <c r="AG16" i="21"/>
  <c r="AG108" i="21" s="1"/>
  <c r="AF108" i="21" s="1"/>
  <c r="AF251" i="7"/>
  <c r="AG251" i="6" s="1"/>
  <c r="AF265" i="7"/>
  <c r="AG265" i="9" s="1"/>
  <c r="AF272" i="7"/>
  <c r="AG272" i="6" s="1"/>
  <c r="AF269" i="7"/>
  <c r="AG269" i="6" s="1"/>
  <c r="AH138" i="4"/>
  <c r="AG138" i="3" s="1"/>
  <c r="AF251" i="17"/>
  <c r="AG251" i="16" s="1"/>
  <c r="AF252" i="17"/>
  <c r="AG252" i="16" s="1"/>
  <c r="AF249" i="17"/>
  <c r="AG249" i="16" s="1"/>
  <c r="AF263" i="17"/>
  <c r="AG263" i="16" s="1"/>
  <c r="AF267" i="7"/>
  <c r="AG267" i="9" s="1"/>
  <c r="AF270" i="7"/>
  <c r="AG270" i="6" s="1"/>
  <c r="AH183" i="4"/>
  <c r="AH154" i="4"/>
  <c r="AG154" i="3" s="1"/>
  <c r="AG17" i="21" s="1"/>
  <c r="AG109" i="21" s="1"/>
  <c r="AF109" i="21" s="1"/>
  <c r="AF263" i="7"/>
  <c r="AG263" i="6" s="1"/>
  <c r="AF268" i="17"/>
  <c r="AG268" i="16" s="1"/>
  <c r="AF261" i="17"/>
  <c r="AG261" i="16" s="1"/>
  <c r="AF253" i="7"/>
  <c r="AG253" i="9" s="1"/>
  <c r="AF270" i="17"/>
  <c r="AG270" i="16" s="1"/>
  <c r="AF249" i="7"/>
  <c r="AG249" i="6" s="1"/>
  <c r="AF267" i="17"/>
  <c r="AG267" i="16" s="1"/>
  <c r="AK256" i="9"/>
  <c r="AH182" i="4"/>
  <c r="Q147" i="17"/>
  <c r="Q139" i="17"/>
  <c r="Z139" i="16"/>
  <c r="Z148" i="16" s="1"/>
  <c r="Z150" i="16" s="1"/>
  <c r="Z152" i="16" s="1"/>
  <c r="Y139" i="16"/>
  <c r="Y148" i="16" s="1"/>
  <c r="X148" i="16"/>
  <c r="X150" i="16" s="1"/>
  <c r="X152" i="16" s="1"/>
  <c r="L148" i="16"/>
  <c r="L150" i="16" s="1"/>
  <c r="S147" i="15"/>
  <c r="T147" i="15" s="1"/>
  <c r="K242" i="15"/>
  <c r="AA241" i="16"/>
  <c r="P242" i="15"/>
  <c r="M139" i="16"/>
  <c r="M148" i="16" s="1"/>
  <c r="M150" i="16" s="1"/>
  <c r="M152" i="16" s="1"/>
  <c r="M241" i="16" s="1"/>
  <c r="L148" i="15"/>
  <c r="S148" i="15" s="1"/>
  <c r="T148" i="15" s="1"/>
  <c r="Y134" i="17"/>
  <c r="Y126" i="17"/>
  <c r="L122" i="16"/>
  <c r="AL122" i="16" s="1"/>
  <c r="S99" i="15"/>
  <c r="T99" i="15" s="1"/>
  <c r="J152" i="15"/>
  <c r="G469" i="1"/>
  <c r="H32" i="75" s="1"/>
  <c r="H29" i="75"/>
  <c r="AK240" i="9"/>
  <c r="AL240" i="9" s="1"/>
  <c r="AG242" i="9"/>
  <c r="AG243" i="9" s="1"/>
  <c r="AK217" i="9"/>
  <c r="AL217" i="9" s="1"/>
  <c r="AK222" i="9"/>
  <c r="AL222" i="9" s="1"/>
  <c r="I243" i="8"/>
  <c r="M150" i="8"/>
  <c r="M152" i="8" s="1"/>
  <c r="M243" i="8" s="1"/>
  <c r="N31" i="75" s="1"/>
  <c r="K152" i="8"/>
  <c r="K243" i="8" s="1"/>
  <c r="L31" i="75" s="1"/>
  <c r="Z139" i="9"/>
  <c r="Z148" i="9" s="1"/>
  <c r="X148" i="9"/>
  <c r="Y139" i="9"/>
  <c r="Y148" i="9" s="1"/>
  <c r="W126" i="9"/>
  <c r="M126" i="9"/>
  <c r="L136" i="8"/>
  <c r="L150" i="8" s="1"/>
  <c r="L152" i="8" s="1"/>
  <c r="L243" i="8" s="1"/>
  <c r="M31" i="75" s="1"/>
  <c r="AF150" i="9"/>
  <c r="AF152" i="9" s="1"/>
  <c r="AF243" i="9" s="1"/>
  <c r="S136" i="8"/>
  <c r="T136" i="8" s="1"/>
  <c r="AB150" i="9"/>
  <c r="AB152" i="9" s="1"/>
  <c r="AB243" i="9" s="1"/>
  <c r="Y126" i="9"/>
  <c r="Z126" i="9"/>
  <c r="X136" i="9"/>
  <c r="N126" i="9"/>
  <c r="M134" i="9"/>
  <c r="O134" i="9" s="1"/>
  <c r="S134" i="8"/>
  <c r="T134" i="8" s="1"/>
  <c r="AK127" i="9"/>
  <c r="AL127" i="9" s="1"/>
  <c r="Q150" i="8"/>
  <c r="Q152" i="8" s="1"/>
  <c r="Q243" i="8" s="1"/>
  <c r="R31" i="75" s="1"/>
  <c r="S148" i="8"/>
  <c r="T148" i="8" s="1"/>
  <c r="J150" i="8"/>
  <c r="AH150" i="9"/>
  <c r="AH152" i="9" s="1"/>
  <c r="AH243" i="9" s="1"/>
  <c r="D150" i="9"/>
  <c r="D152" i="9" s="1"/>
  <c r="D243" i="9" s="1"/>
  <c r="AJ279" i="9"/>
  <c r="L122" i="9"/>
  <c r="L152" i="9" s="1"/>
  <c r="L243" i="9" s="1"/>
  <c r="AK111" i="9"/>
  <c r="AL111" i="9" s="1"/>
  <c r="AK94" i="9"/>
  <c r="AL94" i="9" s="1"/>
  <c r="AK97" i="9"/>
  <c r="AL97" i="9" s="1"/>
  <c r="I444" i="1"/>
  <c r="I465" i="1" s="1"/>
  <c r="I467" i="1" s="1"/>
  <c r="I169" i="2"/>
  <c r="I172" i="2" s="1"/>
  <c r="I193" i="2" s="1"/>
  <c r="I195" i="2" s="1"/>
  <c r="I197" i="2" s="1"/>
  <c r="AJ169" i="3"/>
  <c r="AJ172" i="3" s="1"/>
  <c r="AJ193" i="3" s="1"/>
  <c r="AJ195" i="3" s="1"/>
  <c r="AJ197" i="3" s="1"/>
  <c r="H467" i="1"/>
  <c r="K9" i="66"/>
  <c r="K11" i="66" s="1"/>
  <c r="F469" i="1"/>
  <c r="G32" i="75" s="1"/>
  <c r="G29" i="75"/>
  <c r="J152" i="8"/>
  <c r="J243" i="8" s="1"/>
  <c r="AK38" i="9"/>
  <c r="AL38" i="9" s="1"/>
  <c r="AK43" i="9"/>
  <c r="AL43" i="9" s="1"/>
  <c r="AK27" i="9"/>
  <c r="AL27" i="9" s="1"/>
  <c r="AK17" i="9"/>
  <c r="AL17" i="9" s="1"/>
  <c r="N242" i="8"/>
  <c r="S222" i="8"/>
  <c r="T222" i="8" s="1"/>
  <c r="S216" i="15"/>
  <c r="T216" i="15" s="1"/>
  <c r="T99" i="8"/>
  <c r="AJ279" i="6"/>
  <c r="AF215" i="16"/>
  <c r="AF220" i="16" s="1"/>
  <c r="AF241" i="16" s="1"/>
  <c r="X221" i="6"/>
  <c r="M222" i="5"/>
  <c r="M242" i="5" s="1"/>
  <c r="M243" i="5" s="1"/>
  <c r="M221" i="6"/>
  <c r="M222" i="6" s="1"/>
  <c r="M242" i="6" s="1"/>
  <c r="M243" i="6" s="1"/>
  <c r="L222" i="5"/>
  <c r="L242" i="5" s="1"/>
  <c r="L243" i="5" s="1"/>
  <c r="AH221" i="6"/>
  <c r="AH222" i="6" s="1"/>
  <c r="AH242" i="6" s="1"/>
  <c r="AH243" i="6" s="1"/>
  <c r="Q222" i="5"/>
  <c r="Q242" i="5" s="1"/>
  <c r="Q243" i="5" s="1"/>
  <c r="L221" i="6"/>
  <c r="K222" i="5"/>
  <c r="K242" i="5" s="1"/>
  <c r="K243" i="5" s="1"/>
  <c r="I243" i="5"/>
  <c r="J30" i="75" s="1"/>
  <c r="AF221" i="6"/>
  <c r="AF222" i="6" s="1"/>
  <c r="AF242" i="6" s="1"/>
  <c r="AF243" i="6" s="1"/>
  <c r="AF41" i="21" s="1"/>
  <c r="AF129" i="21" s="1"/>
  <c r="AF176" i="21" s="1"/>
  <c r="P222" i="5"/>
  <c r="P242" i="5" s="1"/>
  <c r="P243" i="5" s="1"/>
  <c r="D221" i="6"/>
  <c r="D222" i="6" s="1"/>
  <c r="D242" i="6" s="1"/>
  <c r="J222" i="5"/>
  <c r="S221" i="5"/>
  <c r="T221" i="5" s="1"/>
  <c r="AJ243" i="6"/>
  <c r="AA221" i="6"/>
  <c r="AA222" i="6" s="1"/>
  <c r="AA242" i="6" s="1"/>
  <c r="AA243" i="6" s="1"/>
  <c r="AA41" i="21" s="1"/>
  <c r="AA129" i="21" s="1"/>
  <c r="AA176" i="21" s="1"/>
  <c r="E48" i="26" s="1"/>
  <c r="N222" i="5"/>
  <c r="N242" i="5" s="1"/>
  <c r="AB221" i="6"/>
  <c r="O222" i="5"/>
  <c r="O242" i="5" s="1"/>
  <c r="O243" i="5" s="1"/>
  <c r="V126" i="6"/>
  <c r="Q126" i="6"/>
  <c r="R126" i="6"/>
  <c r="S126" i="7"/>
  <c r="P126" i="6"/>
  <c r="S126" i="6"/>
  <c r="O126" i="6"/>
  <c r="N126" i="6"/>
  <c r="AK28" i="6"/>
  <c r="AL28" i="6" s="1"/>
  <c r="AK44" i="6"/>
  <c r="AL44" i="6" s="1"/>
  <c r="AK15" i="6"/>
  <c r="AL15" i="6" s="1"/>
  <c r="AK17" i="6"/>
  <c r="AL17" i="6" s="1"/>
  <c r="AK27" i="6"/>
  <c r="AL27" i="6" s="1"/>
  <c r="AK77" i="6"/>
  <c r="AL77" i="6" s="1"/>
  <c r="AK79" i="6"/>
  <c r="AL79" i="6" s="1"/>
  <c r="AK86" i="6"/>
  <c r="AL86" i="6" s="1"/>
  <c r="S99" i="5"/>
  <c r="T99" i="5" s="1"/>
  <c r="U126" i="6"/>
  <c r="AK242" i="9"/>
  <c r="AL242" i="9" s="1"/>
  <c r="AK137" i="9"/>
  <c r="AL137" i="9" s="1"/>
  <c r="U126" i="9"/>
  <c r="V147" i="9"/>
  <c r="V148" i="9" s="1"/>
  <c r="V147" i="6"/>
  <c r="P134" i="7"/>
  <c r="N126" i="7"/>
  <c r="U147" i="9"/>
  <c r="T147" i="9"/>
  <c r="T148" i="9" s="1"/>
  <c r="U126" i="7"/>
  <c r="T126" i="6"/>
  <c r="T126" i="7"/>
  <c r="U134" i="7"/>
  <c r="AG242" i="6"/>
  <c r="AG243" i="6" s="1"/>
  <c r="AK240" i="6"/>
  <c r="AE229" i="6"/>
  <c r="AE230" i="6" s="1"/>
  <c r="AC229" i="6"/>
  <c r="AC230" i="6" s="1"/>
  <c r="AB230" i="6"/>
  <c r="AD229" i="6"/>
  <c r="AD230" i="6" s="1"/>
  <c r="S230" i="5"/>
  <c r="T230" i="5" s="1"/>
  <c r="AJ228" i="16"/>
  <c r="AJ229" i="16"/>
  <c r="AJ220" i="16"/>
  <c r="L221" i="16"/>
  <c r="L220" i="16"/>
  <c r="D220" i="16"/>
  <c r="D221" i="16"/>
  <c r="H242" i="15"/>
  <c r="H276" i="15"/>
  <c r="H278" i="15" s="1"/>
  <c r="H26" i="75"/>
  <c r="G245" i="15"/>
  <c r="AB220" i="16"/>
  <c r="AC215" i="16"/>
  <c r="AC220" i="16" s="1"/>
  <c r="AE215" i="16"/>
  <c r="AE220" i="16" s="1"/>
  <c r="AD215" i="16"/>
  <c r="AD220" i="16" s="1"/>
  <c r="S220" i="15"/>
  <c r="T220" i="15" s="1"/>
  <c r="AB227" i="16"/>
  <c r="S228" i="15"/>
  <c r="T228" i="15" s="1"/>
  <c r="O229" i="15"/>
  <c r="S229" i="15" s="1"/>
  <c r="T229" i="15" s="1"/>
  <c r="Y219" i="16"/>
  <c r="Z219" i="16"/>
  <c r="Z221" i="16" s="1"/>
  <c r="J241" i="15"/>
  <c r="I241" i="15"/>
  <c r="AK217" i="6"/>
  <c r="AL217" i="6" s="1"/>
  <c r="AK216" i="16"/>
  <c r="AL216" i="16" s="1"/>
  <c r="X215" i="16"/>
  <c r="M221" i="15"/>
  <c r="M241" i="15" s="1"/>
  <c r="M242" i="15" s="1"/>
  <c r="M443" i="1" s="1"/>
  <c r="Y126" i="7"/>
  <c r="X126" i="7" s="1"/>
  <c r="Y134" i="7"/>
  <c r="W126" i="6"/>
  <c r="AK137" i="6"/>
  <c r="AL137" i="6" s="1"/>
  <c r="S136" i="5"/>
  <c r="T136" i="5" s="1"/>
  <c r="Y134" i="6"/>
  <c r="X136" i="6"/>
  <c r="X150" i="6" s="1"/>
  <c r="X152" i="6" s="1"/>
  <c r="Y126" i="6"/>
  <c r="Y136" i="6" s="1"/>
  <c r="Y150" i="6" s="1"/>
  <c r="Y152" i="6" s="1"/>
  <c r="Z126" i="6"/>
  <c r="Z136" i="6" s="1"/>
  <c r="Z150" i="6" s="1"/>
  <c r="Z152" i="6" s="1"/>
  <c r="R134" i="7"/>
  <c r="S150" i="5"/>
  <c r="T150" i="5" s="1"/>
  <c r="AK122" i="6"/>
  <c r="AL122" i="6" s="1"/>
  <c r="L152" i="6"/>
  <c r="J74" i="21"/>
  <c r="AI74" i="21" s="1"/>
  <c r="S152" i="5"/>
  <c r="T152" i="5" s="1"/>
  <c r="AJ244" i="6"/>
  <c r="I30" i="75"/>
  <c r="V147" i="7"/>
  <c r="V139" i="6"/>
  <c r="V148" i="6" s="1"/>
  <c r="R139" i="9"/>
  <c r="R148" i="9" s="1"/>
  <c r="Q147" i="9"/>
  <c r="Q139" i="9"/>
  <c r="AK180" i="3"/>
  <c r="AL180" i="3" s="1"/>
  <c r="P139" i="9"/>
  <c r="P147" i="9"/>
  <c r="W147" i="6"/>
  <c r="W139" i="6"/>
  <c r="W147" i="7"/>
  <c r="O148" i="6"/>
  <c r="T139" i="7"/>
  <c r="T139" i="6"/>
  <c r="T148" i="6" s="1"/>
  <c r="S147" i="9"/>
  <c r="S148" i="9" s="1"/>
  <c r="W139" i="17"/>
  <c r="S147" i="17"/>
  <c r="S139" i="17"/>
  <c r="P147" i="6"/>
  <c r="P139" i="6"/>
  <c r="P139" i="7"/>
  <c r="P147" i="7"/>
  <c r="R147" i="7"/>
  <c r="R139" i="7"/>
  <c r="R139" i="6"/>
  <c r="R147" i="6"/>
  <c r="U139" i="6"/>
  <c r="U147" i="7"/>
  <c r="U139" i="7"/>
  <c r="U147" i="6"/>
  <c r="P139" i="17"/>
  <c r="P147" i="17"/>
  <c r="R139" i="17"/>
  <c r="O147" i="17"/>
  <c r="O139" i="17"/>
  <c r="T147" i="17"/>
  <c r="T139" i="17"/>
  <c r="U139" i="17"/>
  <c r="U147" i="17"/>
  <c r="S147" i="6"/>
  <c r="S139" i="6"/>
  <c r="S147" i="7"/>
  <c r="S139" i="7"/>
  <c r="W139" i="9"/>
  <c r="W147" i="9"/>
  <c r="Q139" i="6"/>
  <c r="Q147" i="6"/>
  <c r="Q147" i="7"/>
  <c r="Q139" i="7"/>
  <c r="I18" i="20"/>
  <c r="I110" i="20" s="1"/>
  <c r="K18" i="20"/>
  <c r="K110" i="20" s="1"/>
  <c r="AK143" i="6"/>
  <c r="AL143" i="6" s="1"/>
  <c r="T147" i="7"/>
  <c r="W139" i="7"/>
  <c r="X18" i="21"/>
  <c r="AJ116" i="13"/>
  <c r="AB18" i="21"/>
  <c r="AK143" i="9"/>
  <c r="AL143" i="9" s="1"/>
  <c r="AL143" i="16"/>
  <c r="M18" i="21"/>
  <c r="AA18" i="21"/>
  <c r="AA110" i="21" s="1"/>
  <c r="AF18" i="21"/>
  <c r="H18" i="20"/>
  <c r="H110" i="20" s="1"/>
  <c r="J18" i="20"/>
  <c r="J110" i="20" s="1"/>
  <c r="L18" i="20"/>
  <c r="L110" i="20" s="1"/>
  <c r="O139" i="9"/>
  <c r="O147" i="9"/>
  <c r="N139" i="17"/>
  <c r="N147" i="17"/>
  <c r="M134" i="17"/>
  <c r="N134" i="16" s="1"/>
  <c r="M126" i="17"/>
  <c r="N126" i="16" s="1"/>
  <c r="N139" i="9"/>
  <c r="N147" i="9"/>
  <c r="AK149" i="9"/>
  <c r="AL149" i="9" s="1"/>
  <c r="N139" i="6"/>
  <c r="N147" i="6"/>
  <c r="AK149" i="6"/>
  <c r="AL149" i="6" s="1"/>
  <c r="N147" i="7"/>
  <c r="N139" i="7"/>
  <c r="AK261" i="9" l="1"/>
  <c r="AL261" i="9" s="1"/>
  <c r="D62" i="20"/>
  <c r="E10" i="30"/>
  <c r="M10" i="30" s="1"/>
  <c r="AI132" i="21"/>
  <c r="H41" i="20"/>
  <c r="H129" i="20" s="1"/>
  <c r="H176" i="20" s="1"/>
  <c r="K87" i="21"/>
  <c r="K161" i="21"/>
  <c r="D135" i="20"/>
  <c r="D137" i="20" s="1"/>
  <c r="D139" i="20" s="1"/>
  <c r="D150" i="20" s="1"/>
  <c r="D151" i="20" s="1"/>
  <c r="D152" i="20" s="1"/>
  <c r="D176" i="20"/>
  <c r="D182" i="20" s="1"/>
  <c r="D184" i="20" s="1"/>
  <c r="D186" i="20" s="1"/>
  <c r="K179" i="21"/>
  <c r="K135" i="21"/>
  <c r="K137" i="21" s="1"/>
  <c r="K139" i="21" s="1"/>
  <c r="K150" i="21" s="1"/>
  <c r="K151" i="21" s="1"/>
  <c r="K152" i="21" s="1"/>
  <c r="K159" i="21" s="1"/>
  <c r="U148" i="9"/>
  <c r="M126" i="7"/>
  <c r="H10" i="30"/>
  <c r="I132" i="21"/>
  <c r="AK44" i="21"/>
  <c r="AN44" i="21" s="1"/>
  <c r="O179" i="20"/>
  <c r="AM179" i="21"/>
  <c r="AG269" i="9"/>
  <c r="AG272" i="9"/>
  <c r="AG249" i="9"/>
  <c r="C213" i="20"/>
  <c r="AM213" i="21" s="1"/>
  <c r="AN213" i="21" s="1"/>
  <c r="AM205" i="21"/>
  <c r="AN205" i="21" s="1"/>
  <c r="N60" i="61"/>
  <c r="N62" i="61" s="1"/>
  <c r="N15" i="60" s="1"/>
  <c r="M60" i="61"/>
  <c r="M62" i="61" s="1"/>
  <c r="M15" i="60" s="1"/>
  <c r="H60" i="61"/>
  <c r="H62" i="61" s="1"/>
  <c r="H15" i="60" s="1"/>
  <c r="L60" i="61"/>
  <c r="L62" i="61" s="1"/>
  <c r="L15" i="60" s="1"/>
  <c r="E62" i="61"/>
  <c r="E15" i="60" s="1"/>
  <c r="G60" i="61"/>
  <c r="G62" i="61" s="1"/>
  <c r="G15" i="60" s="1"/>
  <c r="K60" i="61"/>
  <c r="K62" i="61" s="1"/>
  <c r="K15" i="60" s="1"/>
  <c r="J60" i="61"/>
  <c r="J62" i="61" s="1"/>
  <c r="J15" i="60" s="1"/>
  <c r="F60" i="61"/>
  <c r="I60" i="61"/>
  <c r="I62" i="61" s="1"/>
  <c r="I15" i="60" s="1"/>
  <c r="U15" i="60" s="1"/>
  <c r="N134" i="9"/>
  <c r="N136" i="9" s="1"/>
  <c r="L254" i="8"/>
  <c r="M254" i="9" s="1"/>
  <c r="X150" i="9"/>
  <c r="X152" i="9" s="1"/>
  <c r="X243" i="9" s="1"/>
  <c r="AK126" i="6"/>
  <c r="AL126" i="6" s="1"/>
  <c r="Q22" i="62"/>
  <c r="Q20" i="28"/>
  <c r="AL149" i="16"/>
  <c r="L152" i="16"/>
  <c r="L241" i="16" s="1"/>
  <c r="D241" i="16"/>
  <c r="AH171" i="3"/>
  <c r="Q171" i="2"/>
  <c r="X171" i="3"/>
  <c r="M171" i="2"/>
  <c r="Q244" i="15"/>
  <c r="R26" i="75" s="1"/>
  <c r="O26" i="75"/>
  <c r="N443" i="1"/>
  <c r="R25" i="75"/>
  <c r="Q25" i="75"/>
  <c r="P443" i="1"/>
  <c r="L25" i="75"/>
  <c r="O180" i="20"/>
  <c r="AM180" i="21"/>
  <c r="E60" i="29"/>
  <c r="AK178" i="21"/>
  <c r="AN178" i="21" s="1"/>
  <c r="H14" i="60"/>
  <c r="U13" i="60"/>
  <c r="P39" i="30"/>
  <c r="Q39" i="30" s="1"/>
  <c r="F41" i="30"/>
  <c r="P39" i="61"/>
  <c r="Q39" i="61" s="1"/>
  <c r="F41" i="61"/>
  <c r="P39" i="55"/>
  <c r="Q39" i="55" s="1"/>
  <c r="F41" i="55"/>
  <c r="P39" i="29"/>
  <c r="Q39" i="29" s="1"/>
  <c r="F41" i="29"/>
  <c r="P39" i="57"/>
  <c r="Q39" i="57" s="1"/>
  <c r="F41" i="57"/>
  <c r="P39" i="25"/>
  <c r="Q39" i="25" s="1"/>
  <c r="F41" i="25"/>
  <c r="F92" i="36"/>
  <c r="P22" i="36"/>
  <c r="Q22" i="36" s="1"/>
  <c r="Q22" i="28"/>
  <c r="AG253" i="6"/>
  <c r="AG270" i="9"/>
  <c r="AG263" i="9"/>
  <c r="AG265" i="6"/>
  <c r="AL256" i="9"/>
  <c r="AG267" i="6"/>
  <c r="AG251" i="9"/>
  <c r="AG268" i="9"/>
  <c r="AK219" i="16"/>
  <c r="AL219" i="16" s="1"/>
  <c r="L150" i="15"/>
  <c r="X134" i="17"/>
  <c r="Z134" i="16" s="1"/>
  <c r="X126" i="17"/>
  <c r="Z126" i="16" s="1"/>
  <c r="Q254" i="8"/>
  <c r="AH254" i="9" s="1"/>
  <c r="P254" i="8"/>
  <c r="AF254" i="9" s="1"/>
  <c r="AG254" i="9" s="1"/>
  <c r="O254" i="8"/>
  <c r="AB254" i="9" s="1"/>
  <c r="M254" i="8"/>
  <c r="X254" i="9" s="1"/>
  <c r="J31" i="75"/>
  <c r="K254" i="8"/>
  <c r="L254" i="9" s="1"/>
  <c r="S152" i="8"/>
  <c r="T152" i="8" s="1"/>
  <c r="S150" i="8"/>
  <c r="T150" i="8" s="1"/>
  <c r="U134" i="9"/>
  <c r="U136" i="9" s="1"/>
  <c r="U150" i="9" s="1"/>
  <c r="U152" i="9" s="1"/>
  <c r="U243" i="9" s="1"/>
  <c r="T134" i="9"/>
  <c r="P134" i="9"/>
  <c r="Q134" i="9"/>
  <c r="S134" i="9"/>
  <c r="W134" i="9"/>
  <c r="W136" i="9" s="1"/>
  <c r="V134" i="9"/>
  <c r="R134" i="9"/>
  <c r="M136" i="9"/>
  <c r="M150" i="9" s="1"/>
  <c r="M152" i="9" s="1"/>
  <c r="M243" i="9" s="1"/>
  <c r="O126" i="9"/>
  <c r="O136" i="9" s="1"/>
  <c r="P126" i="9"/>
  <c r="P136" i="9" s="1"/>
  <c r="R126" i="9"/>
  <c r="R136" i="9" s="1"/>
  <c r="V126" i="9"/>
  <c r="T126" i="9"/>
  <c r="Q126" i="9"/>
  <c r="S126" i="9"/>
  <c r="H469" i="1"/>
  <c r="I32" i="75" s="1"/>
  <c r="I29" i="75"/>
  <c r="AK44" i="9"/>
  <c r="AL44" i="9" s="1"/>
  <c r="D243" i="6"/>
  <c r="S242" i="8"/>
  <c r="T242" i="8" s="1"/>
  <c r="N243" i="8"/>
  <c r="N254" i="8" s="1"/>
  <c r="K31" i="75"/>
  <c r="J254" i="8"/>
  <c r="D254" i="9" s="1"/>
  <c r="M41" i="21"/>
  <c r="M129" i="21" s="1"/>
  <c r="M176" i="21" s="1"/>
  <c r="M254" i="5"/>
  <c r="I41" i="20"/>
  <c r="I129" i="20" s="1"/>
  <c r="I176" i="20" s="1"/>
  <c r="P30" i="75"/>
  <c r="K41" i="20"/>
  <c r="K129" i="20" s="1"/>
  <c r="K176" i="20" s="1"/>
  <c r="G41" i="20"/>
  <c r="L41" i="20"/>
  <c r="L129" i="20" s="1"/>
  <c r="L176" i="20" s="1"/>
  <c r="J242" i="5"/>
  <c r="J243" i="5" s="1"/>
  <c r="F41" i="20" s="1"/>
  <c r="S222" i="5"/>
  <c r="T222" i="5" s="1"/>
  <c r="M41" i="20"/>
  <c r="M129" i="20" s="1"/>
  <c r="M176" i="20" s="1"/>
  <c r="L222" i="6"/>
  <c r="L242" i="6" s="1"/>
  <c r="L243" i="6" s="1"/>
  <c r="L41" i="21" s="1"/>
  <c r="Y221" i="16"/>
  <c r="AK221" i="16" s="1"/>
  <c r="AC221" i="6"/>
  <c r="AC222" i="6" s="1"/>
  <c r="AC242" i="6" s="1"/>
  <c r="AC243" i="6" s="1"/>
  <c r="AD221" i="6"/>
  <c r="AD222" i="6" s="1"/>
  <c r="AD242" i="6" s="1"/>
  <c r="AD243" i="6" s="1"/>
  <c r="AE221" i="6"/>
  <c r="AE222" i="6" s="1"/>
  <c r="AE242" i="6" s="1"/>
  <c r="AE243" i="6" s="1"/>
  <c r="AB222" i="6"/>
  <c r="AB242" i="6" s="1"/>
  <c r="AB243" i="6" s="1"/>
  <c r="AH41" i="21"/>
  <c r="AH129" i="21" s="1"/>
  <c r="AH176" i="21" s="1"/>
  <c r="E60" i="26" s="1"/>
  <c r="Z221" i="6"/>
  <c r="Z222" i="6" s="1"/>
  <c r="Z242" i="6" s="1"/>
  <c r="Z243" i="6" s="1"/>
  <c r="Y221" i="6"/>
  <c r="Y222" i="6" s="1"/>
  <c r="Y242" i="6" s="1"/>
  <c r="X222" i="6"/>
  <c r="X242" i="6" s="1"/>
  <c r="X243" i="6" s="1"/>
  <c r="O241" i="15"/>
  <c r="O242" i="15" s="1"/>
  <c r="I48" i="26"/>
  <c r="L48" i="26"/>
  <c r="N48" i="26"/>
  <c r="AK229" i="6"/>
  <c r="AL229" i="6" s="1"/>
  <c r="M134" i="7"/>
  <c r="N134" i="6" s="1"/>
  <c r="N136" i="6" s="1"/>
  <c r="W148" i="6"/>
  <c r="Q148" i="9"/>
  <c r="AG41" i="21"/>
  <c r="AG129" i="21" s="1"/>
  <c r="AG176" i="21" s="1"/>
  <c r="E57" i="26" s="1"/>
  <c r="G48" i="26"/>
  <c r="K48" i="26"/>
  <c r="F48" i="26"/>
  <c r="J48" i="26"/>
  <c r="H48" i="26"/>
  <c r="N243" i="5"/>
  <c r="M48" i="26"/>
  <c r="AK230" i="6"/>
  <c r="AL230" i="6" s="1"/>
  <c r="J242" i="15"/>
  <c r="AE227" i="16"/>
  <c r="AC227" i="16"/>
  <c r="AB229" i="16"/>
  <c r="AD227" i="16"/>
  <c r="AB228" i="16"/>
  <c r="AB240" i="16" s="1"/>
  <c r="H243" i="15"/>
  <c r="N25" i="75"/>
  <c r="L26" i="75"/>
  <c r="Y215" i="16"/>
  <c r="X220" i="16"/>
  <c r="X241" i="16" s="1"/>
  <c r="Z215" i="16"/>
  <c r="Z220" i="16" s="1"/>
  <c r="Z241" i="16" s="1"/>
  <c r="I242" i="15"/>
  <c r="M273" i="1" s="1"/>
  <c r="I276" i="15"/>
  <c r="I278" i="15" s="1"/>
  <c r="AJ240" i="16"/>
  <c r="Q26" i="75"/>
  <c r="S221" i="15"/>
  <c r="T221" i="15" s="1"/>
  <c r="AJ241" i="16"/>
  <c r="X134" i="7"/>
  <c r="Z134" i="9" s="1"/>
  <c r="Z136" i="9" s="1"/>
  <c r="Z150" i="9" s="1"/>
  <c r="Z152" i="9" s="1"/>
  <c r="Z243" i="9" s="1"/>
  <c r="M30" i="75"/>
  <c r="L254" i="5"/>
  <c r="AK93" i="6"/>
  <c r="AL93" i="6" s="1"/>
  <c r="AK74" i="21"/>
  <c r="J75" i="21"/>
  <c r="AI75" i="21" s="1"/>
  <c r="F74" i="20"/>
  <c r="D74" i="21"/>
  <c r="P148" i="6"/>
  <c r="S148" i="6"/>
  <c r="U148" i="6"/>
  <c r="P148" i="9"/>
  <c r="AK147" i="6"/>
  <c r="AL147" i="6" s="1"/>
  <c r="J184" i="2"/>
  <c r="S184" i="2" s="1"/>
  <c r="T184" i="2" s="1"/>
  <c r="Q148" i="6"/>
  <c r="I469" i="1"/>
  <c r="J29" i="75"/>
  <c r="O148" i="9"/>
  <c r="R150" i="9"/>
  <c r="R152" i="9" s="1"/>
  <c r="R243" i="9" s="1"/>
  <c r="J181" i="2"/>
  <c r="S181" i="2" s="1"/>
  <c r="T181" i="2" s="1"/>
  <c r="S178" i="2"/>
  <c r="T178" i="2" s="1"/>
  <c r="M139" i="7"/>
  <c r="M147" i="7"/>
  <c r="AK147" i="9"/>
  <c r="AL147" i="9" s="1"/>
  <c r="D171" i="3"/>
  <c r="J171" i="2"/>
  <c r="S179" i="2"/>
  <c r="T179" i="2" s="1"/>
  <c r="W148" i="9"/>
  <c r="R148" i="6"/>
  <c r="N148" i="6"/>
  <c r="AK139" i="6"/>
  <c r="AL139" i="6" s="1"/>
  <c r="N148" i="9"/>
  <c r="AK139" i="9"/>
  <c r="AL139" i="9" s="1"/>
  <c r="O126" i="16"/>
  <c r="V126" i="16"/>
  <c r="W126" i="16"/>
  <c r="Q126" i="16"/>
  <c r="P126" i="16"/>
  <c r="T126" i="16"/>
  <c r="S126" i="16"/>
  <c r="R126" i="16"/>
  <c r="U126" i="16"/>
  <c r="P134" i="6"/>
  <c r="P136" i="6" s="1"/>
  <c r="Q134" i="6"/>
  <c r="Q136" i="6" s="1"/>
  <c r="T134" i="6"/>
  <c r="T136" i="6" s="1"/>
  <c r="T150" i="6" s="1"/>
  <c r="T152" i="6" s="1"/>
  <c r="T243" i="6" s="1"/>
  <c r="O134" i="16"/>
  <c r="Q134" i="16"/>
  <c r="R134" i="16"/>
  <c r="P134" i="16"/>
  <c r="W134" i="16"/>
  <c r="U134" i="16"/>
  <c r="V134" i="16"/>
  <c r="T134" i="16"/>
  <c r="S134" i="16"/>
  <c r="M147" i="17"/>
  <c r="N147" i="16" s="1"/>
  <c r="N136" i="16"/>
  <c r="M139" i="17"/>
  <c r="N139" i="16" s="1"/>
  <c r="K10" i="30" l="1"/>
  <c r="F10" i="30"/>
  <c r="G10" i="30"/>
  <c r="N10" i="30"/>
  <c r="I10" i="30"/>
  <c r="L10" i="30"/>
  <c r="J10" i="30"/>
  <c r="E20" i="30"/>
  <c r="K182" i="21"/>
  <c r="K184" i="21" s="1"/>
  <c r="K186" i="21" s="1"/>
  <c r="K197" i="21" s="1"/>
  <c r="D41" i="21"/>
  <c r="Y126" i="16"/>
  <c r="I179" i="21"/>
  <c r="AI179" i="21" s="1"/>
  <c r="AK132" i="21"/>
  <c r="AN132" i="21" s="1"/>
  <c r="D132" i="21"/>
  <c r="D179" i="21" s="1"/>
  <c r="P60" i="61"/>
  <c r="Q60" i="61" s="1"/>
  <c r="V136" i="9"/>
  <c r="V150" i="9" s="1"/>
  <c r="V152" i="9" s="1"/>
  <c r="V243" i="9" s="1"/>
  <c r="S134" i="6"/>
  <c r="S136" i="6" s="1"/>
  <c r="R134" i="6"/>
  <c r="R136" i="6" s="1"/>
  <c r="W134" i="6"/>
  <c r="W136" i="6" s="1"/>
  <c r="W150" i="6" s="1"/>
  <c r="W152" i="6" s="1"/>
  <c r="W243" i="6" s="1"/>
  <c r="V134" i="6"/>
  <c r="V136" i="6" s="1"/>
  <c r="V150" i="6" s="1"/>
  <c r="V152" i="6" s="1"/>
  <c r="V243" i="6" s="1"/>
  <c r="O254" i="5"/>
  <c r="AB254" i="6" s="1"/>
  <c r="P150" i="6"/>
  <c r="P152" i="6" s="1"/>
  <c r="P243" i="6" s="1"/>
  <c r="P150" i="9"/>
  <c r="P152" i="9" s="1"/>
  <c r="P243" i="9" s="1"/>
  <c r="Y134" i="16"/>
  <c r="Y136" i="16" s="1"/>
  <c r="Y150" i="16" s="1"/>
  <c r="Y152" i="16" s="1"/>
  <c r="P26" i="75"/>
  <c r="O443" i="1"/>
  <c r="N171" i="2"/>
  <c r="AA171" i="3"/>
  <c r="AF171" i="3"/>
  <c r="AG171" i="3" s="1"/>
  <c r="P171" i="2"/>
  <c r="E62" i="29"/>
  <c r="K60" i="29"/>
  <c r="K62" i="29" s="1"/>
  <c r="H60" i="29"/>
  <c r="H62" i="29" s="1"/>
  <c r="G60" i="29"/>
  <c r="G62" i="29" s="1"/>
  <c r="N60" i="29"/>
  <c r="N62" i="29" s="1"/>
  <c r="F60" i="29"/>
  <c r="M60" i="29"/>
  <c r="M62" i="29" s="1"/>
  <c r="J60" i="29"/>
  <c r="J62" i="29" s="1"/>
  <c r="I60" i="29"/>
  <c r="I62" i="29" s="1"/>
  <c r="L60" i="29"/>
  <c r="L62" i="29" s="1"/>
  <c r="P41" i="25"/>
  <c r="Q41" i="25" s="1"/>
  <c r="F62" i="25"/>
  <c r="P62" i="25" s="1"/>
  <c r="Q62" i="25" s="1"/>
  <c r="P41" i="55"/>
  <c r="Q41" i="55" s="1"/>
  <c r="F62" i="55"/>
  <c r="P62" i="55" s="1"/>
  <c r="Q62" i="55" s="1"/>
  <c r="P41" i="61"/>
  <c r="Q41" i="61" s="1"/>
  <c r="F62" i="61"/>
  <c r="P41" i="57"/>
  <c r="Q41" i="57" s="1"/>
  <c r="F62" i="57"/>
  <c r="U14" i="60"/>
  <c r="P41" i="29"/>
  <c r="Q41" i="29" s="1"/>
  <c r="P41" i="30"/>
  <c r="Q41" i="30" s="1"/>
  <c r="P25" i="75"/>
  <c r="L152" i="15"/>
  <c r="S150" i="15"/>
  <c r="T150" i="15" s="1"/>
  <c r="O273" i="1"/>
  <c r="O409" i="1" s="1"/>
  <c r="W150" i="9"/>
  <c r="W152" i="9" s="1"/>
  <c r="W243" i="9" s="1"/>
  <c r="Q136" i="9"/>
  <c r="Q150" i="9" s="1"/>
  <c r="Q152" i="9" s="1"/>
  <c r="Q243" i="9" s="1"/>
  <c r="T136" i="9"/>
  <c r="T150" i="9" s="1"/>
  <c r="T152" i="9" s="1"/>
  <c r="T243" i="9" s="1"/>
  <c r="S136" i="9"/>
  <c r="S150" i="9" s="1"/>
  <c r="S152" i="9" s="1"/>
  <c r="S243" i="9" s="1"/>
  <c r="O150" i="9"/>
  <c r="O152" i="9" s="1"/>
  <c r="O243" i="9" s="1"/>
  <c r="AK126" i="9"/>
  <c r="AL126" i="9" s="1"/>
  <c r="K30" i="75"/>
  <c r="S242" i="5"/>
  <c r="T242" i="5" s="1"/>
  <c r="AE41" i="21"/>
  <c r="AE129" i="21" s="1"/>
  <c r="AE176" i="21" s="1"/>
  <c r="E53" i="26" s="1"/>
  <c r="J53" i="26" s="1"/>
  <c r="N30" i="75"/>
  <c r="AK222" i="6"/>
  <c r="AL222" i="6" s="1"/>
  <c r="O31" i="75"/>
  <c r="T31" i="75" s="1"/>
  <c r="U31" i="75" s="1"/>
  <c r="S244" i="8"/>
  <c r="T244" i="8" s="1"/>
  <c r="S243" i="8"/>
  <c r="T243" i="8" s="1"/>
  <c r="AB41" i="21"/>
  <c r="AB129" i="21" s="1"/>
  <c r="AB176" i="21" s="1"/>
  <c r="AD41" i="21"/>
  <c r="AD129" i="21" s="1"/>
  <c r="AD176" i="21" s="1"/>
  <c r="E52" i="26" s="1"/>
  <c r="Z41" i="21"/>
  <c r="Z129" i="21" s="1"/>
  <c r="Z176" i="21" s="1"/>
  <c r="E45" i="26" s="1"/>
  <c r="I45" i="26" s="1"/>
  <c r="X41" i="21"/>
  <c r="X129" i="21" s="1"/>
  <c r="X176" i="21" s="1"/>
  <c r="AC41" i="21"/>
  <c r="AC129" i="21" s="1"/>
  <c r="AC176" i="21" s="1"/>
  <c r="E51" i="26" s="1"/>
  <c r="S243" i="5"/>
  <c r="T243" i="5" s="1"/>
  <c r="J60" i="26"/>
  <c r="G60" i="26"/>
  <c r="L60" i="26"/>
  <c r="M60" i="26"/>
  <c r="K60" i="26"/>
  <c r="H60" i="26"/>
  <c r="F60" i="26"/>
  <c r="I60" i="26"/>
  <c r="N60" i="26"/>
  <c r="Q30" i="75"/>
  <c r="P254" i="5"/>
  <c r="K254" i="5"/>
  <c r="L30" i="75"/>
  <c r="AK242" i="6"/>
  <c r="AL242" i="6" s="1"/>
  <c r="AK221" i="6"/>
  <c r="AL221" i="6" s="1"/>
  <c r="Q254" i="5"/>
  <c r="R30" i="75"/>
  <c r="O243" i="15"/>
  <c r="S241" i="15"/>
  <c r="T241" i="15" s="1"/>
  <c r="O134" i="6"/>
  <c r="O136" i="6" s="1"/>
  <c r="O150" i="6" s="1"/>
  <c r="O152" i="6" s="1"/>
  <c r="O243" i="6" s="1"/>
  <c r="O41" i="21" s="1"/>
  <c r="U134" i="6"/>
  <c r="U136" i="6" s="1"/>
  <c r="P48" i="26"/>
  <c r="Q48" i="26" s="1"/>
  <c r="AB241" i="16"/>
  <c r="AB270" i="17" s="1"/>
  <c r="AA254" i="9"/>
  <c r="S254" i="8"/>
  <c r="T254" i="8" s="1"/>
  <c r="H57" i="26"/>
  <c r="H58" i="26" s="1"/>
  <c r="N57" i="26"/>
  <c r="N58" i="26" s="1"/>
  <c r="J57" i="26"/>
  <c r="J58" i="26" s="1"/>
  <c r="L57" i="26"/>
  <c r="L58" i="26" s="1"/>
  <c r="E58" i="26"/>
  <c r="F57" i="26"/>
  <c r="G57" i="26"/>
  <c r="G58" i="26" s="1"/>
  <c r="K57" i="26"/>
  <c r="K58" i="26" s="1"/>
  <c r="I57" i="26"/>
  <c r="I58" i="26" s="1"/>
  <c r="M57" i="26"/>
  <c r="M58" i="26" s="1"/>
  <c r="J41" i="20"/>
  <c r="J129" i="20" s="1"/>
  <c r="J176" i="20" s="1"/>
  <c r="AJ275" i="16"/>
  <c r="AJ277" i="16" s="1"/>
  <c r="Y243" i="6"/>
  <c r="AE229" i="16"/>
  <c r="AE228" i="16"/>
  <c r="AB182" i="4"/>
  <c r="AB154" i="4"/>
  <c r="AB123" i="4"/>
  <c r="AB124" i="4"/>
  <c r="Z253" i="7"/>
  <c r="Z269" i="7"/>
  <c r="Z270" i="7"/>
  <c r="Z268" i="17"/>
  <c r="Z247" i="17"/>
  <c r="AB138" i="4"/>
  <c r="AB171" i="4"/>
  <c r="AB181" i="4"/>
  <c r="AB129" i="4"/>
  <c r="Z254" i="7"/>
  <c r="Z272" i="7"/>
  <c r="Z252" i="17"/>
  <c r="Z263" i="17"/>
  <c r="Z249" i="17"/>
  <c r="AB121" i="4"/>
  <c r="AB137" i="4"/>
  <c r="AB184" i="4"/>
  <c r="AB183" i="4"/>
  <c r="AB179" i="4"/>
  <c r="Z249" i="7"/>
  <c r="Z263" i="7"/>
  <c r="Z265" i="7"/>
  <c r="Z251" i="17"/>
  <c r="Z270" i="17"/>
  <c r="Z267" i="17"/>
  <c r="AB178" i="4"/>
  <c r="AB122" i="4"/>
  <c r="Z251" i="7"/>
  <c r="Z267" i="7"/>
  <c r="Z268" i="7"/>
  <c r="Z261" i="17"/>
  <c r="Z265" i="17"/>
  <c r="Z266" i="17"/>
  <c r="M409" i="1"/>
  <c r="M276" i="1"/>
  <c r="AC228" i="16"/>
  <c r="AC229" i="16"/>
  <c r="AK227" i="16"/>
  <c r="AL227" i="16" s="1"/>
  <c r="Y220" i="16"/>
  <c r="AK215" i="16"/>
  <c r="AL215" i="16" s="1"/>
  <c r="N26" i="75"/>
  <c r="AD229" i="16"/>
  <c r="AD228" i="16"/>
  <c r="J273" i="1"/>
  <c r="K25" i="75"/>
  <c r="J243" i="15"/>
  <c r="K243" i="15"/>
  <c r="Q243" i="15"/>
  <c r="K273" i="1"/>
  <c r="Q273" i="1"/>
  <c r="P273" i="1"/>
  <c r="N243" i="15"/>
  <c r="P243" i="15"/>
  <c r="N273" i="1"/>
  <c r="M243" i="15"/>
  <c r="I26" i="75"/>
  <c r="H245" i="15"/>
  <c r="X254" i="6"/>
  <c r="M254" i="6"/>
  <c r="Y134" i="9"/>
  <c r="AK97" i="6"/>
  <c r="AL97" i="6" s="1"/>
  <c r="AK75" i="21"/>
  <c r="D75" i="21"/>
  <c r="AK41" i="21"/>
  <c r="AN39" i="21"/>
  <c r="E74" i="20"/>
  <c r="C74" i="20" s="1"/>
  <c r="AM74" i="21" s="1"/>
  <c r="AN74" i="21" s="1"/>
  <c r="F75" i="20"/>
  <c r="E75" i="20" s="1"/>
  <c r="C75" i="20" s="1"/>
  <c r="AM75" i="21" s="1"/>
  <c r="F129" i="20"/>
  <c r="R136" i="16"/>
  <c r="Q136" i="16"/>
  <c r="AL134" i="16"/>
  <c r="S136" i="16"/>
  <c r="W136" i="16"/>
  <c r="S150" i="6"/>
  <c r="S152" i="6" s="1"/>
  <c r="S243" i="6" s="1"/>
  <c r="U136" i="16"/>
  <c r="R150" i="6"/>
  <c r="R152" i="6" s="1"/>
  <c r="R243" i="6" s="1"/>
  <c r="T41" i="21"/>
  <c r="AL126" i="16"/>
  <c r="J32" i="75"/>
  <c r="T136" i="16"/>
  <c r="V136" i="16"/>
  <c r="D18" i="21"/>
  <c r="J281" i="8"/>
  <c r="V41" i="21"/>
  <c r="P136" i="16"/>
  <c r="O136" i="16"/>
  <c r="Q150" i="6"/>
  <c r="Q152" i="6" s="1"/>
  <c r="Q243" i="6" s="1"/>
  <c r="S175" i="2"/>
  <c r="T175" i="2" s="1"/>
  <c r="N148" i="16"/>
  <c r="N150" i="9"/>
  <c r="AK148" i="9"/>
  <c r="AL148" i="9" s="1"/>
  <c r="N150" i="6"/>
  <c r="AK148" i="6"/>
  <c r="AL148" i="6" s="1"/>
  <c r="P139" i="16"/>
  <c r="V139" i="16"/>
  <c r="Q139" i="16"/>
  <c r="S139" i="16"/>
  <c r="U139" i="16"/>
  <c r="T139" i="16"/>
  <c r="R139" i="16"/>
  <c r="O139" i="16"/>
  <c r="W139" i="16"/>
  <c r="V147" i="16"/>
  <c r="R147" i="16"/>
  <c r="U147" i="16"/>
  <c r="W147" i="16"/>
  <c r="O147" i="16"/>
  <c r="P147" i="16"/>
  <c r="Q147" i="16"/>
  <c r="T147" i="16"/>
  <c r="S147" i="16"/>
  <c r="P10" i="30" l="1"/>
  <c r="I152" i="16"/>
  <c r="I241" i="16" s="1"/>
  <c r="K198" i="21"/>
  <c r="E20" i="32" s="1"/>
  <c r="E15" i="30"/>
  <c r="E16" i="30" s="1"/>
  <c r="AK179" i="21"/>
  <c r="AN179" i="21" s="1"/>
  <c r="S244" i="5"/>
  <c r="T244" i="5" s="1"/>
  <c r="L20" i="30"/>
  <c r="L20" i="62" s="1"/>
  <c r="M20" i="30"/>
  <c r="M20" i="62" s="1"/>
  <c r="G20" i="30"/>
  <c r="G20" i="62" s="1"/>
  <c r="N20" i="30"/>
  <c r="N20" i="62" s="1"/>
  <c r="H20" i="30"/>
  <c r="H20" i="62" s="1"/>
  <c r="K20" i="30"/>
  <c r="K20" i="62" s="1"/>
  <c r="F20" i="30"/>
  <c r="J20" i="30"/>
  <c r="J20" i="62" s="1"/>
  <c r="I20" i="30"/>
  <c r="I20" i="62" s="1"/>
  <c r="W41" i="21"/>
  <c r="AK136" i="6"/>
  <c r="AL136" i="6" s="1"/>
  <c r="U150" i="6"/>
  <c r="U152" i="6" s="1"/>
  <c r="U243" i="6" s="1"/>
  <c r="J254" i="5"/>
  <c r="D254" i="6" s="1"/>
  <c r="P41" i="21"/>
  <c r="P129" i="21" s="1"/>
  <c r="N45" i="26"/>
  <c r="AK134" i="6"/>
  <c r="AL134" i="6" s="1"/>
  <c r="J45" i="26"/>
  <c r="H45" i="26"/>
  <c r="M45" i="26"/>
  <c r="G45" i="26"/>
  <c r="K45" i="26"/>
  <c r="F45" i="26"/>
  <c r="L45" i="26"/>
  <c r="O277" i="5"/>
  <c r="O279" i="5" s="1"/>
  <c r="O280" i="5" s="1"/>
  <c r="K53" i="26"/>
  <c r="H53" i="26"/>
  <c r="N53" i="26"/>
  <c r="G53" i="26"/>
  <c r="I53" i="26"/>
  <c r="F53" i="26"/>
  <c r="L53" i="26"/>
  <c r="M53" i="26"/>
  <c r="AB263" i="17"/>
  <c r="O171" i="2"/>
  <c r="S171" i="2" s="1"/>
  <c r="T171" i="2" s="1"/>
  <c r="AB171" i="3"/>
  <c r="AB267" i="17"/>
  <c r="AB268" i="7"/>
  <c r="O276" i="1"/>
  <c r="P60" i="29"/>
  <c r="Q60" i="29" s="1"/>
  <c r="F62" i="29"/>
  <c r="P62" i="29" s="1"/>
  <c r="Q62" i="29" s="1"/>
  <c r="F13" i="60"/>
  <c r="P62" i="57"/>
  <c r="Q62" i="57" s="1"/>
  <c r="F15" i="60"/>
  <c r="P62" i="61"/>
  <c r="Q62" i="61" s="1"/>
  <c r="AB251" i="17"/>
  <c r="AB266" i="17"/>
  <c r="AB269" i="7"/>
  <c r="AB265" i="17"/>
  <c r="AB252" i="17"/>
  <c r="AB265" i="7"/>
  <c r="L242" i="15"/>
  <c r="S152" i="15"/>
  <c r="T152" i="15" s="1"/>
  <c r="AB268" i="17"/>
  <c r="AB249" i="17"/>
  <c r="AB247" i="17"/>
  <c r="AB261" i="17"/>
  <c r="AB270" i="7"/>
  <c r="AB272" i="7"/>
  <c r="AB267" i="7"/>
  <c r="J152" i="16"/>
  <c r="J241" i="16" s="1"/>
  <c r="L154" i="4" s="1"/>
  <c r="E54" i="26"/>
  <c r="K52" i="26"/>
  <c r="M52" i="26"/>
  <c r="G52" i="26"/>
  <c r="J52" i="26"/>
  <c r="N52" i="26"/>
  <c r="H52" i="26"/>
  <c r="F52" i="26"/>
  <c r="L52" i="26"/>
  <c r="I52" i="26"/>
  <c r="AK229" i="16"/>
  <c r="AL229" i="16" s="1"/>
  <c r="AF254" i="6"/>
  <c r="P60" i="26"/>
  <c r="Q60" i="26" s="1"/>
  <c r="L254" i="6"/>
  <c r="AH254" i="6"/>
  <c r="L51" i="26"/>
  <c r="M51" i="26"/>
  <c r="F51" i="26"/>
  <c r="N51" i="26"/>
  <c r="N54" i="26" s="1"/>
  <c r="K51" i="26"/>
  <c r="J51" i="26"/>
  <c r="H51" i="26"/>
  <c r="G51" i="26"/>
  <c r="I51" i="26"/>
  <c r="E41" i="20"/>
  <c r="C41" i="20" s="1"/>
  <c r="AM41" i="21" s="1"/>
  <c r="AN41" i="21" s="1"/>
  <c r="F58" i="26"/>
  <c r="P58" i="26" s="1"/>
  <c r="Q58" i="26" s="1"/>
  <c r="P57" i="26"/>
  <c r="Q57" i="26" s="1"/>
  <c r="N254" i="5"/>
  <c r="O30" i="75"/>
  <c r="T30" i="75" s="1"/>
  <c r="U30" i="75" s="1"/>
  <c r="Q276" i="1"/>
  <c r="Q409" i="1"/>
  <c r="J245" i="15"/>
  <c r="K26" i="75"/>
  <c r="J276" i="1"/>
  <c r="J278" i="1" s="1"/>
  <c r="J409" i="1"/>
  <c r="AE240" i="16"/>
  <c r="AE241" i="16"/>
  <c r="K409" i="1"/>
  <c r="K276" i="1"/>
  <c r="K278" i="1" s="1"/>
  <c r="J26" i="75"/>
  <c r="P245" i="15"/>
  <c r="K245" i="15"/>
  <c r="Q245" i="15"/>
  <c r="N245" i="15"/>
  <c r="AD240" i="16"/>
  <c r="AD241" i="16"/>
  <c r="O412" i="1"/>
  <c r="AB137" i="3"/>
  <c r="O137" i="2"/>
  <c r="O140" i="2" s="1"/>
  <c r="AK228" i="16"/>
  <c r="AL228" i="16" s="1"/>
  <c r="AC240" i="16"/>
  <c r="AC241" i="16"/>
  <c r="P409" i="1"/>
  <c r="P276" i="1"/>
  <c r="AH185" i="3"/>
  <c r="AH18" i="21" s="1"/>
  <c r="AH110" i="21" s="1"/>
  <c r="Q182" i="2"/>
  <c r="Q281" i="8"/>
  <c r="AH281" i="9" s="1"/>
  <c r="Y241" i="16"/>
  <c r="AK220" i="16"/>
  <c r="AL220" i="16" s="1"/>
  <c r="Y41" i="21"/>
  <c r="Y129" i="21" s="1"/>
  <c r="Y176" i="21" s="1"/>
  <c r="E44" i="26" s="1"/>
  <c r="N276" i="1"/>
  <c r="N409" i="1"/>
  <c r="M245" i="15"/>
  <c r="M137" i="2"/>
  <c r="M140" i="2" s="1"/>
  <c r="M412" i="1"/>
  <c r="X137" i="3"/>
  <c r="O245" i="15"/>
  <c r="R41" i="21"/>
  <c r="R129" i="21" s="1"/>
  <c r="L277" i="5"/>
  <c r="L279" i="5" s="1"/>
  <c r="L280" i="5" s="1"/>
  <c r="H42" i="20"/>
  <c r="M42" i="21"/>
  <c r="M277" i="6"/>
  <c r="M279" i="6" s="1"/>
  <c r="I42" i="20"/>
  <c r="M277" i="5"/>
  <c r="M279" i="5" s="1"/>
  <c r="M280" i="5" s="1"/>
  <c r="AB277" i="6"/>
  <c r="AB279" i="6" s="1"/>
  <c r="AB42" i="21"/>
  <c r="Y136" i="9"/>
  <c r="AK134" i="9"/>
  <c r="AL134" i="9" s="1"/>
  <c r="AN75" i="21"/>
  <c r="F176" i="20"/>
  <c r="E129" i="20"/>
  <c r="C129" i="20" s="1"/>
  <c r="S41" i="21"/>
  <c r="S129" i="21" s="1"/>
  <c r="T148" i="16"/>
  <c r="T150" i="16" s="1"/>
  <c r="T152" i="16" s="1"/>
  <c r="T241" i="16" s="1"/>
  <c r="V148" i="16"/>
  <c r="V150" i="16" s="1"/>
  <c r="V152" i="16" s="1"/>
  <c r="V241" i="16" s="1"/>
  <c r="AL147" i="16"/>
  <c r="R148" i="16"/>
  <c r="R150" i="16" s="1"/>
  <c r="R152" i="16" s="1"/>
  <c r="R241" i="16" s="1"/>
  <c r="AL136" i="16"/>
  <c r="Q148" i="16"/>
  <c r="Q150" i="16" s="1"/>
  <c r="Q152" i="16" s="1"/>
  <c r="Q241" i="16" s="1"/>
  <c r="F18" i="20"/>
  <c r="V129" i="21"/>
  <c r="W148" i="16"/>
  <c r="W150" i="16" s="1"/>
  <c r="W152" i="16" s="1"/>
  <c r="W241" i="16" s="1"/>
  <c r="U148" i="16"/>
  <c r="U150" i="16" s="1"/>
  <c r="U152" i="16" s="1"/>
  <c r="U241" i="16" s="1"/>
  <c r="P148" i="16"/>
  <c r="P150" i="16" s="1"/>
  <c r="P152" i="16" s="1"/>
  <c r="P241" i="16" s="1"/>
  <c r="AL139" i="16"/>
  <c r="W129" i="21"/>
  <c r="Q41" i="21"/>
  <c r="O129" i="21"/>
  <c r="T129" i="21"/>
  <c r="O148" i="16"/>
  <c r="O150" i="16" s="1"/>
  <c r="O152" i="16" s="1"/>
  <c r="O241" i="16" s="1"/>
  <c r="S148" i="16"/>
  <c r="S150" i="16" s="1"/>
  <c r="S152" i="16" s="1"/>
  <c r="S241" i="16" s="1"/>
  <c r="D281" i="9"/>
  <c r="N152" i="6"/>
  <c r="N152" i="9"/>
  <c r="N150" i="16"/>
  <c r="K123" i="4" l="1"/>
  <c r="K178" i="4"/>
  <c r="K183" i="4"/>
  <c r="K179" i="4"/>
  <c r="K171" i="4"/>
  <c r="K181" i="4"/>
  <c r="K182" i="4"/>
  <c r="K184" i="4"/>
  <c r="F42" i="20"/>
  <c r="S254" i="5"/>
  <c r="T254" i="5" s="1"/>
  <c r="Q10" i="30"/>
  <c r="I252" i="17"/>
  <c r="K122" i="4"/>
  <c r="I251" i="7"/>
  <c r="I263" i="7"/>
  <c r="I272" i="7"/>
  <c r="I261" i="17"/>
  <c r="I249" i="7"/>
  <c r="I254" i="7"/>
  <c r="I267" i="7"/>
  <c r="I253" i="7"/>
  <c r="I265" i="17"/>
  <c r="K124" i="4"/>
  <c r="I249" i="17"/>
  <c r="I270" i="17"/>
  <c r="I267" i="17"/>
  <c r="K138" i="4"/>
  <c r="P20" i="30"/>
  <c r="Q20" i="30" s="1"/>
  <c r="F20" i="62"/>
  <c r="I251" i="17"/>
  <c r="I247" i="17"/>
  <c r="I265" i="7"/>
  <c r="I266" i="17"/>
  <c r="K137" i="4"/>
  <c r="E18" i="30"/>
  <c r="E62" i="30" s="1"/>
  <c r="I15" i="30"/>
  <c r="N15" i="30"/>
  <c r="L15" i="30"/>
  <c r="H15" i="30"/>
  <c r="K15" i="30"/>
  <c r="F15" i="30"/>
  <c r="F16" i="30" s="1"/>
  <c r="J15" i="30"/>
  <c r="M15" i="30"/>
  <c r="G15" i="30"/>
  <c r="I269" i="7"/>
  <c r="I263" i="17"/>
  <c r="K129" i="4"/>
  <c r="K121" i="4"/>
  <c r="P45" i="26"/>
  <c r="Q45" i="26" s="1"/>
  <c r="K199" i="21"/>
  <c r="E20" i="36" s="1"/>
  <c r="I270" i="7"/>
  <c r="I268" i="17"/>
  <c r="K154" i="4"/>
  <c r="F20" i="32"/>
  <c r="N20" i="32"/>
  <c r="I20" i="32"/>
  <c r="L20" i="32"/>
  <c r="M20" i="32"/>
  <c r="G20" i="32"/>
  <c r="J20" i="32"/>
  <c r="H20" i="32"/>
  <c r="K20" i="32"/>
  <c r="AK150" i="6"/>
  <c r="AL150" i="6" s="1"/>
  <c r="U41" i="21"/>
  <c r="U129" i="21" s="1"/>
  <c r="U176" i="21" s="1"/>
  <c r="K42" i="20"/>
  <c r="K130" i="20" s="1"/>
  <c r="K177" i="20" s="1"/>
  <c r="K182" i="20" s="1"/>
  <c r="K184" i="20" s="1"/>
  <c r="K186" i="20" s="1"/>
  <c r="P53" i="26"/>
  <c r="Q53" i="26" s="1"/>
  <c r="L124" i="4"/>
  <c r="J249" i="17"/>
  <c r="L184" i="4"/>
  <c r="J252" i="17"/>
  <c r="J251" i="7"/>
  <c r="P126" i="1"/>
  <c r="Q129" i="1"/>
  <c r="M263" i="1"/>
  <c r="M259" i="1"/>
  <c r="N262" i="1"/>
  <c r="L257" i="1"/>
  <c r="N129" i="1"/>
  <c r="N263" i="1"/>
  <c r="P261" i="1"/>
  <c r="P124" i="1"/>
  <c r="Q127" i="1"/>
  <c r="L130" i="1"/>
  <c r="M257" i="1"/>
  <c r="N260" i="1"/>
  <c r="L260" i="1"/>
  <c r="N123" i="1"/>
  <c r="P129" i="1"/>
  <c r="L121" i="1"/>
  <c r="Q258" i="1"/>
  <c r="M262" i="1"/>
  <c r="N266" i="1"/>
  <c r="Q122" i="1"/>
  <c r="L263" i="1"/>
  <c r="P266" i="1"/>
  <c r="N128" i="1"/>
  <c r="P260" i="1"/>
  <c r="L262" i="1"/>
  <c r="Q126" i="1"/>
  <c r="N259" i="1"/>
  <c r="M123" i="1"/>
  <c r="L122" i="1"/>
  <c r="Q261" i="1"/>
  <c r="M266" i="1"/>
  <c r="M128" i="1"/>
  <c r="P264" i="1"/>
  <c r="Q260" i="1"/>
  <c r="L124" i="1"/>
  <c r="N258" i="1"/>
  <c r="P265" i="1"/>
  <c r="P123" i="1"/>
  <c r="L123" i="1"/>
  <c r="Q265" i="1"/>
  <c r="M127" i="1"/>
  <c r="M399" i="1" s="1"/>
  <c r="O263" i="1"/>
  <c r="P262" i="1"/>
  <c r="O122" i="1"/>
  <c r="Q128" i="1"/>
  <c r="N261" i="1"/>
  <c r="L259" i="1"/>
  <c r="N264" i="1"/>
  <c r="M121" i="1"/>
  <c r="N124" i="1"/>
  <c r="P130" i="1"/>
  <c r="Q263" i="1"/>
  <c r="Q259" i="1"/>
  <c r="M264" i="1"/>
  <c r="L265" i="1"/>
  <c r="N121" i="1"/>
  <c r="N125" i="1"/>
  <c r="M130" i="1"/>
  <c r="P257" i="1"/>
  <c r="N122" i="1"/>
  <c r="N394" i="1" s="1"/>
  <c r="P128" i="1"/>
  <c r="L126" i="1"/>
  <c r="Q257" i="1"/>
  <c r="M261" i="1"/>
  <c r="N265" i="1"/>
  <c r="M124" i="1"/>
  <c r="N127" i="1"/>
  <c r="P263" i="1"/>
  <c r="P259" i="1"/>
  <c r="Q262" i="1"/>
  <c r="L266" i="1"/>
  <c r="M126" i="1"/>
  <c r="L261" i="1"/>
  <c r="Q121" i="1"/>
  <c r="M125" i="1"/>
  <c r="L128" i="1"/>
  <c r="Q264" i="1"/>
  <c r="M122" i="1"/>
  <c r="L127" i="1"/>
  <c r="M265" i="1"/>
  <c r="N126" i="1"/>
  <c r="P258" i="1"/>
  <c r="P121" i="1"/>
  <c r="Q124" i="1"/>
  <c r="L129" i="1"/>
  <c r="N257" i="1"/>
  <c r="L264" i="1"/>
  <c r="P122" i="1"/>
  <c r="Q125" i="1"/>
  <c r="M129" i="1"/>
  <c r="O261" i="1"/>
  <c r="L258" i="1"/>
  <c r="P127" i="1"/>
  <c r="P399" i="1" s="1"/>
  <c r="M260" i="1"/>
  <c r="Q123" i="1"/>
  <c r="N130" i="1"/>
  <c r="O259" i="1"/>
  <c r="Q266" i="1"/>
  <c r="P125" i="1"/>
  <c r="P397" i="1" s="1"/>
  <c r="L125" i="1"/>
  <c r="M258" i="1"/>
  <c r="O265" i="1"/>
  <c r="Q130" i="1"/>
  <c r="O258" i="1"/>
  <c r="O127" i="1"/>
  <c r="O124" i="1"/>
  <c r="O130" i="1"/>
  <c r="O260" i="1"/>
  <c r="O126" i="1"/>
  <c r="O266" i="1"/>
  <c r="O128" i="1"/>
  <c r="O125" i="1"/>
  <c r="O129" i="1"/>
  <c r="O264" i="1"/>
  <c r="O123" i="1"/>
  <c r="O257" i="1"/>
  <c r="O262" i="1"/>
  <c r="O121" i="1"/>
  <c r="L182" i="4"/>
  <c r="J253" i="7"/>
  <c r="J54" i="26"/>
  <c r="P13" i="60"/>
  <c r="Q13" i="60" s="1"/>
  <c r="F14" i="60"/>
  <c r="S13" i="60"/>
  <c r="S15" i="60"/>
  <c r="P15" i="60"/>
  <c r="Q15" i="60" s="1"/>
  <c r="J249" i="7"/>
  <c r="J251" i="17"/>
  <c r="J247" i="17"/>
  <c r="J254" i="7"/>
  <c r="L122" i="4"/>
  <c r="M25" i="75"/>
  <c r="L273" i="1"/>
  <c r="L243" i="15"/>
  <c r="S242" i="15"/>
  <c r="T242" i="15" s="1"/>
  <c r="L181" i="4"/>
  <c r="L183" i="4"/>
  <c r="L179" i="4"/>
  <c r="L171" i="4"/>
  <c r="L123" i="4"/>
  <c r="L138" i="4"/>
  <c r="L137" i="4"/>
  <c r="L129" i="4"/>
  <c r="L178" i="4"/>
  <c r="L121" i="4"/>
  <c r="S281" i="8"/>
  <c r="T281" i="8" s="1"/>
  <c r="E152" i="9"/>
  <c r="E243" i="9" s="1"/>
  <c r="E152" i="16"/>
  <c r="E241" i="16" s="1"/>
  <c r="M54" i="26"/>
  <c r="H54" i="26"/>
  <c r="I54" i="26"/>
  <c r="K54" i="26"/>
  <c r="L54" i="26"/>
  <c r="G54" i="26"/>
  <c r="M42" i="20"/>
  <c r="Q277" i="5"/>
  <c r="Q279" i="5" s="1"/>
  <c r="Q280" i="5" s="1"/>
  <c r="L277" i="6"/>
  <c r="L279" i="6" s="1"/>
  <c r="L42" i="21"/>
  <c r="L47" i="21" s="1"/>
  <c r="L49" i="21" s="1"/>
  <c r="L51" i="21" s="1"/>
  <c r="L60" i="21" s="1"/>
  <c r="L61" i="21" s="1"/>
  <c r="L62" i="21" s="1"/>
  <c r="AG254" i="6"/>
  <c r="P52" i="26"/>
  <c r="Q52" i="26" s="1"/>
  <c r="AH277" i="6"/>
  <c r="AH279" i="6" s="1"/>
  <c r="AH42" i="21"/>
  <c r="P51" i="26"/>
  <c r="Q51" i="26" s="1"/>
  <c r="F54" i="26"/>
  <c r="K277" i="5"/>
  <c r="K279" i="5" s="1"/>
  <c r="K280" i="5" s="1"/>
  <c r="G42" i="20"/>
  <c r="G47" i="20" s="1"/>
  <c r="L42" i="20"/>
  <c r="P277" i="5"/>
  <c r="P279" i="5" s="1"/>
  <c r="P280" i="5" s="1"/>
  <c r="S275" i="5"/>
  <c r="T275" i="5" s="1"/>
  <c r="AA254" i="6"/>
  <c r="X140" i="3"/>
  <c r="AA171" i="4"/>
  <c r="AA183" i="4"/>
  <c r="AA138" i="4"/>
  <c r="AA178" i="4"/>
  <c r="Y268" i="7"/>
  <c r="Y249" i="7"/>
  <c r="Y270" i="17"/>
  <c r="Y249" i="17"/>
  <c r="Y266" i="17"/>
  <c r="AA137" i="4"/>
  <c r="Z137" i="4" s="1"/>
  <c r="Z137" i="3" s="1"/>
  <c r="AA184" i="4"/>
  <c r="AA122" i="4"/>
  <c r="AA182" i="4"/>
  <c r="Y263" i="7"/>
  <c r="Y269" i="7"/>
  <c r="Y251" i="7"/>
  <c r="Y247" i="17"/>
  <c r="Y267" i="17"/>
  <c r="Y261" i="17"/>
  <c r="AA123" i="4"/>
  <c r="AA124" i="4"/>
  <c r="AA179" i="4"/>
  <c r="Y265" i="7"/>
  <c r="Y270" i="7"/>
  <c r="Y254" i="7"/>
  <c r="Y263" i="17"/>
  <c r="Y265" i="17"/>
  <c r="Y252" i="17"/>
  <c r="AA154" i="4"/>
  <c r="AA181" i="4"/>
  <c r="AA129" i="4"/>
  <c r="AA121" i="4"/>
  <c r="Y267" i="7"/>
  <c r="Y272" i="7"/>
  <c r="Y253" i="7"/>
  <c r="Y268" i="17"/>
  <c r="Y251" i="17"/>
  <c r="S182" i="2"/>
  <c r="T182" i="2" s="1"/>
  <c r="AK240" i="16"/>
  <c r="AL240" i="16" s="1"/>
  <c r="J412" i="1"/>
  <c r="J414" i="1" s="1"/>
  <c r="J137" i="2"/>
  <c r="J140" i="2" s="1"/>
  <c r="J142" i="2" s="1"/>
  <c r="D137" i="3"/>
  <c r="AF130" i="4"/>
  <c r="AF137" i="4"/>
  <c r="AF172" i="4"/>
  <c r="AF181" i="4"/>
  <c r="AF125" i="4"/>
  <c r="AF127" i="4"/>
  <c r="AF178" i="4"/>
  <c r="AF179" i="4"/>
  <c r="AF123" i="4"/>
  <c r="AF171" i="4"/>
  <c r="AF121" i="4"/>
  <c r="AF122" i="4"/>
  <c r="AF124" i="4"/>
  <c r="AF126" i="4"/>
  <c r="AF128" i="4"/>
  <c r="AF129" i="4"/>
  <c r="AF138" i="4"/>
  <c r="AF182" i="4"/>
  <c r="AF183" i="4"/>
  <c r="AF184" i="4"/>
  <c r="AD265" i="17"/>
  <c r="AD265" i="16" s="1"/>
  <c r="AD267" i="17"/>
  <c r="AD267" i="16" s="1"/>
  <c r="AD251" i="7"/>
  <c r="AD263" i="7"/>
  <c r="AD247" i="17"/>
  <c r="AD247" i="16" s="1"/>
  <c r="AD261" i="17"/>
  <c r="AD261" i="16" s="1"/>
  <c r="AD253" i="7"/>
  <c r="AD254" i="7"/>
  <c r="AD272" i="7"/>
  <c r="AD268" i="7"/>
  <c r="AD270" i="7"/>
  <c r="AD263" i="17"/>
  <c r="AD263" i="16" s="1"/>
  <c r="AD252" i="17"/>
  <c r="AD252" i="16" s="1"/>
  <c r="AD266" i="17"/>
  <c r="AD266" i="16" s="1"/>
  <c r="AD249" i="7"/>
  <c r="AD251" i="17"/>
  <c r="AD251" i="16" s="1"/>
  <c r="AD269" i="7"/>
  <c r="AD267" i="7"/>
  <c r="AD249" i="17"/>
  <c r="AD249" i="16" s="1"/>
  <c r="AD265" i="7"/>
  <c r="AD268" i="17"/>
  <c r="AD268" i="16" s="1"/>
  <c r="AD270" i="17"/>
  <c r="AD270" i="16" s="1"/>
  <c r="J44" i="26"/>
  <c r="J46" i="26" s="1"/>
  <c r="M44" i="26"/>
  <c r="M46" i="26" s="1"/>
  <c r="H44" i="26"/>
  <c r="H46" i="26" s="1"/>
  <c r="N44" i="26"/>
  <c r="N46" i="26" s="1"/>
  <c r="F44" i="26"/>
  <c r="E46" i="26"/>
  <c r="G44" i="26"/>
  <c r="G46" i="26" s="1"/>
  <c r="I44" i="26"/>
  <c r="I46" i="26" s="1"/>
  <c r="L44" i="26"/>
  <c r="L46" i="26" s="1"/>
  <c r="K44" i="26"/>
  <c r="K46" i="26" s="1"/>
  <c r="K412" i="1"/>
  <c r="K414" i="1" s="1"/>
  <c r="L137" i="3"/>
  <c r="L140" i="3" s="1"/>
  <c r="L142" i="3" s="1"/>
  <c r="K137" i="2"/>
  <c r="K140" i="2" s="1"/>
  <c r="K142" i="2" s="1"/>
  <c r="Q412" i="1"/>
  <c r="AH137" i="3"/>
  <c r="AH140" i="3" s="1"/>
  <c r="Q137" i="2"/>
  <c r="Q140" i="2" s="1"/>
  <c r="N412" i="1"/>
  <c r="N137" i="2"/>
  <c r="N140" i="2" s="1"/>
  <c r="AA137" i="3"/>
  <c r="AA140" i="3" s="1"/>
  <c r="P137" i="2"/>
  <c r="P140" i="2" s="1"/>
  <c r="P412" i="1"/>
  <c r="AF137" i="3"/>
  <c r="AE125" i="4"/>
  <c r="AE127" i="4"/>
  <c r="AE178" i="4"/>
  <c r="AE179" i="4"/>
  <c r="AE123" i="4"/>
  <c r="AE171" i="4"/>
  <c r="AE121" i="4"/>
  <c r="AE122" i="4"/>
  <c r="AE124" i="4"/>
  <c r="AE126" i="4"/>
  <c r="AE128" i="4"/>
  <c r="AE129" i="4"/>
  <c r="AE138" i="4"/>
  <c r="AE182" i="4"/>
  <c r="AE183" i="4"/>
  <c r="AE184" i="4"/>
  <c r="AE130" i="4"/>
  <c r="AE137" i="4"/>
  <c r="AE172" i="4"/>
  <c r="AE181" i="4"/>
  <c r="AC268" i="17"/>
  <c r="AC268" i="16" s="1"/>
  <c r="AC249" i="7"/>
  <c r="AC265" i="7"/>
  <c r="AC263" i="7"/>
  <c r="AC268" i="7"/>
  <c r="AC267" i="17"/>
  <c r="AC267" i="16" s="1"/>
  <c r="AC265" i="17"/>
  <c r="AC265" i="16" s="1"/>
  <c r="AC253" i="7"/>
  <c r="AC269" i="7"/>
  <c r="AC249" i="17"/>
  <c r="AC249" i="16" s="1"/>
  <c r="AC254" i="7"/>
  <c r="AC251" i="7"/>
  <c r="AC272" i="7"/>
  <c r="AC270" i="17"/>
  <c r="AC270" i="16" s="1"/>
  <c r="AC263" i="17"/>
  <c r="AC263" i="16" s="1"/>
  <c r="AC252" i="17"/>
  <c r="AC252" i="16" s="1"/>
  <c r="AC270" i="7"/>
  <c r="AC267" i="7"/>
  <c r="AC247" i="17"/>
  <c r="AC247" i="16" s="1"/>
  <c r="AC266" i="17"/>
  <c r="AC266" i="16" s="1"/>
  <c r="AC261" i="17"/>
  <c r="AC261" i="16" s="1"/>
  <c r="AC251" i="17"/>
  <c r="AC251" i="16" s="1"/>
  <c r="AB140" i="3"/>
  <c r="AG121" i="4"/>
  <c r="AG122" i="4"/>
  <c r="AG124" i="4"/>
  <c r="AG126" i="4"/>
  <c r="AG128" i="4"/>
  <c r="AG129" i="4"/>
  <c r="AG138" i="4"/>
  <c r="AG182" i="4"/>
  <c r="AG183" i="4"/>
  <c r="AG184" i="4"/>
  <c r="AG130" i="4"/>
  <c r="AG137" i="4"/>
  <c r="AG172" i="4"/>
  <c r="AG181" i="4"/>
  <c r="AG125" i="4"/>
  <c r="AG127" i="4"/>
  <c r="AG175" i="4"/>
  <c r="AG178" i="4"/>
  <c r="AG179" i="4"/>
  <c r="AG123" i="4"/>
  <c r="AG171" i="4"/>
  <c r="AE265" i="7"/>
  <c r="AE251" i="17"/>
  <c r="AE251" i="16" s="1"/>
  <c r="AE263" i="17"/>
  <c r="AE263" i="16" s="1"/>
  <c r="AE272" i="7"/>
  <c r="AE249" i="17"/>
  <c r="AE249" i="16" s="1"/>
  <c r="AE263" i="7"/>
  <c r="AE268" i="7"/>
  <c r="AE268" i="17"/>
  <c r="AE268" i="16" s="1"/>
  <c r="AE267" i="17"/>
  <c r="AE267" i="16" s="1"/>
  <c r="AE270" i="7"/>
  <c r="AE252" i="17"/>
  <c r="AE252" i="16" s="1"/>
  <c r="AE269" i="7"/>
  <c r="AE267" i="7"/>
  <c r="AE251" i="7"/>
  <c r="AE265" i="17"/>
  <c r="AE265" i="16" s="1"/>
  <c r="AE266" i="17"/>
  <c r="AE266" i="16" s="1"/>
  <c r="AE249" i="7"/>
  <c r="AE247" i="17"/>
  <c r="AE247" i="16" s="1"/>
  <c r="AE270" i="17"/>
  <c r="AE270" i="16" s="1"/>
  <c r="AE261" i="17"/>
  <c r="AE261" i="16" s="1"/>
  <c r="AE253" i="7"/>
  <c r="AE254" i="7"/>
  <c r="AB47" i="21"/>
  <c r="AB49" i="21" s="1"/>
  <c r="AB51" i="21" s="1"/>
  <c r="AB130" i="21"/>
  <c r="X42" i="21"/>
  <c r="X277" i="6"/>
  <c r="X279" i="6" s="1"/>
  <c r="K135" i="20"/>
  <c r="K137" i="20" s="1"/>
  <c r="K139" i="20" s="1"/>
  <c r="Y150" i="9"/>
  <c r="AK136" i="9"/>
  <c r="AL136" i="9" s="1"/>
  <c r="I130" i="20"/>
  <c r="I47" i="20"/>
  <c r="I49" i="20" s="1"/>
  <c r="I51" i="20" s="1"/>
  <c r="M130" i="21"/>
  <c r="M47" i="21"/>
  <c r="M49" i="21" s="1"/>
  <c r="M51" i="21" s="1"/>
  <c r="H47" i="20"/>
  <c r="H49" i="20" s="1"/>
  <c r="H51" i="20" s="1"/>
  <c r="H130" i="20"/>
  <c r="AM129" i="21"/>
  <c r="E176" i="20"/>
  <c r="C176" i="20" s="1"/>
  <c r="V122" i="4"/>
  <c r="V137" i="4"/>
  <c r="V123" i="4"/>
  <c r="V138" i="4"/>
  <c r="V124" i="4"/>
  <c r="V171" i="4"/>
  <c r="V178" i="4"/>
  <c r="V181" i="4"/>
  <c r="V121" i="4"/>
  <c r="V129" i="4"/>
  <c r="V154" i="4"/>
  <c r="V179" i="4"/>
  <c r="V182" i="4"/>
  <c r="V184" i="4"/>
  <c r="V183" i="4"/>
  <c r="S123" i="4"/>
  <c r="S138" i="4"/>
  <c r="S124" i="4"/>
  <c r="S154" i="4"/>
  <c r="S122" i="4"/>
  <c r="S137" i="4"/>
  <c r="S179" i="4"/>
  <c r="S182" i="4"/>
  <c r="S183" i="4"/>
  <c r="S178" i="4"/>
  <c r="S121" i="4"/>
  <c r="S129" i="4"/>
  <c r="S171" i="4"/>
  <c r="S181" i="4"/>
  <c r="S184" i="4"/>
  <c r="Q121" i="4"/>
  <c r="Q129" i="4"/>
  <c r="Q122" i="4"/>
  <c r="Q137" i="4"/>
  <c r="Q123" i="4"/>
  <c r="Q138" i="4"/>
  <c r="Q154" i="4"/>
  <c r="Q171" i="4"/>
  <c r="Q178" i="4"/>
  <c r="Q181" i="4"/>
  <c r="Q124" i="4"/>
  <c r="Q179" i="4"/>
  <c r="Q182" i="4"/>
  <c r="Q183" i="4"/>
  <c r="Q184" i="4"/>
  <c r="R122" i="4"/>
  <c r="R137" i="4"/>
  <c r="R123" i="4"/>
  <c r="R138" i="4"/>
  <c r="R171" i="4"/>
  <c r="R178" i="4"/>
  <c r="R181" i="4"/>
  <c r="R179" i="4"/>
  <c r="R182" i="4"/>
  <c r="R121" i="4"/>
  <c r="R129" i="4"/>
  <c r="R184" i="4"/>
  <c r="R124" i="4"/>
  <c r="R183" i="4"/>
  <c r="R154" i="4"/>
  <c r="Y121" i="4"/>
  <c r="Y129" i="4"/>
  <c r="Y122" i="4"/>
  <c r="Y137" i="4"/>
  <c r="Y123" i="4"/>
  <c r="Y138" i="4"/>
  <c r="Y154" i="4"/>
  <c r="Y171" i="4"/>
  <c r="Y178" i="4"/>
  <c r="Y181" i="4"/>
  <c r="Y179" i="4"/>
  <c r="Y183" i="4"/>
  <c r="Y184" i="4"/>
  <c r="Y182" i="4"/>
  <c r="Y124" i="4"/>
  <c r="U121" i="4"/>
  <c r="U129" i="4"/>
  <c r="U122" i="4"/>
  <c r="U137" i="4"/>
  <c r="U124" i="4"/>
  <c r="U171" i="4"/>
  <c r="U178" i="4"/>
  <c r="U181" i="4"/>
  <c r="U123" i="4"/>
  <c r="U138" i="4"/>
  <c r="U182" i="4"/>
  <c r="U184" i="4"/>
  <c r="U183" i="4"/>
  <c r="U154" i="4"/>
  <c r="U179" i="4"/>
  <c r="X124" i="4"/>
  <c r="X154" i="4"/>
  <c r="X121" i="4"/>
  <c r="X129" i="4"/>
  <c r="X122" i="4"/>
  <c r="X123" i="4"/>
  <c r="X137" i="4"/>
  <c r="X138" i="4"/>
  <c r="X181" i="4"/>
  <c r="X182" i="4"/>
  <c r="X171" i="4"/>
  <c r="X184" i="4"/>
  <c r="X178" i="4"/>
  <c r="X179" i="4"/>
  <c r="X183" i="4"/>
  <c r="AL148" i="16"/>
  <c r="T124" i="4"/>
  <c r="T154" i="4"/>
  <c r="T121" i="4"/>
  <c r="T129" i="4"/>
  <c r="T171" i="4"/>
  <c r="T183" i="4"/>
  <c r="T178" i="4"/>
  <c r="T122" i="4"/>
  <c r="T123" i="4"/>
  <c r="T137" i="4"/>
  <c r="T138" i="4"/>
  <c r="T179" i="4"/>
  <c r="T181" i="4"/>
  <c r="T182" i="4"/>
  <c r="T184" i="4"/>
  <c r="W123" i="4"/>
  <c r="W138" i="4"/>
  <c r="W124" i="4"/>
  <c r="W154" i="4"/>
  <c r="W121" i="4"/>
  <c r="W129" i="4"/>
  <c r="W179" i="4"/>
  <c r="W182" i="4"/>
  <c r="W183" i="4"/>
  <c r="W122" i="4"/>
  <c r="W137" i="4"/>
  <c r="W171" i="4"/>
  <c r="W184" i="4"/>
  <c r="W178" i="4"/>
  <c r="W181" i="4"/>
  <c r="T176" i="21"/>
  <c r="Q129" i="21"/>
  <c r="P176" i="21"/>
  <c r="S176" i="21"/>
  <c r="V176" i="21"/>
  <c r="O176" i="21"/>
  <c r="W176" i="21"/>
  <c r="R176" i="21"/>
  <c r="F110" i="20"/>
  <c r="W269" i="7"/>
  <c r="W249" i="7"/>
  <c r="W263" i="7"/>
  <c r="W270" i="7"/>
  <c r="W251" i="7"/>
  <c r="W272" i="7"/>
  <c r="W254" i="7"/>
  <c r="W267" i="7"/>
  <c r="W253" i="7"/>
  <c r="W265" i="7"/>
  <c r="W265" i="17"/>
  <c r="W252" i="17"/>
  <c r="W268" i="17"/>
  <c r="W263" i="17"/>
  <c r="W267" i="17"/>
  <c r="W247" i="17"/>
  <c r="W270" i="17"/>
  <c r="W251" i="17"/>
  <c r="W249" i="17"/>
  <c r="W261" i="17"/>
  <c r="Q263" i="7"/>
  <c r="Q265" i="7"/>
  <c r="Q267" i="7"/>
  <c r="Q269" i="7"/>
  <c r="Q270" i="7"/>
  <c r="Q272" i="7"/>
  <c r="Q249" i="7"/>
  <c r="Q251" i="7"/>
  <c r="Q253" i="7"/>
  <c r="Q254" i="7"/>
  <c r="Q252" i="17"/>
  <c r="Q267" i="17"/>
  <c r="Q270" i="17"/>
  <c r="Q249" i="17"/>
  <c r="Q261" i="17"/>
  <c r="Q268" i="17"/>
  <c r="Q265" i="17"/>
  <c r="Q251" i="17"/>
  <c r="Q263" i="17"/>
  <c r="Q247" i="17"/>
  <c r="U263" i="7"/>
  <c r="U265" i="7"/>
  <c r="U267" i="7"/>
  <c r="U269" i="7"/>
  <c r="U270" i="7"/>
  <c r="U272" i="7"/>
  <c r="U249" i="7"/>
  <c r="U251" i="7"/>
  <c r="U253" i="7"/>
  <c r="U254" i="7"/>
  <c r="U251" i="17"/>
  <c r="U247" i="17"/>
  <c r="U265" i="17"/>
  <c r="U263" i="17"/>
  <c r="U268" i="17"/>
  <c r="U267" i="17"/>
  <c r="U270" i="17"/>
  <c r="U261" i="17"/>
  <c r="U249" i="17"/>
  <c r="U252" i="17"/>
  <c r="R269" i="7"/>
  <c r="R249" i="7"/>
  <c r="R263" i="7"/>
  <c r="R270" i="7"/>
  <c r="R251" i="7"/>
  <c r="R265" i="7"/>
  <c r="R253" i="7"/>
  <c r="R267" i="7"/>
  <c r="R254" i="7"/>
  <c r="R272" i="7"/>
  <c r="R249" i="17"/>
  <c r="R261" i="17"/>
  <c r="R252" i="17"/>
  <c r="R247" i="17"/>
  <c r="R268" i="17"/>
  <c r="R270" i="17"/>
  <c r="R267" i="17"/>
  <c r="R263" i="17"/>
  <c r="R265" i="17"/>
  <c r="R251" i="17"/>
  <c r="P263" i="7"/>
  <c r="P270" i="7"/>
  <c r="P251" i="7"/>
  <c r="P265" i="7"/>
  <c r="P272" i="7"/>
  <c r="P253" i="7"/>
  <c r="P267" i="7"/>
  <c r="P254" i="7"/>
  <c r="P269" i="7"/>
  <c r="P249" i="7"/>
  <c r="P247" i="17"/>
  <c r="P249" i="17"/>
  <c r="P268" i="17"/>
  <c r="P251" i="17"/>
  <c r="P263" i="17"/>
  <c r="P265" i="17"/>
  <c r="P261" i="17"/>
  <c r="P270" i="17"/>
  <c r="P267" i="17"/>
  <c r="P252" i="17"/>
  <c r="O267" i="7"/>
  <c r="O254" i="7"/>
  <c r="O269" i="7"/>
  <c r="O249" i="7"/>
  <c r="O270" i="7"/>
  <c r="O272" i="7"/>
  <c r="O253" i="7"/>
  <c r="O265" i="7"/>
  <c r="O251" i="7"/>
  <c r="O263" i="7"/>
  <c r="O252" i="17"/>
  <c r="O270" i="17"/>
  <c r="O265" i="17"/>
  <c r="O267" i="17"/>
  <c r="O268" i="17"/>
  <c r="O251" i="17"/>
  <c r="O263" i="17"/>
  <c r="O261" i="17"/>
  <c r="O249" i="17"/>
  <c r="O247" i="17"/>
  <c r="T265" i="7"/>
  <c r="T272" i="7"/>
  <c r="T253" i="7"/>
  <c r="T267" i="7"/>
  <c r="T254" i="7"/>
  <c r="T249" i="7"/>
  <c r="T263" i="7"/>
  <c r="T251" i="7"/>
  <c r="T270" i="7"/>
  <c r="T269" i="7"/>
  <c r="T268" i="17"/>
  <c r="T261" i="17"/>
  <c r="T263" i="17"/>
  <c r="T270" i="17"/>
  <c r="T267" i="17"/>
  <c r="T251" i="17"/>
  <c r="T249" i="17"/>
  <c r="T265" i="17"/>
  <c r="T252" i="17"/>
  <c r="T247" i="17"/>
  <c r="N152" i="16"/>
  <c r="AL150" i="16"/>
  <c r="N243" i="9"/>
  <c r="N243" i="6"/>
  <c r="S267" i="7"/>
  <c r="S254" i="7"/>
  <c r="S269" i="7"/>
  <c r="S249" i="7"/>
  <c r="S263" i="7"/>
  <c r="S251" i="7"/>
  <c r="S265" i="7"/>
  <c r="S253" i="7"/>
  <c r="S272" i="7"/>
  <c r="S270" i="7"/>
  <c r="S263" i="17"/>
  <c r="S270" i="17"/>
  <c r="S267" i="17"/>
  <c r="S261" i="17"/>
  <c r="S249" i="17"/>
  <c r="S265" i="17"/>
  <c r="S247" i="17"/>
  <c r="S268" i="17"/>
  <c r="S251" i="17"/>
  <c r="S252" i="17"/>
  <c r="V263" i="7"/>
  <c r="V270" i="7"/>
  <c r="V251" i="7"/>
  <c r="V265" i="7"/>
  <c r="V272" i="7"/>
  <c r="V253" i="7"/>
  <c r="V249" i="7"/>
  <c r="V269" i="7"/>
  <c r="V267" i="7"/>
  <c r="V254" i="7"/>
  <c r="V263" i="17"/>
  <c r="V265" i="17"/>
  <c r="V247" i="17"/>
  <c r="V251" i="17"/>
  <c r="V268" i="17"/>
  <c r="V252" i="17"/>
  <c r="V249" i="17"/>
  <c r="V261" i="17"/>
  <c r="V267" i="17"/>
  <c r="V270" i="17"/>
  <c r="J277" i="5" l="1"/>
  <c r="J16" i="30"/>
  <c r="J18" i="30" s="1"/>
  <c r="J62" i="30" s="1"/>
  <c r="K18" i="30"/>
  <c r="K62" i="30" s="1"/>
  <c r="K16" i="30"/>
  <c r="H18" i="30"/>
  <c r="H62" i="30" s="1"/>
  <c r="H16" i="30"/>
  <c r="L16" i="30"/>
  <c r="L18" i="30" s="1"/>
  <c r="L62" i="30" s="1"/>
  <c r="N16" i="30"/>
  <c r="N18" i="30" s="1"/>
  <c r="N62" i="30" s="1"/>
  <c r="G18" i="30"/>
  <c r="G62" i="30" s="1"/>
  <c r="G16" i="30"/>
  <c r="I18" i="30"/>
  <c r="I62" i="30" s="1"/>
  <c r="I16" i="30"/>
  <c r="M16" i="30"/>
  <c r="M18" i="30" s="1"/>
  <c r="M62" i="30" s="1"/>
  <c r="K47" i="20"/>
  <c r="K49" i="20" s="1"/>
  <c r="K51" i="20" s="1"/>
  <c r="N20" i="36"/>
  <c r="N90" i="36" s="1"/>
  <c r="I20" i="36"/>
  <c r="I90" i="36" s="1"/>
  <c r="L20" i="36"/>
  <c r="L90" i="36" s="1"/>
  <c r="G20" i="36"/>
  <c r="G90" i="36" s="1"/>
  <c r="E90" i="36"/>
  <c r="J20" i="36"/>
  <c r="J90" i="36" s="1"/>
  <c r="H20" i="36"/>
  <c r="H90" i="36" s="1"/>
  <c r="F20" i="36"/>
  <c r="M20" i="36"/>
  <c r="M90" i="36" s="1"/>
  <c r="K20" i="36"/>
  <c r="K90" i="36" s="1"/>
  <c r="E20" i="62"/>
  <c r="P20" i="62"/>
  <c r="P400" i="1"/>
  <c r="P15" i="30"/>
  <c r="P20" i="32"/>
  <c r="Q20" i="32" s="1"/>
  <c r="N398" i="1"/>
  <c r="N126" i="2" s="1"/>
  <c r="M397" i="1"/>
  <c r="M125" i="2" s="1"/>
  <c r="M401" i="1"/>
  <c r="X129" i="3" s="1"/>
  <c r="N396" i="1"/>
  <c r="N124" i="2" s="1"/>
  <c r="Q399" i="1"/>
  <c r="Q127" i="2" s="1"/>
  <c r="O401" i="1"/>
  <c r="O129" i="2" s="1"/>
  <c r="O399" i="1"/>
  <c r="AB127" i="3" s="1"/>
  <c r="Q397" i="1"/>
  <c r="AH125" i="3" s="1"/>
  <c r="N397" i="1"/>
  <c r="AA125" i="3" s="1"/>
  <c r="S263" i="1"/>
  <c r="T263" i="1" s="1"/>
  <c r="S260" i="1"/>
  <c r="T260" i="1" s="1"/>
  <c r="P394" i="1"/>
  <c r="P122" i="2" s="1"/>
  <c r="Q396" i="1"/>
  <c r="Q124" i="2" s="1"/>
  <c r="M398" i="1"/>
  <c r="X126" i="3" s="1"/>
  <c r="M395" i="1"/>
  <c r="M123" i="2" s="1"/>
  <c r="O395" i="1"/>
  <c r="O123" i="2" s="1"/>
  <c r="O400" i="1"/>
  <c r="AB128" i="3" s="1"/>
  <c r="O402" i="1"/>
  <c r="AB130" i="3" s="1"/>
  <c r="Q402" i="1"/>
  <c r="AH130" i="3" s="1"/>
  <c r="Q395" i="1"/>
  <c r="AH123" i="3" s="1"/>
  <c r="S264" i="1"/>
  <c r="T264" i="1" s="1"/>
  <c r="S266" i="1"/>
  <c r="T266" i="1" s="1"/>
  <c r="N399" i="1"/>
  <c r="AA127" i="3" s="1"/>
  <c r="P402" i="1"/>
  <c r="P130" i="2" s="1"/>
  <c r="N400" i="1"/>
  <c r="N128" i="2" s="1"/>
  <c r="O398" i="1"/>
  <c r="AF127" i="3"/>
  <c r="AG127" i="3" s="1"/>
  <c r="P127" i="2"/>
  <c r="S129" i="1"/>
  <c r="T129" i="1" s="1"/>
  <c r="L401" i="1"/>
  <c r="AA126" i="3"/>
  <c r="S261" i="1"/>
  <c r="T261" i="1" s="1"/>
  <c r="P128" i="2"/>
  <c r="AF128" i="3"/>
  <c r="AG128" i="3" s="1"/>
  <c r="M393" i="1"/>
  <c r="M132" i="1"/>
  <c r="M142" i="1" s="1"/>
  <c r="Q400" i="1"/>
  <c r="X127" i="3"/>
  <c r="M127" i="2"/>
  <c r="S122" i="1"/>
  <c r="T122" i="1" s="1"/>
  <c r="L394" i="1"/>
  <c r="S262" i="1"/>
  <c r="T262" i="1" s="1"/>
  <c r="N401" i="1"/>
  <c r="O268" i="1"/>
  <c r="O278" i="1" s="1"/>
  <c r="O397" i="1"/>
  <c r="S125" i="1"/>
  <c r="T125" i="1" s="1"/>
  <c r="L397" i="1"/>
  <c r="N402" i="1"/>
  <c r="S258" i="1"/>
  <c r="T258" i="1" s="1"/>
  <c r="S128" i="1"/>
  <c r="T128" i="1" s="1"/>
  <c r="L400" i="1"/>
  <c r="AA122" i="3"/>
  <c r="N122" i="2"/>
  <c r="N393" i="1"/>
  <c r="N132" i="1"/>
  <c r="N142" i="1" s="1"/>
  <c r="O394" i="1"/>
  <c r="M400" i="1"/>
  <c r="Q394" i="1"/>
  <c r="L393" i="1"/>
  <c r="S121" i="1"/>
  <c r="T121" i="1" s="1"/>
  <c r="L132" i="1"/>
  <c r="P396" i="1"/>
  <c r="S257" i="1"/>
  <c r="T257" i="1" s="1"/>
  <c r="L268" i="1"/>
  <c r="Q401" i="1"/>
  <c r="O130" i="2"/>
  <c r="P125" i="2"/>
  <c r="AF125" i="3"/>
  <c r="AG125" i="3" s="1"/>
  <c r="P132" i="1"/>
  <c r="P142" i="1" s="1"/>
  <c r="P393" i="1"/>
  <c r="S127" i="1"/>
  <c r="T127" i="1" s="1"/>
  <c r="L399" i="1"/>
  <c r="X125" i="3"/>
  <c r="N127" i="2"/>
  <c r="Q268" i="1"/>
  <c r="Q278" i="1" s="1"/>
  <c r="P268" i="1"/>
  <c r="P278" i="1" s="1"/>
  <c r="S265" i="1"/>
  <c r="T265" i="1" s="1"/>
  <c r="S259" i="1"/>
  <c r="T259" i="1" s="1"/>
  <c r="S123" i="1"/>
  <c r="T123" i="1" s="1"/>
  <c r="L395" i="1"/>
  <c r="L396" i="1"/>
  <c r="S124" i="1"/>
  <c r="T124" i="1" s="1"/>
  <c r="P401" i="1"/>
  <c r="M268" i="1"/>
  <c r="M278" i="1" s="1"/>
  <c r="P398" i="1"/>
  <c r="O393" i="1"/>
  <c r="O132" i="1"/>
  <c r="O142" i="1" s="1"/>
  <c r="O396" i="1"/>
  <c r="M129" i="2"/>
  <c r="N268" i="1"/>
  <c r="N278" i="1" s="1"/>
  <c r="M394" i="1"/>
  <c r="Q132" i="1"/>
  <c r="Q142" i="1" s="1"/>
  <c r="Q393" i="1"/>
  <c r="M396" i="1"/>
  <c r="S126" i="1"/>
  <c r="T126" i="1" s="1"/>
  <c r="L398" i="1"/>
  <c r="M402" i="1"/>
  <c r="P395" i="1"/>
  <c r="Q398" i="1"/>
  <c r="N395" i="1"/>
  <c r="S130" i="1"/>
  <c r="T130" i="1" s="1"/>
  <c r="L402" i="1"/>
  <c r="E152" i="6"/>
  <c r="E243" i="6" s="1"/>
  <c r="S14" i="60"/>
  <c r="P14" i="60"/>
  <c r="Q14" i="60" s="1"/>
  <c r="S273" i="1"/>
  <c r="T273" i="1" s="1"/>
  <c r="L409" i="1"/>
  <c r="L276" i="1"/>
  <c r="T25" i="75"/>
  <c r="J25" i="75"/>
  <c r="M26" i="75"/>
  <c r="T26" i="75" s="1"/>
  <c r="U26" i="75" s="1"/>
  <c r="S244" i="15"/>
  <c r="T244" i="15" s="1"/>
  <c r="L245" i="15"/>
  <c r="I245" i="15" s="1"/>
  <c r="AJ281" i="9"/>
  <c r="G122" i="4"/>
  <c r="G123" i="4"/>
  <c r="F123" i="4" s="1"/>
  <c r="G129" i="4"/>
  <c r="G179" i="4"/>
  <c r="G181" i="4"/>
  <c r="G182" i="4"/>
  <c r="G124" i="4"/>
  <c r="G154" i="4"/>
  <c r="G183" i="4"/>
  <c r="G121" i="4"/>
  <c r="G138" i="4"/>
  <c r="G184" i="4"/>
  <c r="G137" i="4"/>
  <c r="G171" i="4"/>
  <c r="G178" i="4"/>
  <c r="E270" i="17"/>
  <c r="E270" i="7"/>
  <c r="E269" i="7"/>
  <c r="E265" i="7"/>
  <c r="E263" i="7"/>
  <c r="E272" i="7"/>
  <c r="E251" i="17"/>
  <c r="E247" i="17"/>
  <c r="E254" i="7"/>
  <c r="E267" i="17"/>
  <c r="E268" i="17"/>
  <c r="E251" i="7"/>
  <c r="E252" i="17"/>
  <c r="E267" i="7"/>
  <c r="D267" i="7" s="1"/>
  <c r="E265" i="17"/>
  <c r="D265" i="17" s="1"/>
  <c r="E249" i="17"/>
  <c r="E249" i="7"/>
  <c r="E261" i="17"/>
  <c r="E253" i="7"/>
  <c r="E266" i="17"/>
  <c r="E263" i="17"/>
  <c r="J152" i="6"/>
  <c r="J243" i="6" s="1"/>
  <c r="K152" i="9"/>
  <c r="K243" i="9" s="1"/>
  <c r="I152" i="9"/>
  <c r="I243" i="9" s="1"/>
  <c r="J152" i="9"/>
  <c r="J243" i="9" s="1"/>
  <c r="I152" i="6"/>
  <c r="I243" i="6" s="1"/>
  <c r="P54" i="26"/>
  <c r="Q54" i="26" s="1"/>
  <c r="G49" i="20"/>
  <c r="G51" i="20" s="1"/>
  <c r="G60" i="20" s="1"/>
  <c r="G61" i="20" s="1"/>
  <c r="G62" i="20" s="1"/>
  <c r="K34" i="66"/>
  <c r="L47" i="20"/>
  <c r="L49" i="20" s="1"/>
  <c r="L51" i="20" s="1"/>
  <c r="L130" i="20"/>
  <c r="AH47" i="21"/>
  <c r="AH49" i="21" s="1"/>
  <c r="AH51" i="21" s="1"/>
  <c r="AH130" i="21"/>
  <c r="AF277" i="6"/>
  <c r="AF279" i="6" s="1"/>
  <c r="AF42" i="21"/>
  <c r="M47" i="20"/>
  <c r="M49" i="20" s="1"/>
  <c r="M51" i="20" s="1"/>
  <c r="M130" i="20"/>
  <c r="AA42" i="21"/>
  <c r="AA277" i="6"/>
  <c r="AA279" i="6" s="1"/>
  <c r="J42" i="20"/>
  <c r="E42" i="20" s="1"/>
  <c r="C42" i="20" s="1"/>
  <c r="N277" i="5"/>
  <c r="N279" i="5" s="1"/>
  <c r="N280" i="5" s="1"/>
  <c r="AE270" i="6"/>
  <c r="AE270" i="9"/>
  <c r="AD179" i="4"/>
  <c r="AD182" i="4"/>
  <c r="AD172" i="4"/>
  <c r="AD183" i="4"/>
  <c r="AD128" i="4"/>
  <c r="AD121" i="4"/>
  <c r="AD178" i="4"/>
  <c r="AG137" i="3"/>
  <c r="AG140" i="3" s="1"/>
  <c r="AF140" i="3"/>
  <c r="L9" i="21"/>
  <c r="AD184" i="4"/>
  <c r="M18" i="20"/>
  <c r="S185" i="2"/>
  <c r="T185" i="2" s="1"/>
  <c r="X253" i="7"/>
  <c r="Y253" i="6" s="1"/>
  <c r="Z129" i="4"/>
  <c r="X265" i="17"/>
  <c r="Z265" i="16" s="1"/>
  <c r="X265" i="7"/>
  <c r="Y265" i="6" s="1"/>
  <c r="Z16" i="21"/>
  <c r="Z108" i="21" s="1"/>
  <c r="X251" i="7"/>
  <c r="Y251" i="6" s="1"/>
  <c r="X266" i="17"/>
  <c r="Z266" i="16" s="1"/>
  <c r="X268" i="7"/>
  <c r="Y268" i="6" s="1"/>
  <c r="Z171" i="4"/>
  <c r="Z171" i="3" s="1"/>
  <c r="AE265" i="6"/>
  <c r="AE265" i="9"/>
  <c r="AD138" i="4"/>
  <c r="AC138" i="3" s="1"/>
  <c r="AC270" i="6"/>
  <c r="AC270" i="9"/>
  <c r="AC272" i="9"/>
  <c r="AC272" i="6"/>
  <c r="AB249" i="7"/>
  <c r="AD249" i="6" s="1"/>
  <c r="AD137" i="4"/>
  <c r="AD126" i="4"/>
  <c r="AD171" i="4"/>
  <c r="AC171" i="3" s="1"/>
  <c r="K259" i="15"/>
  <c r="AD270" i="6"/>
  <c r="AD270" i="9"/>
  <c r="D140" i="3"/>
  <c r="D142" i="3" s="1"/>
  <c r="D9" i="21" s="1"/>
  <c r="X272" i="7"/>
  <c r="Y272" i="9" s="1"/>
  <c r="Z181" i="4"/>
  <c r="X263" i="17"/>
  <c r="Z263" i="16" s="1"/>
  <c r="Z179" i="4"/>
  <c r="X261" i="17"/>
  <c r="Z261" i="16" s="1"/>
  <c r="X269" i="7"/>
  <c r="Y269" i="9" s="1"/>
  <c r="Z122" i="4"/>
  <c r="X249" i="17"/>
  <c r="Z249" i="16" s="1"/>
  <c r="Z178" i="4"/>
  <c r="AE272" i="9"/>
  <c r="AE272" i="6"/>
  <c r="AB251" i="7"/>
  <c r="AC251" i="9" s="1"/>
  <c r="AB253" i="7"/>
  <c r="AE253" i="6" s="1"/>
  <c r="AB263" i="7"/>
  <c r="AD263" i="6" s="1"/>
  <c r="AD130" i="4"/>
  <c r="AD124" i="4"/>
  <c r="AD127" i="4"/>
  <c r="F9" i="20"/>
  <c r="X251" i="17"/>
  <c r="Z251" i="16" s="1"/>
  <c r="X267" i="7"/>
  <c r="Y267" i="9" s="1"/>
  <c r="Z154" i="4"/>
  <c r="Z154" i="3" s="1"/>
  <c r="Z17" i="21" s="1"/>
  <c r="Z109" i="21" s="1"/>
  <c r="X254" i="7"/>
  <c r="Y254" i="6" s="1"/>
  <c r="Z124" i="4"/>
  <c r="X267" i="17"/>
  <c r="Z267" i="16" s="1"/>
  <c r="X263" i="7"/>
  <c r="Y263" i="6" s="1"/>
  <c r="Z184" i="4"/>
  <c r="X270" i="17"/>
  <c r="Z270" i="16" s="1"/>
  <c r="Z138" i="4"/>
  <c r="Z138" i="3" s="1"/>
  <c r="Z140" i="3" s="1"/>
  <c r="Y137" i="3"/>
  <c r="AD123" i="4"/>
  <c r="AB254" i="7"/>
  <c r="AE254" i="9" s="1"/>
  <c r="AC265" i="9"/>
  <c r="AC265" i="6"/>
  <c r="AD181" i="4"/>
  <c r="AD129" i="4"/>
  <c r="AD122" i="4"/>
  <c r="AD125" i="4"/>
  <c r="G9" i="20"/>
  <c r="P44" i="26"/>
  <c r="Q44" i="26" s="1"/>
  <c r="F46" i="26"/>
  <c r="P46" i="26" s="1"/>
  <c r="Q46" i="26" s="1"/>
  <c r="AD265" i="9"/>
  <c r="AD265" i="6"/>
  <c r="AD272" i="6"/>
  <c r="AD272" i="9"/>
  <c r="J259" i="15"/>
  <c r="X268" i="17"/>
  <c r="Z268" i="16" s="1"/>
  <c r="Z121" i="4"/>
  <c r="X252" i="17"/>
  <c r="Z252" i="16" s="1"/>
  <c r="X270" i="7"/>
  <c r="Y270" i="6" s="1"/>
  <c r="Z123" i="4"/>
  <c r="X247" i="17"/>
  <c r="Z247" i="16" s="1"/>
  <c r="Z182" i="4"/>
  <c r="X249" i="7"/>
  <c r="Y249" i="9" s="1"/>
  <c r="Z183" i="4"/>
  <c r="H177" i="20"/>
  <c r="H182" i="20" s="1"/>
  <c r="H184" i="20" s="1"/>
  <c r="H186" i="20" s="1"/>
  <c r="H135" i="20"/>
  <c r="H137" i="20" s="1"/>
  <c r="H139" i="20" s="1"/>
  <c r="I177" i="20"/>
  <c r="I182" i="20" s="1"/>
  <c r="I184" i="20" s="1"/>
  <c r="I186" i="20" s="1"/>
  <c r="I135" i="20"/>
  <c r="I137" i="20" s="1"/>
  <c r="I139" i="20" s="1"/>
  <c r="AB135" i="21"/>
  <c r="AB137" i="21" s="1"/>
  <c r="AB139" i="21" s="1"/>
  <c r="AB177" i="21"/>
  <c r="AB182" i="21" s="1"/>
  <c r="AB184" i="21" s="1"/>
  <c r="AB186" i="21" s="1"/>
  <c r="M135" i="21"/>
  <c r="M137" i="21" s="1"/>
  <c r="M139" i="21" s="1"/>
  <c r="M177" i="21"/>
  <c r="M182" i="21" s="1"/>
  <c r="M184" i="21" s="1"/>
  <c r="M186" i="21" s="1"/>
  <c r="Y152" i="9"/>
  <c r="AK150" i="9"/>
  <c r="AL150" i="9" s="1"/>
  <c r="X130" i="21"/>
  <c r="X47" i="21"/>
  <c r="X49" i="21" s="1"/>
  <c r="X51" i="21" s="1"/>
  <c r="F130" i="20"/>
  <c r="F47" i="20"/>
  <c r="D42" i="21"/>
  <c r="D47" i="21" s="1"/>
  <c r="D49" i="21" s="1"/>
  <c r="D51" i="21" s="1"/>
  <c r="D60" i="21" s="1"/>
  <c r="J279" i="5"/>
  <c r="S277" i="5"/>
  <c r="T277" i="5" s="1"/>
  <c r="O176" i="20"/>
  <c r="AM176" i="21"/>
  <c r="E36" i="26"/>
  <c r="E28" i="26"/>
  <c r="E38" i="26"/>
  <c r="E34" i="26"/>
  <c r="E35" i="26"/>
  <c r="E33" i="26"/>
  <c r="E27" i="26"/>
  <c r="E37" i="26"/>
  <c r="Q176" i="21"/>
  <c r="N241" i="16"/>
  <c r="N41" i="21"/>
  <c r="Q130" i="2" l="1"/>
  <c r="Q15" i="30"/>
  <c r="P16" i="30"/>
  <c r="Q20" i="62"/>
  <c r="X123" i="3"/>
  <c r="O127" i="2"/>
  <c r="AB129" i="3"/>
  <c r="AE129" i="3" s="1"/>
  <c r="F18" i="30"/>
  <c r="Q16" i="30"/>
  <c r="F90" i="36"/>
  <c r="P20" i="36"/>
  <c r="Q20" i="36" s="1"/>
  <c r="AA124" i="3"/>
  <c r="M126" i="2"/>
  <c r="L278" i="1"/>
  <c r="S278" i="1" s="1"/>
  <c r="T278" i="1" s="1"/>
  <c r="AH127" i="3"/>
  <c r="AE127" i="3"/>
  <c r="AF130" i="3"/>
  <c r="AG130" i="3" s="1"/>
  <c r="AB123" i="3"/>
  <c r="AC123" i="3" s="1"/>
  <c r="Q123" i="2"/>
  <c r="AF122" i="3"/>
  <c r="AG122" i="3" s="1"/>
  <c r="Q125" i="2"/>
  <c r="O128" i="2"/>
  <c r="AH124" i="3"/>
  <c r="AA128" i="3"/>
  <c r="N125" i="2"/>
  <c r="Z129" i="3"/>
  <c r="AA123" i="3"/>
  <c r="N123" i="2"/>
  <c r="X124" i="3"/>
  <c r="M124" i="2"/>
  <c r="P126" i="2"/>
  <c r="AF126" i="3"/>
  <c r="AG126" i="3" s="1"/>
  <c r="P124" i="2"/>
  <c r="AF124" i="3"/>
  <c r="AG124" i="3" s="1"/>
  <c r="AH122" i="3"/>
  <c r="Q122" i="2"/>
  <c r="O122" i="2"/>
  <c r="AB122" i="3"/>
  <c r="AD122" i="3" s="1"/>
  <c r="Z127" i="3"/>
  <c r="Y127" i="3"/>
  <c r="Z123" i="3"/>
  <c r="AH126" i="3"/>
  <c r="Q126" i="2"/>
  <c r="M130" i="2"/>
  <c r="X130" i="3"/>
  <c r="Q404" i="1"/>
  <c r="AH121" i="3"/>
  <c r="Q121" i="2"/>
  <c r="O404" i="1"/>
  <c r="O121" i="2"/>
  <c r="AB121" i="3"/>
  <c r="AE121" i="3" s="1"/>
  <c r="P121" i="2"/>
  <c r="AF121" i="3"/>
  <c r="P404" i="1"/>
  <c r="AH129" i="3"/>
  <c r="Q129" i="2"/>
  <c r="L142" i="1"/>
  <c r="S142" i="1" s="1"/>
  <c r="T142" i="1" s="1"/>
  <c r="S132" i="1"/>
  <c r="T132" i="1" s="1"/>
  <c r="AB125" i="3"/>
  <c r="AD125" i="3" s="1"/>
  <c r="O125" i="2"/>
  <c r="N129" i="2"/>
  <c r="AA129" i="3"/>
  <c r="S394" i="1"/>
  <c r="T394" i="1" s="1"/>
  <c r="L122" i="2"/>
  <c r="M122" i="3"/>
  <c r="Q128" i="2"/>
  <c r="AH128" i="3"/>
  <c r="M130" i="3"/>
  <c r="L130" i="2"/>
  <c r="P123" i="2"/>
  <c r="AF123" i="3"/>
  <c r="AG123" i="3" s="1"/>
  <c r="S398" i="1"/>
  <c r="T398" i="1" s="1"/>
  <c r="L126" i="2"/>
  <c r="M126" i="3"/>
  <c r="P129" i="2"/>
  <c r="AF129" i="3"/>
  <c r="AG129" i="3" s="1"/>
  <c r="L124" i="2"/>
  <c r="S396" i="1"/>
  <c r="T396" i="1" s="1"/>
  <c r="M124" i="3"/>
  <c r="Y125" i="3"/>
  <c r="Z125" i="3"/>
  <c r="S268" i="1"/>
  <c r="T268" i="1" s="1"/>
  <c r="N404" i="1"/>
  <c r="AA121" i="3"/>
  <c r="N121" i="2"/>
  <c r="Y126" i="3"/>
  <c r="Z126" i="3"/>
  <c r="AA130" i="3"/>
  <c r="N130" i="2"/>
  <c r="Z124" i="3"/>
  <c r="AC130" i="3"/>
  <c r="AC128" i="3"/>
  <c r="X122" i="3"/>
  <c r="Z122" i="3" s="1"/>
  <c r="M122" i="2"/>
  <c r="AB124" i="3"/>
  <c r="AE124" i="3" s="1"/>
  <c r="O124" i="2"/>
  <c r="M123" i="3"/>
  <c r="L123" i="2"/>
  <c r="S395" i="1"/>
  <c r="T395" i="1" s="1"/>
  <c r="M127" i="3"/>
  <c r="L127" i="2"/>
  <c r="L404" i="1"/>
  <c r="S393" i="1"/>
  <c r="T393" i="1" s="1"/>
  <c r="L121" i="2"/>
  <c r="M121" i="3"/>
  <c r="M128" i="2"/>
  <c r="X128" i="3"/>
  <c r="M128" i="3"/>
  <c r="L128" i="2"/>
  <c r="L125" i="2"/>
  <c r="S397" i="1"/>
  <c r="T397" i="1" s="1"/>
  <c r="M125" i="3"/>
  <c r="M121" i="2"/>
  <c r="X121" i="3"/>
  <c r="Y121" i="3" s="1"/>
  <c r="M404" i="1"/>
  <c r="M129" i="3"/>
  <c r="L129" i="2"/>
  <c r="AB126" i="3"/>
  <c r="AE126" i="3" s="1"/>
  <c r="O126" i="2"/>
  <c r="AE171" i="3"/>
  <c r="AD128" i="3"/>
  <c r="Y247" i="16"/>
  <c r="L137" i="2"/>
  <c r="L140" i="2" s="1"/>
  <c r="L412" i="1"/>
  <c r="S409" i="1"/>
  <c r="T409" i="1" s="1"/>
  <c r="M137" i="3"/>
  <c r="M140" i="3" s="1"/>
  <c r="U25" i="75"/>
  <c r="I25" i="75"/>
  <c r="G25" i="75" s="1"/>
  <c r="Y263" i="9"/>
  <c r="Y254" i="9"/>
  <c r="J41" i="21"/>
  <c r="J129" i="21" s="1"/>
  <c r="J176" i="21" s="1"/>
  <c r="E17" i="26" s="1"/>
  <c r="D261" i="17"/>
  <c r="D270" i="7"/>
  <c r="E270" i="6" s="1"/>
  <c r="F182" i="4"/>
  <c r="D253" i="7"/>
  <c r="E253" i="9" s="1"/>
  <c r="D268" i="17"/>
  <c r="D251" i="17"/>
  <c r="D269" i="7"/>
  <c r="E269" i="9" s="1"/>
  <c r="F171" i="4"/>
  <c r="E171" i="3" s="1"/>
  <c r="F138" i="4"/>
  <c r="F124" i="4"/>
  <c r="E16" i="21"/>
  <c r="I41" i="21"/>
  <c r="I129" i="21" s="1"/>
  <c r="I176" i="21" s="1"/>
  <c r="E15" i="26" s="1"/>
  <c r="D272" i="7"/>
  <c r="E272" i="9" s="1"/>
  <c r="F121" i="4"/>
  <c r="AL99" i="16"/>
  <c r="D263" i="17"/>
  <c r="D249" i="7"/>
  <c r="E249" i="6" s="1"/>
  <c r="D252" i="17"/>
  <c r="D254" i="7"/>
  <c r="E254" i="6" s="1"/>
  <c r="D263" i="7"/>
  <c r="E263" i="6" s="1"/>
  <c r="D270" i="17"/>
  <c r="F184" i="4"/>
  <c r="F183" i="4"/>
  <c r="F181" i="4"/>
  <c r="D267" i="17"/>
  <c r="F137" i="4"/>
  <c r="F129" i="4"/>
  <c r="E129" i="3" s="1"/>
  <c r="E41" i="21"/>
  <c r="D266" i="17"/>
  <c r="D249" i="17"/>
  <c r="D251" i="7"/>
  <c r="E251" i="9" s="1"/>
  <c r="D247" i="17"/>
  <c r="D265" i="7"/>
  <c r="F178" i="4"/>
  <c r="F154" i="4"/>
  <c r="E154" i="3" s="1"/>
  <c r="E17" i="21" s="1"/>
  <c r="F179" i="4"/>
  <c r="F122" i="4"/>
  <c r="AD171" i="3"/>
  <c r="AC253" i="9"/>
  <c r="Y171" i="3"/>
  <c r="M135" i="20"/>
  <c r="M137" i="20" s="1"/>
  <c r="M139" i="20" s="1"/>
  <c r="M177" i="20"/>
  <c r="M182" i="20" s="1"/>
  <c r="M184" i="20" s="1"/>
  <c r="M186" i="20" s="1"/>
  <c r="AF47" i="21"/>
  <c r="AF49" i="21" s="1"/>
  <c r="AF51" i="21" s="1"/>
  <c r="AF130" i="21"/>
  <c r="L177" i="20"/>
  <c r="L182" i="20" s="1"/>
  <c r="L184" i="20" s="1"/>
  <c r="L186" i="20" s="1"/>
  <c r="L135" i="20"/>
  <c r="L137" i="20" s="1"/>
  <c r="L139" i="20" s="1"/>
  <c r="I34" i="66"/>
  <c r="I38" i="66" s="1"/>
  <c r="K38" i="66"/>
  <c r="AD127" i="3"/>
  <c r="AC263" i="6"/>
  <c r="AC249" i="9"/>
  <c r="AH177" i="21"/>
  <c r="AH135" i="21"/>
  <c r="AH137" i="21" s="1"/>
  <c r="AH139" i="21" s="1"/>
  <c r="Y270" i="16"/>
  <c r="Y124" i="3"/>
  <c r="AC127" i="3"/>
  <c r="Y249" i="16"/>
  <c r="AC249" i="6"/>
  <c r="Y265" i="9"/>
  <c r="AD138" i="3"/>
  <c r="AE128" i="3"/>
  <c r="Y267" i="16"/>
  <c r="AE138" i="3"/>
  <c r="Y266" i="16"/>
  <c r="Y265" i="16"/>
  <c r="AL265" i="16" s="1"/>
  <c r="J47" i="20"/>
  <c r="J49" i="20" s="1"/>
  <c r="J51" i="20" s="1"/>
  <c r="J130" i="20"/>
  <c r="E130" i="20" s="1"/>
  <c r="C130" i="20" s="1"/>
  <c r="AA130" i="21"/>
  <c r="AA47" i="21"/>
  <c r="AA49" i="21" s="1"/>
  <c r="AA51" i="21" s="1"/>
  <c r="Y249" i="6"/>
  <c r="Z249" i="6"/>
  <c r="Z249" i="9"/>
  <c r="Y270" i="9"/>
  <c r="Z270" i="9"/>
  <c r="Z270" i="6"/>
  <c r="AC254" i="6"/>
  <c r="AE251" i="6"/>
  <c r="Z254" i="6"/>
  <c r="Z254" i="9"/>
  <c r="Y267" i="6"/>
  <c r="Z267" i="9"/>
  <c r="Z267" i="6"/>
  <c r="AC263" i="9"/>
  <c r="AC253" i="6"/>
  <c r="Y261" i="16"/>
  <c r="Y263" i="16"/>
  <c r="AD251" i="9"/>
  <c r="AE130" i="3"/>
  <c r="Y251" i="9"/>
  <c r="Z251" i="6"/>
  <c r="Z251" i="9"/>
  <c r="Y129" i="3"/>
  <c r="AD130" i="3"/>
  <c r="AD263" i="9"/>
  <c r="AD249" i="9"/>
  <c r="AE253" i="9"/>
  <c r="Y123" i="3"/>
  <c r="Y252" i="16"/>
  <c r="Y268" i="16"/>
  <c r="AC254" i="9"/>
  <c r="AE251" i="9"/>
  <c r="Y138" i="3"/>
  <c r="Y140" i="3" s="1"/>
  <c r="Z263" i="9"/>
  <c r="Z263" i="6"/>
  <c r="Y154" i="3"/>
  <c r="Y17" i="21" s="1"/>
  <c r="Y109" i="21" s="1"/>
  <c r="X109" i="21" s="1"/>
  <c r="Y251" i="16"/>
  <c r="F101" i="20"/>
  <c r="AC251" i="6"/>
  <c r="Y272" i="6"/>
  <c r="Z272" i="9"/>
  <c r="Z272" i="6"/>
  <c r="AD251" i="6"/>
  <c r="AC137" i="3"/>
  <c r="AC140" i="3" s="1"/>
  <c r="AD137" i="3"/>
  <c r="Y16" i="21"/>
  <c r="Y108" i="21" s="1"/>
  <c r="X108" i="21" s="1"/>
  <c r="Z265" i="6"/>
  <c r="Z265" i="9"/>
  <c r="M110" i="20"/>
  <c r="E110" i="20" s="1"/>
  <c r="C110" i="20" s="1"/>
  <c r="AM110" i="21" s="1"/>
  <c r="E18" i="20"/>
  <c r="C18" i="20" s="1"/>
  <c r="AM18" i="21" s="1"/>
  <c r="AD254" i="6"/>
  <c r="AE263" i="9"/>
  <c r="AE249" i="9"/>
  <c r="AE254" i="6"/>
  <c r="AD253" i="6"/>
  <c r="K261" i="15"/>
  <c r="K274" i="15" s="1"/>
  <c r="K276" i="15" s="1"/>
  <c r="K278" i="15" s="1"/>
  <c r="K279" i="15" s="1"/>
  <c r="Y268" i="9"/>
  <c r="Z268" i="6"/>
  <c r="Z268" i="9"/>
  <c r="Z18" i="21"/>
  <c r="Z110" i="21" s="1"/>
  <c r="AD254" i="9"/>
  <c r="AE263" i="6"/>
  <c r="AE249" i="6"/>
  <c r="D275" i="16"/>
  <c r="D277" i="16" s="1"/>
  <c r="J261" i="15"/>
  <c r="Y269" i="6"/>
  <c r="Z269" i="9"/>
  <c r="Z269" i="6"/>
  <c r="AD253" i="9"/>
  <c r="Y253" i="9"/>
  <c r="Z253" i="6"/>
  <c r="Z253" i="9"/>
  <c r="AE137" i="3"/>
  <c r="AE140" i="3" s="1"/>
  <c r="X135" i="21"/>
  <c r="X137" i="21" s="1"/>
  <c r="X139" i="21" s="1"/>
  <c r="X177" i="21"/>
  <c r="X182" i="21" s="1"/>
  <c r="X184" i="21" s="1"/>
  <c r="X186" i="21" s="1"/>
  <c r="Y243" i="9"/>
  <c r="AM42" i="21"/>
  <c r="AN42" i="21" s="1"/>
  <c r="C47" i="20"/>
  <c r="J280" i="5"/>
  <c r="I280" i="5" s="1"/>
  <c r="S279" i="5"/>
  <c r="D61" i="21"/>
  <c r="D62" i="21" s="1"/>
  <c r="F49" i="20"/>
  <c r="F177" i="20"/>
  <c r="F135" i="20"/>
  <c r="P124" i="4"/>
  <c r="O124" i="4" s="1"/>
  <c r="P154" i="4"/>
  <c r="O154" i="4" s="1"/>
  <c r="P121" i="4"/>
  <c r="O121" i="4" s="1"/>
  <c r="P129" i="4"/>
  <c r="O129" i="4" s="1"/>
  <c r="P183" i="4"/>
  <c r="O183" i="4" s="1"/>
  <c r="P122" i="4"/>
  <c r="O122" i="4" s="1"/>
  <c r="P123" i="4"/>
  <c r="O123" i="4" s="1"/>
  <c r="P137" i="4"/>
  <c r="O137" i="4" s="1"/>
  <c r="P138" i="4"/>
  <c r="O138" i="4" s="1"/>
  <c r="P181" i="4"/>
  <c r="O181" i="4" s="1"/>
  <c r="P182" i="4"/>
  <c r="O182" i="4" s="1"/>
  <c r="P171" i="4"/>
  <c r="O171" i="4" s="1"/>
  <c r="P178" i="4"/>
  <c r="O178" i="4" s="1"/>
  <c r="P179" i="4"/>
  <c r="O179" i="4" s="1"/>
  <c r="P184" i="4"/>
  <c r="O184" i="4" s="1"/>
  <c r="E29" i="26"/>
  <c r="M27" i="26"/>
  <c r="L27" i="26"/>
  <c r="G27" i="26"/>
  <c r="J27" i="26"/>
  <c r="K27" i="26"/>
  <c r="F27" i="26"/>
  <c r="I27" i="26"/>
  <c r="N27" i="26"/>
  <c r="H27" i="26"/>
  <c r="H34" i="26"/>
  <c r="K34" i="26"/>
  <c r="J34" i="26"/>
  <c r="L34" i="26"/>
  <c r="I34" i="26"/>
  <c r="N34" i="26"/>
  <c r="G34" i="26"/>
  <c r="F34" i="26"/>
  <c r="M34" i="26"/>
  <c r="M35" i="26"/>
  <c r="F35" i="26"/>
  <c r="G35" i="26"/>
  <c r="H35" i="26"/>
  <c r="K35" i="26"/>
  <c r="L35" i="26"/>
  <c r="I35" i="26"/>
  <c r="J35" i="26"/>
  <c r="N35" i="26"/>
  <c r="I37" i="26"/>
  <c r="N37" i="26"/>
  <c r="M37" i="26"/>
  <c r="L37" i="26"/>
  <c r="G37" i="26"/>
  <c r="F37" i="26"/>
  <c r="J37" i="26"/>
  <c r="K37" i="26"/>
  <c r="H37" i="26"/>
  <c r="G33" i="26"/>
  <c r="L33" i="26"/>
  <c r="N33" i="26"/>
  <c r="K33" i="26"/>
  <c r="J33" i="26"/>
  <c r="E39" i="26"/>
  <c r="I33" i="26"/>
  <c r="F33" i="26"/>
  <c r="M33" i="26"/>
  <c r="H33" i="26"/>
  <c r="H38" i="26"/>
  <c r="G38" i="26"/>
  <c r="J38" i="26"/>
  <c r="L38" i="26"/>
  <c r="M38" i="26"/>
  <c r="N38" i="26"/>
  <c r="K38" i="26"/>
  <c r="F38" i="26"/>
  <c r="I38" i="26"/>
  <c r="L28" i="26"/>
  <c r="G28" i="26"/>
  <c r="J28" i="26"/>
  <c r="M28" i="26"/>
  <c r="F28" i="26"/>
  <c r="N28" i="26"/>
  <c r="K28" i="26"/>
  <c r="H28" i="26"/>
  <c r="I28" i="26"/>
  <c r="L36" i="26"/>
  <c r="K36" i="26"/>
  <c r="J36" i="26"/>
  <c r="G36" i="26"/>
  <c r="F36" i="26"/>
  <c r="N36" i="26"/>
  <c r="I36" i="26"/>
  <c r="H36" i="26"/>
  <c r="M36" i="26"/>
  <c r="N129" i="21"/>
  <c r="N265" i="7"/>
  <c r="N272" i="7"/>
  <c r="N253" i="7"/>
  <c r="N267" i="7"/>
  <c r="N254" i="7"/>
  <c r="N269" i="7"/>
  <c r="N270" i="7"/>
  <c r="N263" i="7"/>
  <c r="N251" i="7"/>
  <c r="N249" i="7"/>
  <c r="N249" i="17"/>
  <c r="N263" i="17"/>
  <c r="N247" i="17"/>
  <c r="N251" i="17"/>
  <c r="N265" i="17"/>
  <c r="M265" i="17" s="1"/>
  <c r="N261" i="17"/>
  <c r="N270" i="17"/>
  <c r="N252" i="17"/>
  <c r="N268" i="17"/>
  <c r="N267" i="17"/>
  <c r="AC124" i="3" l="1"/>
  <c r="AC129" i="3"/>
  <c r="AD124" i="3"/>
  <c r="AD129" i="3"/>
  <c r="E129" i="21"/>
  <c r="AI129" i="21" s="1"/>
  <c r="AI41" i="21"/>
  <c r="E108" i="21"/>
  <c r="E261" i="16"/>
  <c r="E247" i="16"/>
  <c r="E267" i="16"/>
  <c r="E252" i="16"/>
  <c r="E263" i="16"/>
  <c r="E251" i="16"/>
  <c r="E109" i="21"/>
  <c r="E266" i="16"/>
  <c r="E268" i="16"/>
  <c r="AD121" i="3"/>
  <c r="P18" i="30"/>
  <c r="Q18" i="30" s="1"/>
  <c r="F62" i="30"/>
  <c r="P62" i="30" s="1"/>
  <c r="Q62" i="30" s="1"/>
  <c r="AE125" i="3"/>
  <c r="AE123" i="3"/>
  <c r="AD123" i="3"/>
  <c r="AC126" i="3"/>
  <c r="AD126" i="3"/>
  <c r="AD132" i="3" s="1"/>
  <c r="AD273" i="7" s="1"/>
  <c r="S125" i="2"/>
  <c r="T125" i="2" s="1"/>
  <c r="AE122" i="3"/>
  <c r="L414" i="1"/>
  <c r="Y122" i="3"/>
  <c r="AC122" i="3"/>
  <c r="AC125" i="3"/>
  <c r="L132" i="2"/>
  <c r="L142" i="2" s="1"/>
  <c r="H9" i="20" s="1"/>
  <c r="S121" i="2"/>
  <c r="T121" i="2" s="1"/>
  <c r="T126" i="3"/>
  <c r="V126" i="3"/>
  <c r="U126" i="3"/>
  <c r="N126" i="3"/>
  <c r="O126" i="3"/>
  <c r="W126" i="3"/>
  <c r="S126" i="3"/>
  <c r="P126" i="3"/>
  <c r="Q126" i="3"/>
  <c r="R126" i="3"/>
  <c r="AF132" i="3"/>
  <c r="AG121" i="3"/>
  <c r="AG132" i="3" s="1"/>
  <c r="Z130" i="3"/>
  <c r="Y130" i="3"/>
  <c r="M405" i="1"/>
  <c r="M414" i="1"/>
  <c r="Z128" i="3"/>
  <c r="Y128" i="3"/>
  <c r="N132" i="2"/>
  <c r="S124" i="2"/>
  <c r="T124" i="2" s="1"/>
  <c r="S126" i="2"/>
  <c r="T126" i="2" s="1"/>
  <c r="S122" i="2"/>
  <c r="T122" i="2" s="1"/>
  <c r="P132" i="2"/>
  <c r="Q132" i="2"/>
  <c r="V128" i="3"/>
  <c r="R128" i="3"/>
  <c r="W128" i="3"/>
  <c r="Q128" i="3"/>
  <c r="P128" i="3"/>
  <c r="U128" i="3"/>
  <c r="O128" i="3"/>
  <c r="S128" i="3"/>
  <c r="N128" i="3"/>
  <c r="T128" i="3"/>
  <c r="O405" i="1"/>
  <c r="O414" i="1"/>
  <c r="X132" i="3"/>
  <c r="S404" i="1"/>
  <c r="T404" i="1" s="1"/>
  <c r="L405" i="1"/>
  <c r="S123" i="2"/>
  <c r="T123" i="2" s="1"/>
  <c r="AA132" i="3"/>
  <c r="Q130" i="3"/>
  <c r="V130" i="3"/>
  <c r="O130" i="3"/>
  <c r="R130" i="3"/>
  <c r="P130" i="3"/>
  <c r="S130" i="3"/>
  <c r="W130" i="3"/>
  <c r="N130" i="3"/>
  <c r="T130" i="3"/>
  <c r="U130" i="3"/>
  <c r="AB132" i="3"/>
  <c r="AH132" i="3"/>
  <c r="U125" i="3"/>
  <c r="P125" i="3"/>
  <c r="O125" i="3"/>
  <c r="W125" i="3"/>
  <c r="R125" i="3"/>
  <c r="V125" i="3"/>
  <c r="S125" i="3"/>
  <c r="N125" i="3"/>
  <c r="Q125" i="3"/>
  <c r="T125" i="3"/>
  <c r="O127" i="3"/>
  <c r="N127" i="3"/>
  <c r="Q127" i="3"/>
  <c r="T127" i="3"/>
  <c r="V127" i="3"/>
  <c r="U127" i="3"/>
  <c r="S127" i="3"/>
  <c r="P127" i="3"/>
  <c r="R127" i="3"/>
  <c r="W127" i="3"/>
  <c r="M132" i="2"/>
  <c r="M132" i="3"/>
  <c r="M142" i="3" s="1"/>
  <c r="M9" i="21" s="1"/>
  <c r="N405" i="1"/>
  <c r="N414" i="1"/>
  <c r="AC121" i="3"/>
  <c r="P405" i="1"/>
  <c r="P414" i="1"/>
  <c r="O132" i="2"/>
  <c r="Q405" i="1"/>
  <c r="R24" i="75" s="1"/>
  <c r="Q414" i="1"/>
  <c r="Z121" i="3"/>
  <c r="AD140" i="3"/>
  <c r="E270" i="9"/>
  <c r="E249" i="9"/>
  <c r="E263" i="9"/>
  <c r="E254" i="9"/>
  <c r="E251" i="6"/>
  <c r="K265" i="9"/>
  <c r="J265" i="9"/>
  <c r="J265" i="6"/>
  <c r="I265" i="6"/>
  <c r="I265" i="9"/>
  <c r="I137" i="3"/>
  <c r="J137" i="3"/>
  <c r="I121" i="3"/>
  <c r="J121" i="3"/>
  <c r="I122" i="3"/>
  <c r="J122" i="3"/>
  <c r="E265" i="9"/>
  <c r="K251" i="9"/>
  <c r="I249" i="16"/>
  <c r="J249" i="16"/>
  <c r="J270" i="16"/>
  <c r="I270" i="16"/>
  <c r="E121" i="3"/>
  <c r="J272" i="6"/>
  <c r="K272" i="9"/>
  <c r="J272" i="9"/>
  <c r="I272" i="6"/>
  <c r="I272" i="9"/>
  <c r="I124" i="3"/>
  <c r="J124" i="3"/>
  <c r="K253" i="9"/>
  <c r="J253" i="9"/>
  <c r="J253" i="6"/>
  <c r="I253" i="6"/>
  <c r="I253" i="9"/>
  <c r="J129" i="3"/>
  <c r="I129" i="3"/>
  <c r="J138" i="3"/>
  <c r="I138" i="3"/>
  <c r="E138" i="3"/>
  <c r="J269" i="6"/>
  <c r="J269" i="9"/>
  <c r="K269" i="9"/>
  <c r="I269" i="6"/>
  <c r="I269" i="9"/>
  <c r="J154" i="3"/>
  <c r="J17" i="21" s="1"/>
  <c r="J109" i="21" s="1"/>
  <c r="I154" i="3"/>
  <c r="I17" i="21" s="1"/>
  <c r="I109" i="21" s="1"/>
  <c r="I251" i="6"/>
  <c r="J251" i="6"/>
  <c r="I251" i="9"/>
  <c r="J251" i="9"/>
  <c r="J266" i="16"/>
  <c r="I266" i="16"/>
  <c r="K254" i="9"/>
  <c r="I254" i="9"/>
  <c r="J254" i="9"/>
  <c r="I254" i="6"/>
  <c r="J254" i="6"/>
  <c r="K171" i="3"/>
  <c r="J171" i="3"/>
  <c r="I171" i="3"/>
  <c r="J270" i="6"/>
  <c r="J270" i="9"/>
  <c r="K270" i="9"/>
  <c r="I270" i="9"/>
  <c r="I270" i="6"/>
  <c r="N17" i="26"/>
  <c r="H17" i="26"/>
  <c r="K17" i="26"/>
  <c r="G17" i="26"/>
  <c r="L17" i="26"/>
  <c r="I17" i="26"/>
  <c r="F17" i="26"/>
  <c r="M17" i="26"/>
  <c r="J17" i="26"/>
  <c r="J263" i="16"/>
  <c r="I263" i="16"/>
  <c r="M15" i="26"/>
  <c r="I15" i="26"/>
  <c r="L15" i="26"/>
  <c r="K15" i="26"/>
  <c r="J15" i="26"/>
  <c r="N15" i="26"/>
  <c r="G15" i="26"/>
  <c r="F15" i="26"/>
  <c r="H15" i="26"/>
  <c r="J268" i="16"/>
  <c r="I268" i="16"/>
  <c r="E122" i="3"/>
  <c r="E265" i="6"/>
  <c r="J247" i="16"/>
  <c r="I247" i="16"/>
  <c r="E249" i="16"/>
  <c r="D129" i="21"/>
  <c r="D176" i="21" s="1"/>
  <c r="E176" i="21"/>
  <c r="J267" i="16"/>
  <c r="I267" i="16"/>
  <c r="I123" i="3"/>
  <c r="J123" i="3"/>
  <c r="E123" i="3"/>
  <c r="E270" i="16"/>
  <c r="J263" i="6"/>
  <c r="K263" i="9"/>
  <c r="J263" i="9"/>
  <c r="I263" i="6"/>
  <c r="I263" i="9"/>
  <c r="J252" i="16"/>
  <c r="I252" i="16"/>
  <c r="K249" i="9"/>
  <c r="J249" i="9"/>
  <c r="I249" i="9"/>
  <c r="J249" i="6"/>
  <c r="I249" i="6"/>
  <c r="AL152" i="16"/>
  <c r="E272" i="6"/>
  <c r="I16" i="21"/>
  <c r="I108" i="21" s="1"/>
  <c r="J16" i="21"/>
  <c r="J108" i="21" s="1"/>
  <c r="E124" i="3"/>
  <c r="E269" i="6"/>
  <c r="J251" i="16"/>
  <c r="I251" i="16"/>
  <c r="E253" i="6"/>
  <c r="J261" i="16"/>
  <c r="I261" i="16"/>
  <c r="E137" i="3"/>
  <c r="AH182" i="21"/>
  <c r="AH184" i="21" s="1"/>
  <c r="AH186" i="21" s="1"/>
  <c r="E60" i="27"/>
  <c r="AF135" i="21"/>
  <c r="AF137" i="21" s="1"/>
  <c r="AF139" i="21" s="1"/>
  <c r="AF177" i="21"/>
  <c r="AF182" i="21" s="1"/>
  <c r="AF184" i="21" s="1"/>
  <c r="AF186" i="21" s="1"/>
  <c r="Y277" i="9"/>
  <c r="Y279" i="9" s="1"/>
  <c r="Y42" i="21"/>
  <c r="E47" i="20"/>
  <c r="AD277" i="6"/>
  <c r="AD279" i="6" s="1"/>
  <c r="AA135" i="21"/>
  <c r="AA137" i="21" s="1"/>
  <c r="AA139" i="21" s="1"/>
  <c r="AA177" i="21"/>
  <c r="J177" i="20"/>
  <c r="J182" i="20" s="1"/>
  <c r="J184" i="20" s="1"/>
  <c r="J186" i="20" s="1"/>
  <c r="J135" i="20"/>
  <c r="J137" i="20" s="1"/>
  <c r="J139" i="20" s="1"/>
  <c r="AE277" i="9"/>
  <c r="AE279" i="9" s="1"/>
  <c r="Y18" i="21"/>
  <c r="Y110" i="21" s="1"/>
  <c r="X110" i="21" s="1"/>
  <c r="Z277" i="9"/>
  <c r="Z279" i="9" s="1"/>
  <c r="AC277" i="9"/>
  <c r="AC279" i="9" s="1"/>
  <c r="D277" i="9"/>
  <c r="D279" i="9" s="1"/>
  <c r="J274" i="15"/>
  <c r="AL268" i="9"/>
  <c r="AD277" i="9"/>
  <c r="AD279" i="9" s="1"/>
  <c r="K277" i="8"/>
  <c r="K279" i="8" s="1"/>
  <c r="K283" i="8" s="1"/>
  <c r="K285" i="8" s="1"/>
  <c r="K441" i="1" s="1"/>
  <c r="AM130" i="21"/>
  <c r="C135" i="20"/>
  <c r="F51" i="20"/>
  <c r="F60" i="20" s="1"/>
  <c r="E49" i="20"/>
  <c r="E51" i="20" s="1"/>
  <c r="AK281" i="6"/>
  <c r="T279" i="5"/>
  <c r="AM47" i="21"/>
  <c r="C49" i="20"/>
  <c r="F182" i="20"/>
  <c r="F137" i="20"/>
  <c r="H39" i="26"/>
  <c r="L39" i="26"/>
  <c r="P35" i="26"/>
  <c r="Q35" i="26" s="1"/>
  <c r="P34" i="26"/>
  <c r="Q34" i="26" s="1"/>
  <c r="P27" i="26"/>
  <c r="Q27" i="26" s="1"/>
  <c r="P28" i="26"/>
  <c r="Q28" i="26" s="1"/>
  <c r="M39" i="26"/>
  <c r="J39" i="26"/>
  <c r="G39" i="26"/>
  <c r="P37" i="26"/>
  <c r="Q37" i="26" s="1"/>
  <c r="P38" i="26"/>
  <c r="Q38" i="26" s="1"/>
  <c r="P33" i="26"/>
  <c r="Q33" i="26" s="1"/>
  <c r="F39" i="26"/>
  <c r="K39" i="26"/>
  <c r="K29" i="26"/>
  <c r="J29" i="26"/>
  <c r="I29" i="26"/>
  <c r="F29" i="26"/>
  <c r="M29" i="26"/>
  <c r="H29" i="26"/>
  <c r="G29" i="26"/>
  <c r="L29" i="26"/>
  <c r="N29" i="26"/>
  <c r="P36" i="26"/>
  <c r="Q36" i="26" s="1"/>
  <c r="I39" i="26"/>
  <c r="N39" i="26"/>
  <c r="M267" i="17"/>
  <c r="N267" i="16" s="1"/>
  <c r="M270" i="17"/>
  <c r="M247" i="17"/>
  <c r="N247" i="16" s="1"/>
  <c r="M263" i="7"/>
  <c r="N263" i="6" s="1"/>
  <c r="M272" i="7"/>
  <c r="N272" i="9" s="1"/>
  <c r="M268" i="17"/>
  <c r="M261" i="17"/>
  <c r="N261" i="16" s="1"/>
  <c r="M263" i="17"/>
  <c r="M270" i="7"/>
  <c r="N270" i="9" s="1"/>
  <c r="M254" i="7"/>
  <c r="M265" i="7"/>
  <c r="N265" i="6" s="1"/>
  <c r="N176" i="21"/>
  <c r="M252" i="17"/>
  <c r="N252" i="16" s="1"/>
  <c r="M249" i="17"/>
  <c r="M269" i="7"/>
  <c r="N269" i="6" s="1"/>
  <c r="M267" i="7"/>
  <c r="N171" i="3"/>
  <c r="N138" i="3"/>
  <c r="N124" i="3"/>
  <c r="M251" i="17"/>
  <c r="N251" i="16" s="1"/>
  <c r="M249" i="7"/>
  <c r="N249" i="6" s="1"/>
  <c r="M251" i="7"/>
  <c r="N251" i="9" s="1"/>
  <c r="M253" i="7"/>
  <c r="E10" i="26" l="1"/>
  <c r="E16" i="26" s="1"/>
  <c r="AI176" i="21"/>
  <c r="AE132" i="3"/>
  <c r="AE271" i="17" s="1"/>
  <c r="AE108" i="14"/>
  <c r="AE273" i="7"/>
  <c r="AE25" i="19"/>
  <c r="L259" i="15"/>
  <c r="M275" i="16" s="1"/>
  <c r="M277" i="16" s="1"/>
  <c r="AC132" i="3"/>
  <c r="AC108" i="14" s="1"/>
  <c r="Y132" i="3"/>
  <c r="Y101" i="14" s="1"/>
  <c r="S414" i="1"/>
  <c r="T414" i="1" s="1"/>
  <c r="Z132" i="3"/>
  <c r="Z108" i="14" s="1"/>
  <c r="P259" i="15"/>
  <c r="AB108" i="14"/>
  <c r="AB109" i="14"/>
  <c r="AB25" i="19"/>
  <c r="AB142" i="3"/>
  <c r="Q259" i="15"/>
  <c r="Q24" i="75"/>
  <c r="P406" i="1"/>
  <c r="O259" i="15"/>
  <c r="J30" i="18"/>
  <c r="M142" i="2"/>
  <c r="P24" i="75"/>
  <c r="O406" i="1"/>
  <c r="M30" i="18"/>
  <c r="P142" i="2"/>
  <c r="L9" i="20" s="1"/>
  <c r="L101" i="20" s="1"/>
  <c r="K30" i="18"/>
  <c r="N142" i="2"/>
  <c r="J9" i="20" s="1"/>
  <c r="J101" i="20" s="1"/>
  <c r="M406" i="1"/>
  <c r="N24" i="75"/>
  <c r="AG25" i="19"/>
  <c r="AF25" i="19" s="1"/>
  <c r="AG271" i="17"/>
  <c r="AF271" i="17" s="1"/>
  <c r="AG271" i="16" s="1"/>
  <c r="AG275" i="16" s="1"/>
  <c r="AG277" i="16" s="1"/>
  <c r="AG108" i="14"/>
  <c r="AG94" i="14"/>
  <c r="AF94" i="14" s="1"/>
  <c r="AG94" i="13" s="1"/>
  <c r="AG97" i="13" s="1"/>
  <c r="AG273" i="7"/>
  <c r="AG101" i="14"/>
  <c r="AF101" i="14" s="1"/>
  <c r="AG109" i="14"/>
  <c r="AG142" i="3"/>
  <c r="N406" i="1"/>
  <c r="O24" i="75"/>
  <c r="M108" i="14"/>
  <c r="M109" i="14"/>
  <c r="M24" i="75"/>
  <c r="L406" i="1"/>
  <c r="N30" i="18"/>
  <c r="Q142" i="2"/>
  <c r="M9" i="20" s="1"/>
  <c r="M101" i="20" s="1"/>
  <c r="M259" i="15"/>
  <c r="Z101" i="14"/>
  <c r="L30" i="18"/>
  <c r="O142" i="2"/>
  <c r="N259" i="15"/>
  <c r="AH108" i="14"/>
  <c r="AH109" i="14"/>
  <c r="AH25" i="19"/>
  <c r="AH101" i="14"/>
  <c r="AH142" i="3"/>
  <c r="AA108" i="14"/>
  <c r="AA101" i="14"/>
  <c r="AA109" i="14"/>
  <c r="AA25" i="19"/>
  <c r="AA142" i="3"/>
  <c r="AA9" i="21" s="1"/>
  <c r="AA101" i="21" s="1"/>
  <c r="X142" i="3"/>
  <c r="X108" i="14"/>
  <c r="X109" i="14"/>
  <c r="AF109" i="14"/>
  <c r="AF108" i="14"/>
  <c r="AF142" i="3"/>
  <c r="AF9" i="21" s="1"/>
  <c r="I30" i="18"/>
  <c r="S132" i="2"/>
  <c r="T132" i="2" s="1"/>
  <c r="AE101" i="14"/>
  <c r="AE109" i="14"/>
  <c r="AE142" i="3"/>
  <c r="AG156" i="4" s="1"/>
  <c r="AD101" i="14"/>
  <c r="AD271" i="17"/>
  <c r="P17" i="26"/>
  <c r="Q17" i="26" s="1"/>
  <c r="AD108" i="14"/>
  <c r="AD109" i="14"/>
  <c r="AD25" i="19"/>
  <c r="AD142" i="3"/>
  <c r="AF156" i="4" s="1"/>
  <c r="H101" i="20"/>
  <c r="D109" i="21"/>
  <c r="E140" i="3"/>
  <c r="D108" i="21"/>
  <c r="AL241" i="16"/>
  <c r="J140" i="3"/>
  <c r="P15" i="26"/>
  <c r="Q15" i="26" s="1"/>
  <c r="I140" i="3"/>
  <c r="M60" i="27"/>
  <c r="N60" i="27"/>
  <c r="K60" i="27"/>
  <c r="I60" i="27"/>
  <c r="J60" i="27"/>
  <c r="F60" i="27"/>
  <c r="L60" i="27"/>
  <c r="G60" i="27"/>
  <c r="H60" i="27"/>
  <c r="E177" i="20"/>
  <c r="C177" i="20" s="1"/>
  <c r="C182" i="20" s="1"/>
  <c r="AD42" i="21"/>
  <c r="AD130" i="21" s="1"/>
  <c r="Y277" i="6"/>
  <c r="Y279" i="6" s="1"/>
  <c r="AA182" i="21"/>
  <c r="AA184" i="21" s="1"/>
  <c r="AA186" i="21" s="1"/>
  <c r="E48" i="27"/>
  <c r="E135" i="20"/>
  <c r="Z42" i="21"/>
  <c r="Z277" i="6"/>
  <c r="Z279" i="6" s="1"/>
  <c r="L277" i="9"/>
  <c r="L279" i="9" s="1"/>
  <c r="L283" i="9" s="1"/>
  <c r="L285" i="9" s="1"/>
  <c r="D283" i="9"/>
  <c r="D285" i="9" s="1"/>
  <c r="Y130" i="21"/>
  <c r="Y47" i="21"/>
  <c r="Y49" i="21" s="1"/>
  <c r="Y51" i="21" s="1"/>
  <c r="L275" i="16"/>
  <c r="L277" i="16" s="1"/>
  <c r="L169" i="3"/>
  <c r="L172" i="3" s="1"/>
  <c r="K444" i="1"/>
  <c r="K465" i="1" s="1"/>
  <c r="K467" i="1" s="1"/>
  <c r="K169" i="2"/>
  <c r="K172" i="2" s="1"/>
  <c r="J277" i="8"/>
  <c r="AC277" i="6"/>
  <c r="AC279" i="6" s="1"/>
  <c r="AC42" i="21"/>
  <c r="J276" i="15"/>
  <c r="AE277" i="6"/>
  <c r="AE279" i="6" s="1"/>
  <c r="AE42" i="21"/>
  <c r="C51" i="20"/>
  <c r="AM51" i="21" s="1"/>
  <c r="AM49" i="21"/>
  <c r="O49" i="20"/>
  <c r="F139" i="20"/>
  <c r="F150" i="20" s="1"/>
  <c r="E137" i="20"/>
  <c r="E139" i="20" s="1"/>
  <c r="F61" i="20"/>
  <c r="F62" i="20" s="1"/>
  <c r="F184" i="20"/>
  <c r="E182" i="20"/>
  <c r="C137" i="20"/>
  <c r="AM135" i="21"/>
  <c r="O177" i="20"/>
  <c r="N251" i="6"/>
  <c r="N270" i="6"/>
  <c r="P29" i="26"/>
  <c r="Q29" i="26" s="1"/>
  <c r="N263" i="9"/>
  <c r="P39" i="26"/>
  <c r="Q39" i="26" s="1"/>
  <c r="O267" i="6"/>
  <c r="W267" i="9"/>
  <c r="V267" i="9"/>
  <c r="P267" i="9"/>
  <c r="R267" i="6"/>
  <c r="U267" i="6"/>
  <c r="W267" i="6"/>
  <c r="Q267" i="9"/>
  <c r="T267" i="9"/>
  <c r="S267" i="9"/>
  <c r="T267" i="6"/>
  <c r="O267" i="9"/>
  <c r="S267" i="6"/>
  <c r="R267" i="9"/>
  <c r="U267" i="9"/>
  <c r="Q267" i="6"/>
  <c r="V267" i="6"/>
  <c r="P267" i="6"/>
  <c r="T252" i="16"/>
  <c r="P252" i="16"/>
  <c r="W252" i="16"/>
  <c r="Q252" i="16"/>
  <c r="S252" i="16"/>
  <c r="R252" i="16"/>
  <c r="V252" i="16"/>
  <c r="U252" i="16"/>
  <c r="O252" i="16"/>
  <c r="U129" i="3"/>
  <c r="W129" i="3"/>
  <c r="R129" i="3"/>
  <c r="V129" i="3"/>
  <c r="T129" i="3"/>
  <c r="Q129" i="3"/>
  <c r="S129" i="3"/>
  <c r="O129" i="3"/>
  <c r="P129" i="3"/>
  <c r="U254" i="6"/>
  <c r="W254" i="9"/>
  <c r="V254" i="6"/>
  <c r="W254" i="6"/>
  <c r="S254" i="9"/>
  <c r="P254" i="9"/>
  <c r="R254" i="9"/>
  <c r="Q254" i="9"/>
  <c r="T254" i="9"/>
  <c r="O254" i="6"/>
  <c r="U254" i="9"/>
  <c r="V254" i="9"/>
  <c r="S254" i="6"/>
  <c r="P254" i="6"/>
  <c r="R254" i="6"/>
  <c r="Q254" i="6"/>
  <c r="T254" i="6"/>
  <c r="O254" i="9"/>
  <c r="O122" i="3"/>
  <c r="T122" i="3"/>
  <c r="Q122" i="3"/>
  <c r="W122" i="3"/>
  <c r="P122" i="3"/>
  <c r="U122" i="3"/>
  <c r="V122" i="3"/>
  <c r="R122" i="3"/>
  <c r="S122" i="3"/>
  <c r="T272" i="9"/>
  <c r="S272" i="6"/>
  <c r="Q272" i="9"/>
  <c r="T272" i="6"/>
  <c r="P272" i="6"/>
  <c r="R272" i="9"/>
  <c r="U272" i="9"/>
  <c r="P272" i="9"/>
  <c r="R272" i="6"/>
  <c r="U272" i="6"/>
  <c r="W272" i="6"/>
  <c r="V272" i="6"/>
  <c r="O272" i="6"/>
  <c r="S272" i="9"/>
  <c r="W272" i="9"/>
  <c r="Q272" i="6"/>
  <c r="V272" i="9"/>
  <c r="O272" i="9"/>
  <c r="S154" i="3"/>
  <c r="S17" i="21" s="1"/>
  <c r="S109" i="21" s="1"/>
  <c r="Q154" i="3"/>
  <c r="Q17" i="21" s="1"/>
  <c r="Q109" i="21" s="1"/>
  <c r="R154" i="3"/>
  <c r="R17" i="21" s="1"/>
  <c r="R109" i="21" s="1"/>
  <c r="V154" i="3"/>
  <c r="V17" i="21" s="1"/>
  <c r="V109" i="21" s="1"/>
  <c r="O154" i="3"/>
  <c r="O17" i="21" s="1"/>
  <c r="O109" i="21" s="1"/>
  <c r="T154" i="3"/>
  <c r="T17" i="21" s="1"/>
  <c r="T109" i="21" s="1"/>
  <c r="U154" i="3"/>
  <c r="U17" i="21" s="1"/>
  <c r="U109" i="21" s="1"/>
  <c r="P154" i="3"/>
  <c r="P17" i="21" s="1"/>
  <c r="P109" i="21" s="1"/>
  <c r="W154" i="3"/>
  <c r="W17" i="21" s="1"/>
  <c r="W109" i="21" s="1"/>
  <c r="T123" i="3"/>
  <c r="O123" i="3"/>
  <c r="S123" i="3"/>
  <c r="W123" i="3"/>
  <c r="U123" i="3"/>
  <c r="V123" i="3"/>
  <c r="P123" i="3"/>
  <c r="R123" i="3"/>
  <c r="Q123" i="3"/>
  <c r="R249" i="9"/>
  <c r="Q249" i="6"/>
  <c r="P249" i="9"/>
  <c r="T249" i="9"/>
  <c r="O249" i="6"/>
  <c r="S249" i="9"/>
  <c r="T249" i="6"/>
  <c r="V249" i="9"/>
  <c r="S249" i="6"/>
  <c r="W249" i="9"/>
  <c r="U249" i="6"/>
  <c r="V249" i="6"/>
  <c r="Q249" i="9"/>
  <c r="W249" i="6"/>
  <c r="O249" i="9"/>
  <c r="R249" i="6"/>
  <c r="P249" i="6"/>
  <c r="U249" i="9"/>
  <c r="V124" i="3"/>
  <c r="S124" i="3"/>
  <c r="P124" i="3"/>
  <c r="T124" i="3"/>
  <c r="O124" i="3"/>
  <c r="U124" i="3"/>
  <c r="W124" i="3"/>
  <c r="R124" i="3"/>
  <c r="Q124" i="3"/>
  <c r="V171" i="3"/>
  <c r="W171" i="3"/>
  <c r="P171" i="3"/>
  <c r="Q171" i="3"/>
  <c r="O171" i="3"/>
  <c r="U171" i="3"/>
  <c r="S171" i="3"/>
  <c r="R171" i="3"/>
  <c r="T171" i="3"/>
  <c r="T121" i="3"/>
  <c r="P121" i="3"/>
  <c r="O121" i="3"/>
  <c r="Q121" i="3"/>
  <c r="U121" i="3"/>
  <c r="V121" i="3"/>
  <c r="W121" i="3"/>
  <c r="S121" i="3"/>
  <c r="R121" i="3"/>
  <c r="Q261" i="16"/>
  <c r="T261" i="16"/>
  <c r="R261" i="16"/>
  <c r="S261" i="16"/>
  <c r="V261" i="16"/>
  <c r="U261" i="16"/>
  <c r="P261" i="16"/>
  <c r="W261" i="16"/>
  <c r="O261" i="16"/>
  <c r="S137" i="3"/>
  <c r="P137" i="3"/>
  <c r="W137" i="3"/>
  <c r="R137" i="3"/>
  <c r="T137" i="3"/>
  <c r="O137" i="3"/>
  <c r="U137" i="3"/>
  <c r="V137" i="3"/>
  <c r="Q137" i="3"/>
  <c r="O270" i="16"/>
  <c r="S270" i="16"/>
  <c r="U270" i="16"/>
  <c r="V270" i="16"/>
  <c r="P270" i="16"/>
  <c r="R270" i="16"/>
  <c r="Q270" i="16"/>
  <c r="T270" i="16"/>
  <c r="W270" i="16"/>
  <c r="O16" i="21"/>
  <c r="O108" i="21" s="1"/>
  <c r="U16" i="21"/>
  <c r="U108" i="21" s="1"/>
  <c r="Q16" i="21"/>
  <c r="Q108" i="21" s="1"/>
  <c r="V16" i="21"/>
  <c r="V108" i="21" s="1"/>
  <c r="S16" i="21"/>
  <c r="S108" i="21" s="1"/>
  <c r="R16" i="21"/>
  <c r="R108" i="21" s="1"/>
  <c r="T16" i="21"/>
  <c r="T108" i="21" s="1"/>
  <c r="P16" i="21"/>
  <c r="P108" i="21" s="1"/>
  <c r="W16" i="21"/>
  <c r="W108" i="21" s="1"/>
  <c r="N249" i="9"/>
  <c r="N267" i="6"/>
  <c r="S269" i="9"/>
  <c r="R269" i="9"/>
  <c r="U269" i="9"/>
  <c r="T269" i="9"/>
  <c r="W269" i="6"/>
  <c r="O269" i="9"/>
  <c r="Q269" i="9"/>
  <c r="V269" i="9"/>
  <c r="P269" i="9"/>
  <c r="O269" i="6"/>
  <c r="Q269" i="6"/>
  <c r="V269" i="6"/>
  <c r="P269" i="6"/>
  <c r="W269" i="9"/>
  <c r="S269" i="6"/>
  <c r="R269" i="6"/>
  <c r="U269" i="6"/>
  <c r="T269" i="6"/>
  <c r="W249" i="16"/>
  <c r="O249" i="16"/>
  <c r="T249" i="16"/>
  <c r="P249" i="16"/>
  <c r="R249" i="16"/>
  <c r="U249" i="16"/>
  <c r="Q249" i="16"/>
  <c r="V249" i="16"/>
  <c r="S249" i="16"/>
  <c r="E26" i="26"/>
  <c r="N121" i="3"/>
  <c r="U265" i="6"/>
  <c r="P265" i="9"/>
  <c r="S265" i="6"/>
  <c r="O265" i="9"/>
  <c r="V265" i="9"/>
  <c r="R265" i="9"/>
  <c r="W265" i="9"/>
  <c r="T265" i="9"/>
  <c r="O265" i="6"/>
  <c r="V265" i="6"/>
  <c r="Q265" i="9"/>
  <c r="R265" i="6"/>
  <c r="W265" i="6"/>
  <c r="U265" i="9"/>
  <c r="T265" i="6"/>
  <c r="Q265" i="6"/>
  <c r="P265" i="6"/>
  <c r="S265" i="9"/>
  <c r="N254" i="6"/>
  <c r="O263" i="16"/>
  <c r="V263" i="16"/>
  <c r="P263" i="16"/>
  <c r="W263" i="16"/>
  <c r="R263" i="16"/>
  <c r="S263" i="16"/>
  <c r="Q263" i="16"/>
  <c r="U263" i="16"/>
  <c r="T263" i="16"/>
  <c r="R268" i="16"/>
  <c r="T268" i="16"/>
  <c r="W268" i="16"/>
  <c r="Q268" i="16"/>
  <c r="O268" i="16"/>
  <c r="U268" i="16"/>
  <c r="V268" i="16"/>
  <c r="P268" i="16"/>
  <c r="S268" i="16"/>
  <c r="N137" i="3"/>
  <c r="N270" i="16"/>
  <c r="U253" i="6"/>
  <c r="R253" i="9"/>
  <c r="T253" i="9"/>
  <c r="O253" i="6"/>
  <c r="S253" i="9"/>
  <c r="W253" i="9"/>
  <c r="S253" i="6"/>
  <c r="V253" i="9"/>
  <c r="P253" i="9"/>
  <c r="Q253" i="9"/>
  <c r="W253" i="6"/>
  <c r="U253" i="9"/>
  <c r="V253" i="6"/>
  <c r="O253" i="9"/>
  <c r="P253" i="6"/>
  <c r="Q253" i="6"/>
  <c r="R253" i="6"/>
  <c r="T253" i="6"/>
  <c r="N154" i="3"/>
  <c r="N253" i="6"/>
  <c r="N123" i="3"/>
  <c r="N253" i="9"/>
  <c r="Q251" i="9"/>
  <c r="S251" i="6"/>
  <c r="T251" i="9"/>
  <c r="V251" i="9"/>
  <c r="Q251" i="6"/>
  <c r="T251" i="6"/>
  <c r="R251" i="9"/>
  <c r="W251" i="9"/>
  <c r="O251" i="6"/>
  <c r="P251" i="9"/>
  <c r="U251" i="9"/>
  <c r="S251" i="9"/>
  <c r="R251" i="6"/>
  <c r="W251" i="6"/>
  <c r="P251" i="6"/>
  <c r="U251" i="6"/>
  <c r="V251" i="6"/>
  <c r="O251" i="9"/>
  <c r="U251" i="16"/>
  <c r="P251" i="16"/>
  <c r="S251" i="16"/>
  <c r="O251" i="16"/>
  <c r="W251" i="16"/>
  <c r="V251" i="16"/>
  <c r="Q251" i="16"/>
  <c r="R251" i="16"/>
  <c r="T251" i="16"/>
  <c r="Q138" i="3"/>
  <c r="W138" i="3"/>
  <c r="O138" i="3"/>
  <c r="P138" i="3"/>
  <c r="U138" i="3"/>
  <c r="S138" i="3"/>
  <c r="R138" i="3"/>
  <c r="T138" i="3"/>
  <c r="V138" i="3"/>
  <c r="N267" i="9"/>
  <c r="N269" i="9"/>
  <c r="N249" i="16"/>
  <c r="N129" i="3"/>
  <c r="N265" i="9"/>
  <c r="N254" i="9"/>
  <c r="O270" i="9"/>
  <c r="W270" i="9"/>
  <c r="Q270" i="9"/>
  <c r="V270" i="9"/>
  <c r="O270" i="6"/>
  <c r="P270" i="9"/>
  <c r="V270" i="6"/>
  <c r="S270" i="9"/>
  <c r="U270" i="6"/>
  <c r="R270" i="6"/>
  <c r="T270" i="9"/>
  <c r="P270" i="6"/>
  <c r="S270" i="6"/>
  <c r="R270" i="9"/>
  <c r="T270" i="6"/>
  <c r="U270" i="9"/>
  <c r="W270" i="6"/>
  <c r="Q270" i="6"/>
  <c r="N263" i="16"/>
  <c r="N268" i="16"/>
  <c r="N122" i="3"/>
  <c r="N272" i="6"/>
  <c r="P263" i="6"/>
  <c r="O263" i="6"/>
  <c r="U263" i="6"/>
  <c r="R263" i="6"/>
  <c r="V263" i="9"/>
  <c r="T263" i="9"/>
  <c r="S263" i="9"/>
  <c r="Q263" i="9"/>
  <c r="W263" i="6"/>
  <c r="P263" i="9"/>
  <c r="V263" i="6"/>
  <c r="T263" i="6"/>
  <c r="O263" i="9"/>
  <c r="U263" i="9"/>
  <c r="S263" i="6"/>
  <c r="R263" i="9"/>
  <c r="Q263" i="6"/>
  <c r="W263" i="9"/>
  <c r="R247" i="16"/>
  <c r="S247" i="16"/>
  <c r="U247" i="16"/>
  <c r="T247" i="16"/>
  <c r="V247" i="16"/>
  <c r="P247" i="16"/>
  <c r="O247" i="16"/>
  <c r="W247" i="16"/>
  <c r="Q247" i="16"/>
  <c r="P267" i="16"/>
  <c r="U267" i="16"/>
  <c r="V267" i="16"/>
  <c r="W267" i="16"/>
  <c r="O267" i="16"/>
  <c r="S267" i="16"/>
  <c r="Q267" i="16"/>
  <c r="R267" i="16"/>
  <c r="T267" i="16"/>
  <c r="AK254" i="9" l="1"/>
  <c r="J10" i="26"/>
  <c r="J16" i="26" s="1"/>
  <c r="N10" i="26"/>
  <c r="N16" i="26" s="1"/>
  <c r="H10" i="26"/>
  <c r="H16" i="26" s="1"/>
  <c r="L10" i="26"/>
  <c r="L16" i="26" s="1"/>
  <c r="F10" i="26"/>
  <c r="F16" i="26" s="1"/>
  <c r="K10" i="26"/>
  <c r="K16" i="26" s="1"/>
  <c r="G10" i="26"/>
  <c r="G16" i="26" s="1"/>
  <c r="M10" i="26"/>
  <c r="M16" i="26" s="1"/>
  <c r="I10" i="26"/>
  <c r="I16" i="26" s="1"/>
  <c r="AL266" i="16"/>
  <c r="AC109" i="14"/>
  <c r="AC101" i="14"/>
  <c r="AB101" i="14" s="1"/>
  <c r="AC25" i="19"/>
  <c r="L261" i="15"/>
  <c r="L274" i="15" s="1"/>
  <c r="Y109" i="14"/>
  <c r="AC273" i="7"/>
  <c r="AB273" i="7" s="1"/>
  <c r="Y25" i="19"/>
  <c r="AC142" i="3"/>
  <c r="AE175" i="4" s="1"/>
  <c r="AC271" i="17"/>
  <c r="AB271" i="17" s="1"/>
  <c r="AE271" i="16" s="1"/>
  <c r="AE275" i="16" s="1"/>
  <c r="AE277" i="16" s="1"/>
  <c r="Y273" i="7"/>
  <c r="Y271" i="17"/>
  <c r="X101" i="14"/>
  <c r="Y142" i="3"/>
  <c r="Y9" i="21" s="1"/>
  <c r="Y101" i="21" s="1"/>
  <c r="Y108" i="14"/>
  <c r="Z109" i="14"/>
  <c r="Z142" i="3"/>
  <c r="AB156" i="4" s="1"/>
  <c r="S260" i="8"/>
  <c r="T260" i="8" s="1"/>
  <c r="T24" i="75"/>
  <c r="U24" i="75" s="1"/>
  <c r="S259" i="15"/>
  <c r="T259" i="15" s="1"/>
  <c r="F30" i="18"/>
  <c r="D30" i="18" s="1"/>
  <c r="P30" i="18" s="1"/>
  <c r="Z271" i="17"/>
  <c r="Z25" i="19"/>
  <c r="Z273" i="7"/>
  <c r="AJ156" i="4"/>
  <c r="AH9" i="21"/>
  <c r="AH101" i="21" s="1"/>
  <c r="AI156" i="4"/>
  <c r="AH156" i="4" s="1"/>
  <c r="AG156" i="3" s="1"/>
  <c r="AG11" i="21" s="1"/>
  <c r="AG103" i="21" s="1"/>
  <c r="AI175" i="4"/>
  <c r="AH175" i="4" s="1"/>
  <c r="AG18" i="21" s="1"/>
  <c r="AG110" i="21" s="1"/>
  <c r="AF110" i="21" s="1"/>
  <c r="AG9" i="21"/>
  <c r="AG101" i="21" s="1"/>
  <c r="AF101" i="21" s="1"/>
  <c r="I9" i="20"/>
  <c r="S142" i="2"/>
  <c r="T142" i="2" s="1"/>
  <c r="P103" i="12"/>
  <c r="P110" i="12"/>
  <c r="AF108" i="13" s="1"/>
  <c r="AG108" i="13" s="1"/>
  <c r="P111" i="12"/>
  <c r="AF109" i="13" s="1"/>
  <c r="AG109" i="13" s="1"/>
  <c r="N261" i="15"/>
  <c r="N274" i="15" s="1"/>
  <c r="N276" i="15" s="1"/>
  <c r="N278" i="15" s="1"/>
  <c r="N279" i="15" s="1"/>
  <c r="M261" i="15"/>
  <c r="L110" i="12"/>
  <c r="L103" i="12"/>
  <c r="L111" i="12"/>
  <c r="M111" i="12"/>
  <c r="X109" i="13" s="1"/>
  <c r="M110" i="12"/>
  <c r="X108" i="13" s="1"/>
  <c r="Z108" i="13" s="1"/>
  <c r="M103" i="12"/>
  <c r="X9" i="21"/>
  <c r="AK260" i="9"/>
  <c r="N277" i="8"/>
  <c r="N279" i="8" s="1"/>
  <c r="N283" i="8" s="1"/>
  <c r="N285" i="8" s="1"/>
  <c r="N441" i="1" s="1"/>
  <c r="M277" i="8"/>
  <c r="M279" i="8" s="1"/>
  <c r="M283" i="8" s="1"/>
  <c r="M285" i="8" s="1"/>
  <c r="M441" i="1" s="1"/>
  <c r="X277" i="9"/>
  <c r="X279" i="9" s="1"/>
  <c r="N103" i="12"/>
  <c r="N111" i="12"/>
  <c r="AA109" i="13" s="1"/>
  <c r="N110" i="12"/>
  <c r="AA108" i="13" s="1"/>
  <c r="O103" i="12"/>
  <c r="O111" i="12"/>
  <c r="AB109" i="13" s="1"/>
  <c r="AD109" i="13" s="1"/>
  <c r="O110" i="12"/>
  <c r="AB108" i="13" s="1"/>
  <c r="AD108" i="13" s="1"/>
  <c r="O261" i="15"/>
  <c r="O274" i="15" s="1"/>
  <c r="O276" i="15" s="1"/>
  <c r="O278" i="15" s="1"/>
  <c r="O279" i="15" s="1"/>
  <c r="AB275" i="16"/>
  <c r="AB277" i="16" s="1"/>
  <c r="Q261" i="15"/>
  <c r="AB9" i="21"/>
  <c r="P277" i="8"/>
  <c r="P279" i="8" s="1"/>
  <c r="P283" i="8" s="1"/>
  <c r="P285" i="8" s="1"/>
  <c r="P441" i="1" s="1"/>
  <c r="AF277" i="9"/>
  <c r="AF279" i="9" s="1"/>
  <c r="AF283" i="9" s="1"/>
  <c r="AF285" i="9" s="1"/>
  <c r="K9" i="20"/>
  <c r="K101" i="20" s="1"/>
  <c r="AF273" i="7"/>
  <c r="AG273" i="6" s="1"/>
  <c r="AB277" i="9"/>
  <c r="AB279" i="9" s="1"/>
  <c r="O277" i="8"/>
  <c r="O279" i="8" s="1"/>
  <c r="O283" i="8" s="1"/>
  <c r="O285" i="8" s="1"/>
  <c r="O441" i="1" s="1"/>
  <c r="AH277" i="9"/>
  <c r="AH279" i="9" s="1"/>
  <c r="AH283" i="9" s="1"/>
  <c r="AH285" i="9" s="1"/>
  <c r="Q277" i="8"/>
  <c r="Q279" i="8" s="1"/>
  <c r="Q283" i="8" s="1"/>
  <c r="Q285" i="8" s="1"/>
  <c r="Q441" i="1" s="1"/>
  <c r="P261" i="15"/>
  <c r="AE9" i="21"/>
  <c r="AE101" i="21" s="1"/>
  <c r="AD9" i="21"/>
  <c r="AD101" i="21" s="1"/>
  <c r="AF175" i="4"/>
  <c r="M277" i="9"/>
  <c r="M279" i="9" s="1"/>
  <c r="M283" i="9" s="1"/>
  <c r="M285" i="9" s="1"/>
  <c r="AL261" i="16"/>
  <c r="AL268" i="16"/>
  <c r="AL249" i="16"/>
  <c r="AL263" i="16"/>
  <c r="AL247" i="16"/>
  <c r="AL252" i="16"/>
  <c r="AM177" i="21"/>
  <c r="G60" i="62"/>
  <c r="G60" i="28"/>
  <c r="F60" i="28"/>
  <c r="P60" i="27"/>
  <c r="Q60" i="27" s="1"/>
  <c r="F60" i="62"/>
  <c r="N60" i="28"/>
  <c r="N60" i="62"/>
  <c r="I60" i="62"/>
  <c r="I60" i="28"/>
  <c r="H60" i="62"/>
  <c r="H60" i="28"/>
  <c r="J60" i="62"/>
  <c r="J60" i="28"/>
  <c r="M60" i="28"/>
  <c r="M60" i="62"/>
  <c r="L60" i="62"/>
  <c r="L60" i="28"/>
  <c r="K60" i="28"/>
  <c r="K60" i="62"/>
  <c r="AD47" i="21"/>
  <c r="AD49" i="21" s="1"/>
  <c r="AD51" i="21" s="1"/>
  <c r="F48" i="27"/>
  <c r="H48" i="27"/>
  <c r="K48" i="27"/>
  <c r="G48" i="27"/>
  <c r="N48" i="27"/>
  <c r="L48" i="27"/>
  <c r="I48" i="27"/>
  <c r="M48" i="27"/>
  <c r="J48" i="27"/>
  <c r="AE47" i="21"/>
  <c r="AE49" i="21" s="1"/>
  <c r="AE51" i="21" s="1"/>
  <c r="AE130" i="21"/>
  <c r="J278" i="15"/>
  <c r="AC47" i="21"/>
  <c r="AC49" i="21" s="1"/>
  <c r="AC51" i="21" s="1"/>
  <c r="AB48" i="21"/>
  <c r="AC130" i="21"/>
  <c r="G12" i="20"/>
  <c r="G19" i="20" s="1"/>
  <c r="G21" i="20" s="1"/>
  <c r="K12" i="66" s="1"/>
  <c r="K193" i="2"/>
  <c r="K195" i="2" s="1"/>
  <c r="K197" i="2" s="1"/>
  <c r="H27" i="18" s="1"/>
  <c r="AD177" i="21"/>
  <c r="AD135" i="21"/>
  <c r="AD137" i="21" s="1"/>
  <c r="AD139" i="21" s="1"/>
  <c r="J279" i="8"/>
  <c r="L29" i="75"/>
  <c r="K469" i="1"/>
  <c r="L32" i="75" s="1"/>
  <c r="Z47" i="21"/>
  <c r="Z49" i="21" s="1"/>
  <c r="Z51" i="21" s="1"/>
  <c r="Z130" i="21"/>
  <c r="L12" i="21"/>
  <c r="L19" i="21" s="1"/>
  <c r="L21" i="21" s="1"/>
  <c r="L193" i="3"/>
  <c r="L195" i="3" s="1"/>
  <c r="L197" i="3" s="1"/>
  <c r="L22" i="19" s="1"/>
  <c r="Y177" i="21"/>
  <c r="Y135" i="21"/>
  <c r="Y137" i="21" s="1"/>
  <c r="Y139" i="21" s="1"/>
  <c r="E184" i="20"/>
  <c r="E186" i="20" s="1"/>
  <c r="F186" i="20"/>
  <c r="F151" i="20"/>
  <c r="F152" i="20" s="1"/>
  <c r="O182" i="20"/>
  <c r="C184" i="20"/>
  <c r="AM182" i="21"/>
  <c r="AM137" i="21"/>
  <c r="C139" i="20"/>
  <c r="AM139" i="21" s="1"/>
  <c r="S132" i="3"/>
  <c r="S273" i="7" s="1"/>
  <c r="P132" i="3"/>
  <c r="P108" i="14" s="1"/>
  <c r="V132" i="3"/>
  <c r="V108" i="14" s="1"/>
  <c r="Q132" i="3"/>
  <c r="Q109" i="14" s="1"/>
  <c r="AL267" i="16"/>
  <c r="AL267" i="9"/>
  <c r="AL251" i="16"/>
  <c r="AL270" i="16"/>
  <c r="U140" i="3"/>
  <c r="W18" i="21"/>
  <c r="W110" i="21" s="1"/>
  <c r="P18" i="21"/>
  <c r="P110" i="21" s="1"/>
  <c r="N140" i="3"/>
  <c r="Q18" i="21"/>
  <c r="Q110" i="21" s="1"/>
  <c r="V18" i="21"/>
  <c r="V110" i="21" s="1"/>
  <c r="V140" i="3"/>
  <c r="W132" i="3"/>
  <c r="W273" i="7" s="1"/>
  <c r="O132" i="3"/>
  <c r="O273" i="7" s="1"/>
  <c r="N17" i="21"/>
  <c r="AI17" i="21" s="1"/>
  <c r="T18" i="21"/>
  <c r="T110" i="21" s="1"/>
  <c r="O18" i="21"/>
  <c r="O110" i="21" s="1"/>
  <c r="N132" i="3"/>
  <c r="N273" i="7" s="1"/>
  <c r="N18" i="21"/>
  <c r="R18" i="21"/>
  <c r="R110" i="21" s="1"/>
  <c r="U18" i="21"/>
  <c r="U110" i="21" s="1"/>
  <c r="S18" i="21"/>
  <c r="S110" i="21" s="1"/>
  <c r="R132" i="3"/>
  <c r="R108" i="14" s="1"/>
  <c r="U132" i="3"/>
  <c r="U109" i="14" s="1"/>
  <c r="T132" i="3"/>
  <c r="T273" i="7" s="1"/>
  <c r="AK177" i="3"/>
  <c r="AL177" i="3" s="1"/>
  <c r="R140" i="3"/>
  <c r="O140" i="3"/>
  <c r="P140" i="3"/>
  <c r="J26" i="26"/>
  <c r="N26" i="26"/>
  <c r="F26" i="26"/>
  <c r="H26" i="26"/>
  <c r="L26" i="26"/>
  <c r="K26" i="26"/>
  <c r="I26" i="26"/>
  <c r="G26" i="26"/>
  <c r="M26" i="26"/>
  <c r="E30" i="26"/>
  <c r="W140" i="3"/>
  <c r="Q140" i="3"/>
  <c r="T140" i="3"/>
  <c r="S140" i="3"/>
  <c r="P10" i="26" l="1"/>
  <c r="Q10" i="26" s="1"/>
  <c r="Y109" i="13"/>
  <c r="X271" i="17"/>
  <c r="Z271" i="16" s="1"/>
  <c r="Z275" i="16" s="1"/>
  <c r="Z277" i="16" s="1"/>
  <c r="AC271" i="16"/>
  <c r="AC275" i="16" s="1"/>
  <c r="AC277" i="16" s="1"/>
  <c r="AD271" i="16"/>
  <c r="AD275" i="16" s="1"/>
  <c r="AD277" i="16" s="1"/>
  <c r="X25" i="19"/>
  <c r="AA156" i="4"/>
  <c r="Z156" i="4" s="1"/>
  <c r="Y156" i="3" s="1"/>
  <c r="Y11" i="21" s="1"/>
  <c r="Y103" i="21" s="1"/>
  <c r="AC9" i="21"/>
  <c r="AC101" i="21" s="1"/>
  <c r="AB101" i="21" s="1"/>
  <c r="AJ25" i="19"/>
  <c r="AE156" i="4"/>
  <c r="AD156" i="4" s="1"/>
  <c r="AD156" i="3" s="1"/>
  <c r="AD11" i="21" s="1"/>
  <c r="X273" i="7"/>
  <c r="AD175" i="4"/>
  <c r="AE18" i="21" s="1"/>
  <c r="AE110" i="21" s="1"/>
  <c r="AC109" i="13"/>
  <c r="Z9" i="21"/>
  <c r="Z101" i="21" s="1"/>
  <c r="X101" i="21" s="1"/>
  <c r="Q101" i="14"/>
  <c r="Z109" i="13"/>
  <c r="AE109" i="13"/>
  <c r="P274" i="15"/>
  <c r="P276" i="15" s="1"/>
  <c r="P278" i="15" s="1"/>
  <c r="P279" i="15" s="1"/>
  <c r="AF275" i="16"/>
  <c r="AF277" i="16" s="1"/>
  <c r="AB283" i="9"/>
  <c r="AB285" i="9" s="1"/>
  <c r="AE281" i="9"/>
  <c r="AE283" i="9" s="1"/>
  <c r="AE285" i="9" s="1"/>
  <c r="AG169" i="4" s="1"/>
  <c r="AC281" i="9"/>
  <c r="AC283" i="9" s="1"/>
  <c r="AC285" i="9" s="1"/>
  <c r="AE169" i="4" s="1"/>
  <c r="AD281" i="9"/>
  <c r="AD283" i="9" s="1"/>
  <c r="AD285" i="9" s="1"/>
  <c r="AF169" i="4" s="1"/>
  <c r="AB101" i="13"/>
  <c r="O114" i="12"/>
  <c r="O117" i="12" s="1"/>
  <c r="O118" i="12" s="1"/>
  <c r="K65" i="20" s="1"/>
  <c r="K155" i="20" s="1"/>
  <c r="K206" i="20" s="1"/>
  <c r="K214" i="20" s="1"/>
  <c r="X283" i="9"/>
  <c r="X285" i="9" s="1"/>
  <c r="Z281" i="9"/>
  <c r="Z283" i="9" s="1"/>
  <c r="Z285" i="9" s="1"/>
  <c r="AB169" i="4" s="1"/>
  <c r="Y281" i="9"/>
  <c r="Y283" i="9" s="1"/>
  <c r="Y285" i="9" s="1"/>
  <c r="AA169" i="4" s="1"/>
  <c r="M109" i="13"/>
  <c r="U109" i="13" s="1"/>
  <c r="S111" i="12"/>
  <c r="T111" i="12" s="1"/>
  <c r="S262" i="8"/>
  <c r="T262" i="8" s="1"/>
  <c r="AH169" i="3"/>
  <c r="AH172" i="3" s="1"/>
  <c r="Q444" i="1"/>
  <c r="Q465" i="1" s="1"/>
  <c r="Q467" i="1" s="1"/>
  <c r="Q169" i="2"/>
  <c r="Q172" i="2" s="1"/>
  <c r="AG273" i="9"/>
  <c r="AG277" i="9" s="1"/>
  <c r="AG279" i="9" s="1"/>
  <c r="AG281" i="9" s="1"/>
  <c r="AG283" i="9" s="1"/>
  <c r="AG285" i="9" s="1"/>
  <c r="AI169" i="4" s="1"/>
  <c r="AH169" i="4" s="1"/>
  <c r="Y108" i="13"/>
  <c r="M444" i="1"/>
  <c r="M465" i="1" s="1"/>
  <c r="M467" i="1" s="1"/>
  <c r="M169" i="2"/>
  <c r="M172" i="2" s="1"/>
  <c r="X169" i="3"/>
  <c r="X101" i="13"/>
  <c r="M114" i="12"/>
  <c r="M117" i="12" s="1"/>
  <c r="M118" i="12" s="1"/>
  <c r="I65" i="20" s="1"/>
  <c r="I155" i="20" s="1"/>
  <c r="I206" i="20" s="1"/>
  <c r="I214" i="20" s="1"/>
  <c r="L114" i="12"/>
  <c r="L117" i="12" s="1"/>
  <c r="S103" i="12"/>
  <c r="T103" i="12" s="1"/>
  <c r="M101" i="13"/>
  <c r="I101" i="20"/>
  <c r="E101" i="20" s="1"/>
  <c r="C101" i="20" s="1"/>
  <c r="AM101" i="21" s="1"/>
  <c r="E9" i="20"/>
  <c r="C9" i="20" s="1"/>
  <c r="AM9" i="21" s="1"/>
  <c r="AG42" i="21"/>
  <c r="AG277" i="6"/>
  <c r="AG279" i="6" s="1"/>
  <c r="AH275" i="16"/>
  <c r="AH277" i="16" s="1"/>
  <c r="Q274" i="15"/>
  <c r="Q276" i="15" s="1"/>
  <c r="Q278" i="15" s="1"/>
  <c r="Q279" i="15" s="1"/>
  <c r="AE108" i="13"/>
  <c r="AC108" i="13"/>
  <c r="N169" i="2"/>
  <c r="N172" i="2" s="1"/>
  <c r="AA169" i="3"/>
  <c r="AA172" i="3" s="1"/>
  <c r="N444" i="1"/>
  <c r="N465" i="1" s="1"/>
  <c r="N467" i="1" s="1"/>
  <c r="S110" i="12"/>
  <c r="T110" i="12" s="1"/>
  <c r="M108" i="13"/>
  <c r="R108" i="13" s="1"/>
  <c r="AA275" i="16"/>
  <c r="AA277" i="16" s="1"/>
  <c r="AL258" i="16"/>
  <c r="AF101" i="13"/>
  <c r="P114" i="12"/>
  <c r="P117" i="12" s="1"/>
  <c r="P118" i="12" s="1"/>
  <c r="L65" i="20" s="1"/>
  <c r="L155" i="20" s="1"/>
  <c r="L206" i="20" s="1"/>
  <c r="L214" i="20" s="1"/>
  <c r="V273" i="7"/>
  <c r="S261" i="15"/>
  <c r="T261" i="15" s="1"/>
  <c r="AB169" i="3"/>
  <c r="O169" i="2"/>
  <c r="O172" i="2" s="1"/>
  <c r="O444" i="1"/>
  <c r="O465" i="1" s="1"/>
  <c r="O467" i="1" s="1"/>
  <c r="P444" i="1"/>
  <c r="P465" i="1" s="1"/>
  <c r="P467" i="1" s="1"/>
  <c r="P169" i="2"/>
  <c r="P172" i="2" s="1"/>
  <c r="AF169" i="3"/>
  <c r="AA101" i="13"/>
  <c r="AA112" i="13" s="1"/>
  <c r="AA115" i="13" s="1"/>
  <c r="AA116" i="13" s="1"/>
  <c r="AA65" i="21" s="1"/>
  <c r="AA155" i="21" s="1"/>
  <c r="AA206" i="21" s="1"/>
  <c r="N114" i="12"/>
  <c r="N117" i="12" s="1"/>
  <c r="N118" i="12" s="1"/>
  <c r="J65" i="20" s="1"/>
  <c r="J155" i="20" s="1"/>
  <c r="J206" i="20" s="1"/>
  <c r="J214" i="20" s="1"/>
  <c r="AA277" i="9"/>
  <c r="AA279" i="9" s="1"/>
  <c r="AA283" i="9" s="1"/>
  <c r="AA285" i="9" s="1"/>
  <c r="AL260" i="9"/>
  <c r="M274" i="15"/>
  <c r="M276" i="15" s="1"/>
  <c r="M278" i="15" s="1"/>
  <c r="M279" i="15" s="1"/>
  <c r="X275" i="16"/>
  <c r="X277" i="16" s="1"/>
  <c r="N108" i="14"/>
  <c r="Q25" i="19"/>
  <c r="Q108" i="14"/>
  <c r="Q142" i="3"/>
  <c r="S156" i="4" s="1"/>
  <c r="N25" i="19"/>
  <c r="S25" i="19"/>
  <c r="R273" i="7"/>
  <c r="Q271" i="17"/>
  <c r="Q273" i="7"/>
  <c r="N142" i="3"/>
  <c r="P156" i="4" s="1"/>
  <c r="P109" i="14"/>
  <c r="T108" i="14"/>
  <c r="O109" i="14"/>
  <c r="S101" i="14"/>
  <c r="P271" i="17"/>
  <c r="N101" i="14"/>
  <c r="P101" i="14"/>
  <c r="L276" i="15"/>
  <c r="L277" i="8"/>
  <c r="S275" i="8"/>
  <c r="T275" i="8" s="1"/>
  <c r="V271" i="17"/>
  <c r="V101" i="14"/>
  <c r="P273" i="7"/>
  <c r="P142" i="3"/>
  <c r="R156" i="4" s="1"/>
  <c r="V109" i="14"/>
  <c r="V142" i="3"/>
  <c r="X156" i="4" s="1"/>
  <c r="P25" i="19"/>
  <c r="V25" i="19"/>
  <c r="P60" i="28"/>
  <c r="E60" i="28"/>
  <c r="P60" i="62"/>
  <c r="E60" i="62"/>
  <c r="G48" i="62"/>
  <c r="G48" i="28"/>
  <c r="I48" i="28"/>
  <c r="I48" i="62"/>
  <c r="K48" i="62"/>
  <c r="K48" i="28"/>
  <c r="L48" i="62"/>
  <c r="L48" i="28"/>
  <c r="H48" i="62"/>
  <c r="H48" i="28"/>
  <c r="M48" i="28"/>
  <c r="M48" i="62"/>
  <c r="J48" i="62"/>
  <c r="J48" i="28"/>
  <c r="N48" i="62"/>
  <c r="N48" i="28"/>
  <c r="F48" i="28"/>
  <c r="P48" i="27"/>
  <c r="Q48" i="27" s="1"/>
  <c r="F48" i="62"/>
  <c r="J279" i="15"/>
  <c r="AF103" i="21"/>
  <c r="Z177" i="21"/>
  <c r="Z135" i="21"/>
  <c r="Z137" i="21" s="1"/>
  <c r="Z139" i="21" s="1"/>
  <c r="J283" i="8"/>
  <c r="I12" i="66"/>
  <c r="I13" i="66" s="1"/>
  <c r="K13" i="66"/>
  <c r="AE135" i="21"/>
  <c r="AE137" i="21" s="1"/>
  <c r="AE139" i="21" s="1"/>
  <c r="AE177" i="21"/>
  <c r="Y182" i="21"/>
  <c r="Y184" i="21" s="1"/>
  <c r="Y186" i="21" s="1"/>
  <c r="E44" i="27"/>
  <c r="AC177" i="21"/>
  <c r="AC135" i="21"/>
  <c r="AC137" i="21" s="1"/>
  <c r="AC139" i="21" s="1"/>
  <c r="E52" i="27"/>
  <c r="AD182" i="21"/>
  <c r="AD184" i="21" s="1"/>
  <c r="AD186" i="21" s="1"/>
  <c r="AM184" i="21"/>
  <c r="C186" i="20"/>
  <c r="AM186" i="21" s="1"/>
  <c r="W25" i="19"/>
  <c r="S108" i="14"/>
  <c r="S142" i="3"/>
  <c r="U156" i="4" s="1"/>
  <c r="S109" i="14"/>
  <c r="S271" i="17"/>
  <c r="W101" i="14"/>
  <c r="R271" i="17"/>
  <c r="R101" i="14"/>
  <c r="W271" i="17"/>
  <c r="W108" i="14"/>
  <c r="W109" i="14"/>
  <c r="R142" i="3"/>
  <c r="T156" i="4" s="1"/>
  <c r="R109" i="14"/>
  <c r="W142" i="3"/>
  <c r="Y156" i="4" s="1"/>
  <c r="R25" i="19"/>
  <c r="O25" i="19"/>
  <c r="U142" i="3"/>
  <c r="W156" i="4" s="1"/>
  <c r="O101" i="14"/>
  <c r="U25" i="19"/>
  <c r="T142" i="3"/>
  <c r="V156" i="4" s="1"/>
  <c r="T271" i="17"/>
  <c r="T101" i="14"/>
  <c r="U101" i="14"/>
  <c r="T109" i="14"/>
  <c r="T25" i="19"/>
  <c r="U108" i="14"/>
  <c r="N110" i="21"/>
  <c r="N271" i="17"/>
  <c r="U271" i="17"/>
  <c r="U273" i="7"/>
  <c r="O142" i="3"/>
  <c r="O9" i="21" s="1"/>
  <c r="O108" i="14"/>
  <c r="N109" i="21"/>
  <c r="AI109" i="21" s="1"/>
  <c r="N16" i="21"/>
  <c r="AI16" i="21" s="1"/>
  <c r="N109" i="14"/>
  <c r="O271" i="17"/>
  <c r="G30" i="26"/>
  <c r="G41" i="26" s="1"/>
  <c r="H30" i="26"/>
  <c r="H41" i="26" s="1"/>
  <c r="I30" i="26"/>
  <c r="I41" i="26" s="1"/>
  <c r="P26" i="26"/>
  <c r="Q26" i="26" s="1"/>
  <c r="F30" i="26"/>
  <c r="E41" i="26"/>
  <c r="K30" i="26"/>
  <c r="K41" i="26" s="1"/>
  <c r="N30" i="26"/>
  <c r="N41" i="26" s="1"/>
  <c r="M30" i="26"/>
  <c r="M41" i="26" s="1"/>
  <c r="L30" i="26"/>
  <c r="L41" i="26" s="1"/>
  <c r="J30" i="26"/>
  <c r="J41" i="26" s="1"/>
  <c r="P16" i="26" l="1"/>
  <c r="Y271" i="16"/>
  <c r="Y275" i="16" s="1"/>
  <c r="Y277" i="16" s="1"/>
  <c r="Q108" i="13"/>
  <c r="U108" i="13"/>
  <c r="W108" i="13"/>
  <c r="S108" i="13"/>
  <c r="AE156" i="3"/>
  <c r="AE11" i="21" s="1"/>
  <c r="AE103" i="21" s="1"/>
  <c r="AC156" i="3"/>
  <c r="AC11" i="21" s="1"/>
  <c r="AC103" i="21" s="1"/>
  <c r="AD18" i="21"/>
  <c r="AD110" i="21" s="1"/>
  <c r="N108" i="13"/>
  <c r="Z156" i="3"/>
  <c r="Z11" i="21" s="1"/>
  <c r="Z103" i="21" s="1"/>
  <c r="X103" i="21" s="1"/>
  <c r="R109" i="13"/>
  <c r="P108" i="13"/>
  <c r="P109" i="13"/>
  <c r="Z169" i="4"/>
  <c r="Z169" i="3" s="1"/>
  <c r="Z172" i="3" s="1"/>
  <c r="Z12" i="21" s="1"/>
  <c r="Z104" i="21" s="1"/>
  <c r="Q9" i="21"/>
  <c r="Q101" i="21" s="1"/>
  <c r="N109" i="13"/>
  <c r="W109" i="13"/>
  <c r="V108" i="13"/>
  <c r="O109" i="13"/>
  <c r="S274" i="15"/>
  <c r="T274" i="15" s="1"/>
  <c r="Q109" i="13"/>
  <c r="O108" i="13"/>
  <c r="T109" i="13"/>
  <c r="S109" i="13"/>
  <c r="V109" i="13"/>
  <c r="T108" i="13"/>
  <c r="AD169" i="4"/>
  <c r="AC169" i="3" s="1"/>
  <c r="AC172" i="3" s="1"/>
  <c r="AC12" i="21" s="1"/>
  <c r="AC104" i="21" s="1"/>
  <c r="AF172" i="3"/>
  <c r="AG169" i="3"/>
  <c r="AG172" i="3" s="1"/>
  <c r="K12" i="20"/>
  <c r="O193" i="2"/>
  <c r="O195" i="2" s="1"/>
  <c r="O197" i="2" s="1"/>
  <c r="L27" i="18" s="1"/>
  <c r="AA193" i="3"/>
  <c r="AA195" i="3" s="1"/>
  <c r="AA197" i="3" s="1"/>
  <c r="AA22" i="19" s="1"/>
  <c r="AA12" i="21"/>
  <c r="X172" i="3"/>
  <c r="P193" i="2"/>
  <c r="P195" i="2" s="1"/>
  <c r="P197" i="2" s="1"/>
  <c r="M27" i="18" s="1"/>
  <c r="L12" i="20"/>
  <c r="AB172" i="3"/>
  <c r="J12" i="20"/>
  <c r="N193" i="2"/>
  <c r="N195" i="2" s="1"/>
  <c r="N197" i="2" s="1"/>
  <c r="K27" i="18" s="1"/>
  <c r="S117" i="12"/>
  <c r="T117" i="12" s="1"/>
  <c r="L118" i="12"/>
  <c r="I12" i="20"/>
  <c r="M193" i="2"/>
  <c r="M195" i="2" s="1"/>
  <c r="M197" i="2" s="1"/>
  <c r="J27" i="18" s="1"/>
  <c r="M12" i="20"/>
  <c r="Q193" i="2"/>
  <c r="Q195" i="2" s="1"/>
  <c r="Q197" i="2" s="1"/>
  <c r="N27" i="18" s="1"/>
  <c r="Q29" i="75"/>
  <c r="P469" i="1"/>
  <c r="Q32" i="75" s="1"/>
  <c r="AF112" i="13"/>
  <c r="AF115" i="13" s="1"/>
  <c r="AF116" i="13" s="1"/>
  <c r="AF65" i="21" s="1"/>
  <c r="AF155" i="21" s="1"/>
  <c r="AF206" i="21" s="1"/>
  <c r="AF214" i="21" s="1"/>
  <c r="AG101" i="13"/>
  <c r="AG112" i="13" s="1"/>
  <c r="AG115" i="13" s="1"/>
  <c r="AG116" i="13" s="1"/>
  <c r="AG65" i="21" s="1"/>
  <c r="AG155" i="21" s="1"/>
  <c r="AG206" i="21" s="1"/>
  <c r="N29" i="75"/>
  <c r="M469" i="1"/>
  <c r="N32" i="75" s="1"/>
  <c r="R29" i="75"/>
  <c r="Q469" i="1"/>
  <c r="R32" i="75" s="1"/>
  <c r="AB112" i="13"/>
  <c r="AB115" i="13" s="1"/>
  <c r="AB116" i="13" s="1"/>
  <c r="AB65" i="21" s="1"/>
  <c r="AB155" i="21" s="1"/>
  <c r="AB206" i="21" s="1"/>
  <c r="AB214" i="21" s="1"/>
  <c r="AE101" i="13"/>
  <c r="AE112" i="13" s="1"/>
  <c r="AE115" i="13" s="1"/>
  <c r="AE116" i="13" s="1"/>
  <c r="AE65" i="21" s="1"/>
  <c r="AE155" i="21" s="1"/>
  <c r="AE206" i="21" s="1"/>
  <c r="AD101" i="13"/>
  <c r="AD112" i="13" s="1"/>
  <c r="AD115" i="13" s="1"/>
  <c r="AD116" i="13" s="1"/>
  <c r="AD65" i="21" s="1"/>
  <c r="AD155" i="21" s="1"/>
  <c r="AD206" i="21" s="1"/>
  <c r="AC101" i="13"/>
  <c r="AC112" i="13" s="1"/>
  <c r="AC115" i="13" s="1"/>
  <c r="AC116" i="13" s="1"/>
  <c r="AC65" i="21" s="1"/>
  <c r="AC155" i="21" s="1"/>
  <c r="AC206" i="21" s="1"/>
  <c r="AA214" i="21"/>
  <c r="E48" i="58"/>
  <c r="O469" i="1"/>
  <c r="P32" i="75" s="1"/>
  <c r="P29" i="75"/>
  <c r="O29" i="75"/>
  <c r="N469" i="1"/>
  <c r="O32" i="75" s="1"/>
  <c r="AG130" i="21"/>
  <c r="AG47" i="21"/>
  <c r="AG49" i="21" s="1"/>
  <c r="AG51" i="21" s="1"/>
  <c r="M112" i="13"/>
  <c r="M115" i="13" s="1"/>
  <c r="M116" i="13" s="1"/>
  <c r="M65" i="21" s="1"/>
  <c r="M155" i="21" s="1"/>
  <c r="M206" i="21" s="1"/>
  <c r="M214" i="21" s="1"/>
  <c r="X112" i="13"/>
  <c r="X115" i="13" s="1"/>
  <c r="X116" i="13" s="1"/>
  <c r="X65" i="21" s="1"/>
  <c r="X155" i="21" s="1"/>
  <c r="X206" i="21" s="1"/>
  <c r="X214" i="21" s="1"/>
  <c r="Z101" i="13"/>
  <c r="Z112" i="13" s="1"/>
  <c r="Z115" i="13" s="1"/>
  <c r="Z116" i="13" s="1"/>
  <c r="Z65" i="21" s="1"/>
  <c r="Z155" i="21" s="1"/>
  <c r="Z206" i="21" s="1"/>
  <c r="Y101" i="13"/>
  <c r="Y112" i="13" s="1"/>
  <c r="Y115" i="13" s="1"/>
  <c r="Y116" i="13" s="1"/>
  <c r="Y65" i="21" s="1"/>
  <c r="Y155" i="21" s="1"/>
  <c r="Y206" i="21" s="1"/>
  <c r="AH12" i="21"/>
  <c r="AH193" i="3"/>
  <c r="AH195" i="3" s="1"/>
  <c r="AH197" i="3" s="1"/>
  <c r="AH22" i="19" s="1"/>
  <c r="N9" i="21"/>
  <c r="N101" i="21" s="1"/>
  <c r="P9" i="21"/>
  <c r="P101" i="21" s="1"/>
  <c r="L279" i="8"/>
  <c r="S277" i="8"/>
  <c r="T277" i="8" s="1"/>
  <c r="V9" i="21"/>
  <c r="V101" i="21" s="1"/>
  <c r="L278" i="15"/>
  <c r="S276" i="15"/>
  <c r="T276" i="15" s="1"/>
  <c r="Q60" i="28"/>
  <c r="Q60" i="62"/>
  <c r="E48" i="62"/>
  <c r="P48" i="62"/>
  <c r="P48" i="28"/>
  <c r="E48" i="28"/>
  <c r="E53" i="27"/>
  <c r="AE182" i="21"/>
  <c r="AE184" i="21" s="1"/>
  <c r="AE186" i="21" s="1"/>
  <c r="J285" i="8"/>
  <c r="H52" i="27"/>
  <c r="J52" i="27"/>
  <c r="F52" i="27"/>
  <c r="I52" i="27"/>
  <c r="L52" i="27"/>
  <c r="N52" i="27"/>
  <c r="G52" i="27"/>
  <c r="K52" i="27"/>
  <c r="M52" i="27"/>
  <c r="J44" i="27"/>
  <c r="M44" i="27"/>
  <c r="K44" i="27"/>
  <c r="G44" i="27"/>
  <c r="N44" i="27"/>
  <c r="F44" i="27"/>
  <c r="L44" i="27"/>
  <c r="H44" i="27"/>
  <c r="I44" i="27"/>
  <c r="AD103" i="21"/>
  <c r="AC182" i="21"/>
  <c r="AC184" i="21" s="1"/>
  <c r="AC186" i="21" s="1"/>
  <c r="E51" i="27"/>
  <c r="E45" i="27"/>
  <c r="Z182" i="21"/>
  <c r="Z184" i="21" s="1"/>
  <c r="Z186" i="21" s="1"/>
  <c r="M101" i="14"/>
  <c r="U101" i="13" s="1"/>
  <c r="U112" i="13" s="1"/>
  <c r="R9" i="21"/>
  <c r="R101" i="21" s="1"/>
  <c r="S9" i="21"/>
  <c r="S101" i="21" s="1"/>
  <c r="W9" i="21"/>
  <c r="W101" i="21" s="1"/>
  <c r="T9" i="21"/>
  <c r="T101" i="21" s="1"/>
  <c r="M271" i="17"/>
  <c r="W271" i="16" s="1"/>
  <c r="W275" i="16" s="1"/>
  <c r="W277" i="16" s="1"/>
  <c r="M25" i="19"/>
  <c r="U9" i="21"/>
  <c r="Q156" i="4"/>
  <c r="O156" i="4" s="1"/>
  <c r="M109" i="21"/>
  <c r="M273" i="7"/>
  <c r="S273" i="9" s="1"/>
  <c r="S277" i="9" s="1"/>
  <c r="S279" i="9" s="1"/>
  <c r="S281" i="9" s="1"/>
  <c r="S283" i="9" s="1"/>
  <c r="S285" i="9" s="1"/>
  <c r="U169" i="4" s="1"/>
  <c r="M110" i="21"/>
  <c r="N108" i="21"/>
  <c r="AI108" i="21" s="1"/>
  <c r="O101" i="21"/>
  <c r="F41" i="26"/>
  <c r="P30" i="26"/>
  <c r="Q30" i="26" s="1"/>
  <c r="AD169" i="3" l="1"/>
  <c r="AD172" i="3" s="1"/>
  <c r="AD12" i="21" s="1"/>
  <c r="AD104" i="21" s="1"/>
  <c r="AB104" i="21" s="1"/>
  <c r="Z111" i="21"/>
  <c r="Z113" i="21" s="1"/>
  <c r="E45" i="22" s="1"/>
  <c r="L45" i="22" s="1"/>
  <c r="Y169" i="3"/>
  <c r="Y172" i="3" s="1"/>
  <c r="Y193" i="3" s="1"/>
  <c r="Y195" i="3" s="1"/>
  <c r="Y197" i="3" s="1"/>
  <c r="Y22" i="19" s="1"/>
  <c r="Z193" i="3"/>
  <c r="Z195" i="3" s="1"/>
  <c r="Z197" i="3" s="1"/>
  <c r="Z22" i="19" s="1"/>
  <c r="AC193" i="3"/>
  <c r="AC195" i="3" s="1"/>
  <c r="AC197" i="3" s="1"/>
  <c r="AC22" i="19" s="1"/>
  <c r="Z19" i="21"/>
  <c r="Z21" i="21" s="1"/>
  <c r="AE169" i="3"/>
  <c r="AE172" i="3" s="1"/>
  <c r="Y214" i="21"/>
  <c r="E44" i="58"/>
  <c r="E53" i="58"/>
  <c r="AE214" i="21"/>
  <c r="M19" i="20"/>
  <c r="M21" i="20" s="1"/>
  <c r="M104" i="20"/>
  <c r="M111" i="20" s="1"/>
  <c r="M113" i="20" s="1"/>
  <c r="E45" i="58"/>
  <c r="Z214" i="21"/>
  <c r="AG177" i="21"/>
  <c r="AG135" i="21"/>
  <c r="AG137" i="21" s="1"/>
  <c r="AG139" i="21" s="1"/>
  <c r="AB12" i="21"/>
  <c r="AB19" i="21" s="1"/>
  <c r="AB21" i="21" s="1"/>
  <c r="AB193" i="3"/>
  <c r="AB195" i="3" s="1"/>
  <c r="AB197" i="3" s="1"/>
  <c r="AB22" i="19" s="1"/>
  <c r="X12" i="21"/>
  <c r="X19" i="21" s="1"/>
  <c r="X21" i="21" s="1"/>
  <c r="X193" i="3"/>
  <c r="X195" i="3" s="1"/>
  <c r="X197" i="3" s="1"/>
  <c r="K19" i="20"/>
  <c r="K21" i="20" s="1"/>
  <c r="K104" i="20"/>
  <c r="K111" i="20" s="1"/>
  <c r="K113" i="20" s="1"/>
  <c r="G48" i="58"/>
  <c r="I48" i="58"/>
  <c r="K48" i="58"/>
  <c r="F48" i="58"/>
  <c r="L48" i="58"/>
  <c r="M48" i="58"/>
  <c r="N48" i="58"/>
  <c r="J48" i="58"/>
  <c r="H48" i="58"/>
  <c r="AC214" i="21"/>
  <c r="E51" i="58"/>
  <c r="I104" i="20"/>
  <c r="I111" i="20" s="1"/>
  <c r="I113" i="20" s="1"/>
  <c r="I19" i="20"/>
  <c r="I21" i="20" s="1"/>
  <c r="J104" i="20"/>
  <c r="J111" i="20" s="1"/>
  <c r="J113" i="20" s="1"/>
  <c r="J19" i="20"/>
  <c r="J21" i="20" s="1"/>
  <c r="L19" i="20"/>
  <c r="L21" i="20" s="1"/>
  <c r="L104" i="20"/>
  <c r="L111" i="20" s="1"/>
  <c r="L113" i="20" s="1"/>
  <c r="AA19" i="21"/>
  <c r="AA21" i="21" s="1"/>
  <c r="AA104" i="21"/>
  <c r="AA111" i="21" s="1"/>
  <c r="AA113" i="21" s="1"/>
  <c r="E48" i="22" s="1"/>
  <c r="AG12" i="21"/>
  <c r="AG193" i="3"/>
  <c r="AG195" i="3" s="1"/>
  <c r="AG197" i="3" s="1"/>
  <c r="AG22" i="19" s="1"/>
  <c r="AH104" i="21"/>
  <c r="AH111" i="21" s="1"/>
  <c r="AH113" i="21" s="1"/>
  <c r="E60" i="22" s="1"/>
  <c r="AH19" i="21"/>
  <c r="AH21" i="21" s="1"/>
  <c r="E52" i="58"/>
  <c r="AD214" i="21"/>
  <c r="AG214" i="21"/>
  <c r="E57" i="58"/>
  <c r="S118" i="12"/>
  <c r="T118" i="12" s="1"/>
  <c r="H65" i="20"/>
  <c r="AF193" i="3"/>
  <c r="AF195" i="3" s="1"/>
  <c r="AF197" i="3" s="1"/>
  <c r="AF12" i="21"/>
  <c r="AF19" i="21" s="1"/>
  <c r="AF21" i="21" s="1"/>
  <c r="W273" i="9"/>
  <c r="W277" i="9" s="1"/>
  <c r="W279" i="9" s="1"/>
  <c r="W281" i="9" s="1"/>
  <c r="W283" i="9" s="1"/>
  <c r="W285" i="9" s="1"/>
  <c r="Y169" i="4" s="1"/>
  <c r="R101" i="13"/>
  <c r="R112" i="13" s="1"/>
  <c r="S101" i="13"/>
  <c r="S112" i="13" s="1"/>
  <c r="V101" i="13"/>
  <c r="V112" i="13" s="1"/>
  <c r="L283" i="8"/>
  <c r="S279" i="8"/>
  <c r="T279" i="8" s="1"/>
  <c r="L279" i="15"/>
  <c r="I279" i="15" s="1"/>
  <c r="S278" i="15"/>
  <c r="T278" i="15" s="1"/>
  <c r="P101" i="13"/>
  <c r="P112" i="13" s="1"/>
  <c r="P273" i="9"/>
  <c r="P277" i="9" s="1"/>
  <c r="P279" i="9" s="1"/>
  <c r="P281" i="9" s="1"/>
  <c r="P283" i="9" s="1"/>
  <c r="P285" i="9" s="1"/>
  <c r="R169" i="4" s="1"/>
  <c r="W101" i="13"/>
  <c r="W112" i="13" s="1"/>
  <c r="Q101" i="13"/>
  <c r="Q112" i="13" s="1"/>
  <c r="R273" i="9"/>
  <c r="R277" i="9" s="1"/>
  <c r="R279" i="9" s="1"/>
  <c r="R281" i="9" s="1"/>
  <c r="R283" i="9" s="1"/>
  <c r="R285" i="9" s="1"/>
  <c r="T169" i="4" s="1"/>
  <c r="N101" i="13"/>
  <c r="N112" i="13" s="1"/>
  <c r="O101" i="13"/>
  <c r="O112" i="13" s="1"/>
  <c r="T101" i="13"/>
  <c r="T112" i="13" s="1"/>
  <c r="R273" i="6"/>
  <c r="R42" i="21" s="1"/>
  <c r="P273" i="6"/>
  <c r="P42" i="21" s="1"/>
  <c r="AC18" i="21"/>
  <c r="Q48" i="28"/>
  <c r="Q48" i="62"/>
  <c r="I44" i="62"/>
  <c r="I44" i="28"/>
  <c r="N44" i="62"/>
  <c r="N44" i="28"/>
  <c r="M44" i="62"/>
  <c r="M44" i="28"/>
  <c r="N52" i="62"/>
  <c r="N52" i="28"/>
  <c r="J52" i="28"/>
  <c r="J52" i="62"/>
  <c r="J45" i="27"/>
  <c r="J46" i="27" s="1"/>
  <c r="F45" i="27"/>
  <c r="F46" i="27" s="1"/>
  <c r="I45" i="27"/>
  <c r="I46" i="27" s="1"/>
  <c r="H45" i="27"/>
  <c r="H46" i="27" s="1"/>
  <c r="M45" i="27"/>
  <c r="L45" i="27"/>
  <c r="L46" i="27" s="1"/>
  <c r="N45" i="27"/>
  <c r="N46" i="27" s="1"/>
  <c r="K45" i="27"/>
  <c r="K46" i="27" s="1"/>
  <c r="G45" i="27"/>
  <c r="G46" i="27" s="1"/>
  <c r="G51" i="27"/>
  <c r="I51" i="27"/>
  <c r="L51" i="27"/>
  <c r="E54" i="27"/>
  <c r="F51" i="27"/>
  <c r="K51" i="27"/>
  <c r="N51" i="27"/>
  <c r="H51" i="27"/>
  <c r="J51" i="27"/>
  <c r="M51" i="27"/>
  <c r="H44" i="62"/>
  <c r="H44" i="28"/>
  <c r="G44" i="62"/>
  <c r="G44" i="28"/>
  <c r="J44" i="28"/>
  <c r="J44" i="62"/>
  <c r="M52" i="62"/>
  <c r="M52" i="28"/>
  <c r="L52" i="62"/>
  <c r="L52" i="28"/>
  <c r="H52" i="62"/>
  <c r="H52" i="28"/>
  <c r="L44" i="28"/>
  <c r="L44" i="62"/>
  <c r="K44" i="28"/>
  <c r="K44" i="62"/>
  <c r="K52" i="28"/>
  <c r="K52" i="62"/>
  <c r="I52" i="62"/>
  <c r="I52" i="28"/>
  <c r="F53" i="27"/>
  <c r="H53" i="27"/>
  <c r="M53" i="27"/>
  <c r="G53" i="27"/>
  <c r="J53" i="27"/>
  <c r="L53" i="27"/>
  <c r="N53" i="27"/>
  <c r="I53" i="27"/>
  <c r="K53" i="27"/>
  <c r="F44" i="62"/>
  <c r="P44" i="27"/>
  <c r="Q44" i="27" s="1"/>
  <c r="F44" i="28"/>
  <c r="E46" i="27"/>
  <c r="G52" i="62"/>
  <c r="G52" i="28"/>
  <c r="P52" i="27"/>
  <c r="Q52" i="27" s="1"/>
  <c r="F52" i="28"/>
  <c r="F52" i="62"/>
  <c r="J441" i="1"/>
  <c r="AB103" i="21"/>
  <c r="U271" i="16"/>
  <c r="U275" i="16" s="1"/>
  <c r="U277" i="16" s="1"/>
  <c r="O156" i="3"/>
  <c r="O11" i="21" s="1"/>
  <c r="O103" i="21" s="1"/>
  <c r="O271" i="16"/>
  <c r="O275" i="16" s="1"/>
  <c r="O277" i="16" s="1"/>
  <c r="P271" i="16"/>
  <c r="P275" i="16" s="1"/>
  <c r="P277" i="16" s="1"/>
  <c r="S271" i="16"/>
  <c r="S275" i="16" s="1"/>
  <c r="S277" i="16" s="1"/>
  <c r="R271" i="16"/>
  <c r="R275" i="16" s="1"/>
  <c r="R277" i="16" s="1"/>
  <c r="N271" i="16"/>
  <c r="Q271" i="16"/>
  <c r="Q275" i="16" s="1"/>
  <c r="Q277" i="16" s="1"/>
  <c r="T271" i="16"/>
  <c r="T275" i="16" s="1"/>
  <c r="T277" i="16" s="1"/>
  <c r="U101" i="21"/>
  <c r="M101" i="21" s="1"/>
  <c r="V271" i="16"/>
  <c r="V275" i="16" s="1"/>
  <c r="V277" i="16" s="1"/>
  <c r="M108" i="21"/>
  <c r="U273" i="9"/>
  <c r="U277" i="9" s="1"/>
  <c r="U279" i="9" s="1"/>
  <c r="N273" i="6"/>
  <c r="T273" i="9"/>
  <c r="T277" i="9" s="1"/>
  <c r="T279" i="9" s="1"/>
  <c r="T281" i="9" s="1"/>
  <c r="T283" i="9" s="1"/>
  <c r="T285" i="9" s="1"/>
  <c r="V169" i="4" s="1"/>
  <c r="P41" i="26"/>
  <c r="Q41" i="26" s="1"/>
  <c r="Q273" i="6"/>
  <c r="Q273" i="9"/>
  <c r="Q277" i="9" s="1"/>
  <c r="Q279" i="9" s="1"/>
  <c r="Q281" i="9" s="1"/>
  <c r="Q283" i="9" s="1"/>
  <c r="Q285" i="9" s="1"/>
  <c r="S169" i="4" s="1"/>
  <c r="V273" i="6"/>
  <c r="O273" i="6"/>
  <c r="S273" i="6"/>
  <c r="W273" i="6"/>
  <c r="T273" i="6"/>
  <c r="N273" i="9"/>
  <c r="U273" i="6"/>
  <c r="V273" i="9"/>
  <c r="V277" i="9" s="1"/>
  <c r="V279" i="9" s="1"/>
  <c r="O273" i="9"/>
  <c r="O277" i="9" s="1"/>
  <c r="O279" i="9" s="1"/>
  <c r="O281" i="9" s="1"/>
  <c r="O283" i="9" s="1"/>
  <c r="O285" i="9" s="1"/>
  <c r="Q169" i="4" s="1"/>
  <c r="S156" i="3"/>
  <c r="Q156" i="3"/>
  <c r="P156" i="3"/>
  <c r="W156" i="3"/>
  <c r="N156" i="3"/>
  <c r="U156" i="3"/>
  <c r="R156" i="3"/>
  <c r="T156" i="3"/>
  <c r="V156" i="3"/>
  <c r="I45" i="22" l="1"/>
  <c r="Y12" i="21"/>
  <c r="Y104" i="21" s="1"/>
  <c r="AD193" i="3"/>
  <c r="AD195" i="3" s="1"/>
  <c r="AD197" i="3" s="1"/>
  <c r="AD22" i="19" s="1"/>
  <c r="AD15" i="19" s="1"/>
  <c r="AD57" i="21" s="1"/>
  <c r="AD71" i="21" s="1"/>
  <c r="AD72" i="21" s="1"/>
  <c r="G45" i="22"/>
  <c r="K45" i="22"/>
  <c r="H45" i="22"/>
  <c r="F45" i="22"/>
  <c r="M45" i="22"/>
  <c r="J45" i="22"/>
  <c r="X22" i="19"/>
  <c r="Z15" i="19" s="1"/>
  <c r="Z57" i="21" s="1"/>
  <c r="Z71" i="21" s="1"/>
  <c r="Z72" i="21" s="1"/>
  <c r="N45" i="22"/>
  <c r="AD19" i="21"/>
  <c r="AD21" i="21" s="1"/>
  <c r="AD111" i="21"/>
  <c r="AD113" i="21" s="1"/>
  <c r="E52" i="22" s="1"/>
  <c r="M52" i="22" s="1"/>
  <c r="AC15" i="19"/>
  <c r="AC57" i="21" s="1"/>
  <c r="AC71" i="21" s="1"/>
  <c r="AC72" i="21" s="1"/>
  <c r="AC17" i="19"/>
  <c r="AC59" i="21" s="1"/>
  <c r="AC147" i="21" s="1"/>
  <c r="AC220" i="21" s="1"/>
  <c r="AE12" i="21"/>
  <c r="AE193" i="3"/>
  <c r="AE195" i="3" s="1"/>
  <c r="AE197" i="3" s="1"/>
  <c r="AE22" i="19" s="1"/>
  <c r="AE15" i="19" s="1"/>
  <c r="AE57" i="21" s="1"/>
  <c r="AE71" i="21" s="1"/>
  <c r="AE72" i="21" s="1"/>
  <c r="M60" i="22"/>
  <c r="K60" i="22"/>
  <c r="I60" i="22"/>
  <c r="F60" i="22"/>
  <c r="J60" i="22"/>
  <c r="L60" i="22"/>
  <c r="H60" i="22"/>
  <c r="G60" i="22"/>
  <c r="N60" i="22"/>
  <c r="K48" i="22"/>
  <c r="I48" i="22"/>
  <c r="G48" i="22"/>
  <c r="N48" i="22"/>
  <c r="F48" i="22"/>
  <c r="L48" i="22"/>
  <c r="M48" i="22"/>
  <c r="H48" i="22"/>
  <c r="J48" i="22"/>
  <c r="I45" i="58"/>
  <c r="H45" i="58"/>
  <c r="K45" i="58"/>
  <c r="F45" i="58"/>
  <c r="M45" i="58"/>
  <c r="L45" i="58"/>
  <c r="G45" i="58"/>
  <c r="J45" i="58"/>
  <c r="N45" i="58"/>
  <c r="H155" i="20"/>
  <c r="H206" i="20" s="1"/>
  <c r="H214" i="20" s="1"/>
  <c r="E65" i="20"/>
  <c r="C65" i="20" s="1"/>
  <c r="P48" i="58"/>
  <c r="Q48" i="58" s="1"/>
  <c r="N53" i="58"/>
  <c r="F53" i="58"/>
  <c r="J53" i="58"/>
  <c r="M53" i="58"/>
  <c r="H53" i="58"/>
  <c r="G53" i="58"/>
  <c r="I53" i="58"/>
  <c r="L53" i="58"/>
  <c r="K53" i="58"/>
  <c r="H52" i="58"/>
  <c r="N52" i="58"/>
  <c r="K52" i="58"/>
  <c r="L52" i="58"/>
  <c r="J52" i="58"/>
  <c r="G52" i="58"/>
  <c r="F52" i="58"/>
  <c r="I52" i="58"/>
  <c r="M52" i="58"/>
  <c r="AF22" i="19"/>
  <c r="AG17" i="19" s="1"/>
  <c r="AG59" i="21" s="1"/>
  <c r="AG147" i="21" s="1"/>
  <c r="AG220" i="21" s="1"/>
  <c r="E54" i="58"/>
  <c r="L51" i="58"/>
  <c r="K51" i="58"/>
  <c r="I51" i="58"/>
  <c r="N51" i="58"/>
  <c r="J51" i="58"/>
  <c r="H51" i="58"/>
  <c r="F51" i="58"/>
  <c r="G51" i="58"/>
  <c r="M51" i="58"/>
  <c r="E57" i="27"/>
  <c r="AG182" i="21"/>
  <c r="AG184" i="21" s="1"/>
  <c r="AG186" i="21" s="1"/>
  <c r="H44" i="58"/>
  <c r="H46" i="58" s="1"/>
  <c r="M44" i="58"/>
  <c r="L44" i="58"/>
  <c r="K44" i="58"/>
  <c r="F44" i="58"/>
  <c r="G44" i="58"/>
  <c r="J44" i="58"/>
  <c r="I44" i="58"/>
  <c r="E46" i="58"/>
  <c r="N44" i="58"/>
  <c r="H57" i="58"/>
  <c r="H58" i="58" s="1"/>
  <c r="K57" i="58"/>
  <c r="K58" i="58" s="1"/>
  <c r="L57" i="58"/>
  <c r="L58" i="58" s="1"/>
  <c r="J57" i="58"/>
  <c r="J58" i="58" s="1"/>
  <c r="G57" i="58"/>
  <c r="G58" i="58" s="1"/>
  <c r="N57" i="58"/>
  <c r="N58" i="58" s="1"/>
  <c r="E58" i="58"/>
  <c r="F57" i="58"/>
  <c r="M57" i="58"/>
  <c r="M58" i="58" s="1"/>
  <c r="I57" i="58"/>
  <c r="I58" i="58" s="1"/>
  <c r="AG104" i="21"/>
  <c r="AG19" i="21"/>
  <c r="AG21" i="21" s="1"/>
  <c r="R277" i="6"/>
  <c r="R279" i="6" s="1"/>
  <c r="P277" i="6"/>
  <c r="P279" i="6" s="1"/>
  <c r="L285" i="8"/>
  <c r="S283" i="8"/>
  <c r="AC110" i="21"/>
  <c r="AC19" i="21"/>
  <c r="AC21" i="21" s="1"/>
  <c r="J444" i="1"/>
  <c r="J465" i="1" s="1"/>
  <c r="J467" i="1" s="1"/>
  <c r="D169" i="3"/>
  <c r="J169" i="2"/>
  <c r="E52" i="28"/>
  <c r="P52" i="28"/>
  <c r="K53" i="28"/>
  <c r="K53" i="62"/>
  <c r="J53" i="28"/>
  <c r="J53" i="62"/>
  <c r="F53" i="28"/>
  <c r="F53" i="62"/>
  <c r="P53" i="27"/>
  <c r="Q53" i="27" s="1"/>
  <c r="M51" i="28"/>
  <c r="M51" i="62"/>
  <c r="M54" i="27"/>
  <c r="K54" i="27"/>
  <c r="K51" i="62"/>
  <c r="K51" i="28"/>
  <c r="I51" i="28"/>
  <c r="I54" i="27"/>
  <c r="I51" i="62"/>
  <c r="G45" i="62"/>
  <c r="G45" i="28"/>
  <c r="G46" i="28" s="1"/>
  <c r="M45" i="62"/>
  <c r="M45" i="28"/>
  <c r="M46" i="28" s="1"/>
  <c r="J45" i="62"/>
  <c r="J45" i="28"/>
  <c r="J46" i="28" s="1"/>
  <c r="E44" i="62"/>
  <c r="P44" i="62"/>
  <c r="I53" i="62"/>
  <c r="I53" i="28"/>
  <c r="G53" i="62"/>
  <c r="G53" i="28"/>
  <c r="J51" i="28"/>
  <c r="J54" i="27"/>
  <c r="J51" i="62"/>
  <c r="F51" i="62"/>
  <c r="F51" i="28"/>
  <c r="P51" i="27"/>
  <c r="Q51" i="27" s="1"/>
  <c r="F54" i="27"/>
  <c r="G51" i="62"/>
  <c r="G54" i="27"/>
  <c r="G51" i="28"/>
  <c r="K45" i="28"/>
  <c r="K46" i="28" s="1"/>
  <c r="K45" i="62"/>
  <c r="H45" i="62"/>
  <c r="H45" i="28"/>
  <c r="H46" i="28" s="1"/>
  <c r="N53" i="28"/>
  <c r="N53" i="62"/>
  <c r="M53" i="62"/>
  <c r="M53" i="28"/>
  <c r="H51" i="28"/>
  <c r="H51" i="62"/>
  <c r="H54" i="27"/>
  <c r="N45" i="28"/>
  <c r="N46" i="28" s="1"/>
  <c r="N45" i="62"/>
  <c r="I45" i="28"/>
  <c r="I46" i="28" s="1"/>
  <c r="I45" i="62"/>
  <c r="M46" i="27"/>
  <c r="P46" i="27" s="1"/>
  <c r="Q46" i="27" s="1"/>
  <c r="P52" i="62"/>
  <c r="E52" i="62"/>
  <c r="E44" i="28"/>
  <c r="P44" i="28"/>
  <c r="L53" i="62"/>
  <c r="L53" i="28"/>
  <c r="H53" i="62"/>
  <c r="H53" i="28"/>
  <c r="N51" i="62"/>
  <c r="N54" i="27"/>
  <c r="N51" i="28"/>
  <c r="L54" i="27"/>
  <c r="L51" i="62"/>
  <c r="L51" i="28"/>
  <c r="L45" i="62"/>
  <c r="L45" i="28"/>
  <c r="L46" i="28" s="1"/>
  <c r="P45" i="27"/>
  <c r="Q45" i="27" s="1"/>
  <c r="F45" i="62"/>
  <c r="F45" i="28"/>
  <c r="S11" i="21"/>
  <c r="S103" i="21" s="1"/>
  <c r="U277" i="6"/>
  <c r="U279" i="6" s="1"/>
  <c r="U42" i="21"/>
  <c r="S42" i="21"/>
  <c r="S277" i="6"/>
  <c r="S279" i="6" s="1"/>
  <c r="Q42" i="21"/>
  <c r="Q277" i="6"/>
  <c r="Q279" i="6" s="1"/>
  <c r="P130" i="21"/>
  <c r="P47" i="21"/>
  <c r="P49" i="21" s="1"/>
  <c r="P51" i="21" s="1"/>
  <c r="T11" i="21"/>
  <c r="T103" i="21" s="1"/>
  <c r="N275" i="16"/>
  <c r="O277" i="6"/>
  <c r="O279" i="6" s="1"/>
  <c r="O42" i="21"/>
  <c r="R130" i="21"/>
  <c r="R47" i="21"/>
  <c r="R49" i="21" s="1"/>
  <c r="R51" i="21" s="1"/>
  <c r="U281" i="9"/>
  <c r="U283" i="9" s="1"/>
  <c r="U285" i="9" s="1"/>
  <c r="W169" i="4" s="1"/>
  <c r="R11" i="21"/>
  <c r="R103" i="21" s="1"/>
  <c r="U11" i="21"/>
  <c r="U103" i="21" s="1"/>
  <c r="W11" i="21"/>
  <c r="W103" i="21" s="1"/>
  <c r="T42" i="21"/>
  <c r="T277" i="6"/>
  <c r="T279" i="6" s="1"/>
  <c r="V42" i="21"/>
  <c r="V277" i="6"/>
  <c r="V279" i="6" s="1"/>
  <c r="V11" i="21"/>
  <c r="V103" i="21" s="1"/>
  <c r="N11" i="21"/>
  <c r="P11" i="21"/>
  <c r="P103" i="21" s="1"/>
  <c r="Q11" i="21"/>
  <c r="Q103" i="21" s="1"/>
  <c r="V281" i="9"/>
  <c r="V283" i="9" s="1"/>
  <c r="V285" i="9" s="1"/>
  <c r="X169" i="4" s="1"/>
  <c r="W42" i="21"/>
  <c r="W277" i="6"/>
  <c r="W279" i="6" s="1"/>
  <c r="Y19" i="21" l="1"/>
  <c r="Y21" i="21" s="1"/>
  <c r="N54" i="58"/>
  <c r="L46" i="58"/>
  <c r="AD17" i="19"/>
  <c r="AD59" i="21" s="1"/>
  <c r="AD147" i="21" s="1"/>
  <c r="AD220" i="21" s="1"/>
  <c r="Y15" i="19"/>
  <c r="Y57" i="21" s="1"/>
  <c r="Y71" i="21" s="1"/>
  <c r="Y72" i="21" s="1"/>
  <c r="J52" i="22"/>
  <c r="G52" i="22"/>
  <c r="K52" i="22"/>
  <c r="F52" i="22"/>
  <c r="I52" i="22"/>
  <c r="L52" i="22"/>
  <c r="P45" i="22"/>
  <c r="Q45" i="22" s="1"/>
  <c r="H52" i="22"/>
  <c r="N52" i="22"/>
  <c r="Y17" i="19"/>
  <c r="Y59" i="21" s="1"/>
  <c r="Y147" i="21" s="1"/>
  <c r="Y220" i="21" s="1"/>
  <c r="Z17" i="19"/>
  <c r="Z59" i="21" s="1"/>
  <c r="Z147" i="21" s="1"/>
  <c r="Z220" i="21" s="1"/>
  <c r="K46" i="58"/>
  <c r="N46" i="58"/>
  <c r="G46" i="58"/>
  <c r="M46" i="58"/>
  <c r="M54" i="58"/>
  <c r="AG15" i="19"/>
  <c r="AG57" i="21" s="1"/>
  <c r="AG71" i="21" s="1"/>
  <c r="AG72" i="21" s="1"/>
  <c r="J54" i="58"/>
  <c r="L54" i="58"/>
  <c r="AE17" i="19"/>
  <c r="AE59" i="21" s="1"/>
  <c r="AE147" i="21" s="1"/>
  <c r="AE220" i="21" s="1"/>
  <c r="I46" i="58"/>
  <c r="I54" i="58"/>
  <c r="P52" i="58"/>
  <c r="Q52" i="58" s="1"/>
  <c r="J46" i="58"/>
  <c r="AE104" i="21"/>
  <c r="AE111" i="21" s="1"/>
  <c r="AE113" i="21" s="1"/>
  <c r="E53" i="22" s="1"/>
  <c r="AE19" i="21"/>
  <c r="AE21" i="21" s="1"/>
  <c r="F54" i="58"/>
  <c r="P51" i="58"/>
  <c r="Q51" i="58" s="1"/>
  <c r="I57" i="27"/>
  <c r="G57" i="27"/>
  <c r="J57" i="27"/>
  <c r="N57" i="27"/>
  <c r="K57" i="27"/>
  <c r="M57" i="27"/>
  <c r="E58" i="27"/>
  <c r="L57" i="27"/>
  <c r="H57" i="27"/>
  <c r="F57" i="27"/>
  <c r="H54" i="58"/>
  <c r="K54" i="58"/>
  <c r="P60" i="22"/>
  <c r="Q60" i="22" s="1"/>
  <c r="P57" i="58"/>
  <c r="Q57" i="58" s="1"/>
  <c r="F58" i="58"/>
  <c r="P58" i="58" s="1"/>
  <c r="Q58" i="58" s="1"/>
  <c r="P53" i="58"/>
  <c r="Q53" i="58" s="1"/>
  <c r="Y111" i="21"/>
  <c r="Y113" i="21" s="1"/>
  <c r="E44" i="22" s="1"/>
  <c r="X104" i="21"/>
  <c r="X111" i="21" s="1"/>
  <c r="X113" i="21" s="1"/>
  <c r="AF104" i="21"/>
  <c r="AF111" i="21" s="1"/>
  <c r="AF113" i="21" s="1"/>
  <c r="AG111" i="21"/>
  <c r="AG113" i="21" s="1"/>
  <c r="E57" i="22" s="1"/>
  <c r="F46" i="58"/>
  <c r="P44" i="58"/>
  <c r="Q44" i="58" s="1"/>
  <c r="G54" i="58"/>
  <c r="O65" i="20"/>
  <c r="AM65" i="21"/>
  <c r="P45" i="58"/>
  <c r="Q45" i="58" s="1"/>
  <c r="P48" i="22"/>
  <c r="Q48" i="22" s="1"/>
  <c r="T283" i="8"/>
  <c r="AJ283" i="9"/>
  <c r="L441" i="1"/>
  <c r="S285" i="8"/>
  <c r="I46" i="62"/>
  <c r="J46" i="62"/>
  <c r="J54" i="28"/>
  <c r="G46" i="62"/>
  <c r="AB110" i="21"/>
  <c r="AB111" i="21" s="1"/>
  <c r="AB113" i="21" s="1"/>
  <c r="AC111" i="21"/>
  <c r="AC113" i="21" s="1"/>
  <c r="E51" i="22" s="1"/>
  <c r="L54" i="28"/>
  <c r="M46" i="62"/>
  <c r="K54" i="28"/>
  <c r="G54" i="28"/>
  <c r="N54" i="28"/>
  <c r="P45" i="28"/>
  <c r="E45" i="28"/>
  <c r="E46" i="28" s="1"/>
  <c r="Q44" i="62"/>
  <c r="N46" i="62"/>
  <c r="H46" i="62"/>
  <c r="E53" i="62"/>
  <c r="P53" i="62"/>
  <c r="E45" i="62"/>
  <c r="P45" i="62"/>
  <c r="E51" i="28"/>
  <c r="P51" i="28"/>
  <c r="F54" i="28"/>
  <c r="F46" i="62"/>
  <c r="I54" i="28"/>
  <c r="K46" i="62"/>
  <c r="E53" i="28"/>
  <c r="P53" i="28"/>
  <c r="Q52" i="28"/>
  <c r="L54" i="62"/>
  <c r="N54" i="62"/>
  <c r="Q44" i="28"/>
  <c r="Q52" i="62"/>
  <c r="H54" i="62"/>
  <c r="G54" i="62"/>
  <c r="E51" i="62"/>
  <c r="P51" i="62"/>
  <c r="F54" i="62"/>
  <c r="M54" i="62"/>
  <c r="J172" i="2"/>
  <c r="F46" i="28"/>
  <c r="P46" i="28" s="1"/>
  <c r="H54" i="28"/>
  <c r="P54" i="27"/>
  <c r="Q54" i="27" s="1"/>
  <c r="J54" i="62"/>
  <c r="I54" i="62"/>
  <c r="K54" i="62"/>
  <c r="M54" i="28"/>
  <c r="L46" i="62"/>
  <c r="D172" i="3"/>
  <c r="O130" i="21"/>
  <c r="O47" i="21"/>
  <c r="O49" i="21" s="1"/>
  <c r="O51" i="21" s="1"/>
  <c r="S130" i="21"/>
  <c r="S47" i="21"/>
  <c r="S49" i="21" s="1"/>
  <c r="S51" i="21" s="1"/>
  <c r="W130" i="21"/>
  <c r="W47" i="21"/>
  <c r="W49" i="21" s="1"/>
  <c r="W51" i="21" s="1"/>
  <c r="T130" i="21"/>
  <c r="T47" i="21"/>
  <c r="T49" i="21" s="1"/>
  <c r="T51" i="21" s="1"/>
  <c r="N277" i="16"/>
  <c r="N42" i="21"/>
  <c r="N277" i="6"/>
  <c r="P177" i="21"/>
  <c r="P135" i="21"/>
  <c r="P137" i="21" s="1"/>
  <c r="P139" i="21" s="1"/>
  <c r="U130" i="21"/>
  <c r="U47" i="21"/>
  <c r="U49" i="21" s="1"/>
  <c r="U51" i="21" s="1"/>
  <c r="J469" i="1"/>
  <c r="K29" i="75"/>
  <c r="N277" i="9"/>
  <c r="Q130" i="21"/>
  <c r="Q47" i="21"/>
  <c r="Q49" i="21" s="1"/>
  <c r="Q51" i="21" s="1"/>
  <c r="N103" i="21"/>
  <c r="V130" i="21"/>
  <c r="V47" i="21"/>
  <c r="V49" i="21" s="1"/>
  <c r="V51" i="21" s="1"/>
  <c r="R177" i="21"/>
  <c r="R135" i="21"/>
  <c r="R137" i="21" s="1"/>
  <c r="R139" i="21" s="1"/>
  <c r="P52" i="22" l="1"/>
  <c r="Q52" i="22" s="1"/>
  <c r="P46" i="58"/>
  <c r="Q46" i="58" s="1"/>
  <c r="L53" i="22"/>
  <c r="H53" i="22"/>
  <c r="J53" i="22"/>
  <c r="K53" i="22"/>
  <c r="I53" i="22"/>
  <c r="N53" i="22"/>
  <c r="F53" i="22"/>
  <c r="G53" i="22"/>
  <c r="M53" i="22"/>
  <c r="F57" i="62"/>
  <c r="F58" i="27"/>
  <c r="F57" i="28"/>
  <c r="P57" i="27"/>
  <c r="Q57" i="27" s="1"/>
  <c r="M57" i="62"/>
  <c r="M58" i="62" s="1"/>
  <c r="M57" i="28"/>
  <c r="M58" i="28" s="1"/>
  <c r="M58" i="27"/>
  <c r="K57" i="62"/>
  <c r="K58" i="62" s="1"/>
  <c r="K58" i="27"/>
  <c r="K57" i="28"/>
  <c r="K58" i="28" s="1"/>
  <c r="K57" i="22"/>
  <c r="K58" i="22" s="1"/>
  <c r="G57" i="22"/>
  <c r="G58" i="22" s="1"/>
  <c r="H57" i="22"/>
  <c r="H58" i="22" s="1"/>
  <c r="E58" i="22"/>
  <c r="M57" i="22"/>
  <c r="M58" i="22" s="1"/>
  <c r="N57" i="22"/>
  <c r="N58" i="22" s="1"/>
  <c r="J57" i="22"/>
  <c r="J58" i="22" s="1"/>
  <c r="I57" i="22"/>
  <c r="I58" i="22" s="1"/>
  <c r="L57" i="22"/>
  <c r="L58" i="22" s="1"/>
  <c r="F57" i="22"/>
  <c r="L57" i="28"/>
  <c r="L58" i="28" s="1"/>
  <c r="L57" i="62"/>
  <c r="L58" i="62" s="1"/>
  <c r="L58" i="27"/>
  <c r="N57" i="62"/>
  <c r="N58" i="62" s="1"/>
  <c r="N58" i="27"/>
  <c r="N57" i="28"/>
  <c r="N58" i="28" s="1"/>
  <c r="G58" i="27"/>
  <c r="G57" i="62"/>
  <c r="G58" i="62" s="1"/>
  <c r="G57" i="28"/>
  <c r="G58" i="28" s="1"/>
  <c r="F44" i="22"/>
  <c r="N44" i="22"/>
  <c r="N46" i="22" s="1"/>
  <c r="I44" i="22"/>
  <c r="I46" i="22" s="1"/>
  <c r="K44" i="22"/>
  <c r="K46" i="22" s="1"/>
  <c r="J44" i="22"/>
  <c r="J46" i="22" s="1"/>
  <c r="M44" i="22"/>
  <c r="M46" i="22" s="1"/>
  <c r="H44" i="22"/>
  <c r="H46" i="22" s="1"/>
  <c r="L44" i="22"/>
  <c r="L46" i="22" s="1"/>
  <c r="G44" i="22"/>
  <c r="G46" i="22" s="1"/>
  <c r="E46" i="22"/>
  <c r="H57" i="62"/>
  <c r="H58" i="62" s="1"/>
  <c r="H58" i="27"/>
  <c r="H57" i="28"/>
  <c r="H58" i="28" s="1"/>
  <c r="I57" i="28"/>
  <c r="I58" i="28" s="1"/>
  <c r="I58" i="27"/>
  <c r="I57" i="62"/>
  <c r="I58" i="62" s="1"/>
  <c r="J58" i="27"/>
  <c r="J57" i="62"/>
  <c r="J58" i="62" s="1"/>
  <c r="J57" i="28"/>
  <c r="J58" i="28" s="1"/>
  <c r="P54" i="58"/>
  <c r="Q54" i="58" s="1"/>
  <c r="M169" i="3"/>
  <c r="M172" i="3" s="1"/>
  <c r="L444" i="1"/>
  <c r="L465" i="1" s="1"/>
  <c r="L169" i="2"/>
  <c r="AJ285" i="9"/>
  <c r="T285" i="8"/>
  <c r="G51" i="22"/>
  <c r="M51" i="22"/>
  <c r="I51" i="22"/>
  <c r="L51" i="22"/>
  <c r="E54" i="22"/>
  <c r="N51" i="22"/>
  <c r="H51" i="22"/>
  <c r="J51" i="22"/>
  <c r="F51" i="22"/>
  <c r="K51" i="22"/>
  <c r="Q53" i="28"/>
  <c r="Q51" i="28"/>
  <c r="E54" i="28"/>
  <c r="Q45" i="62"/>
  <c r="Q45" i="28"/>
  <c r="D193" i="3"/>
  <c r="D195" i="3" s="1"/>
  <c r="D197" i="3" s="1"/>
  <c r="D12" i="21"/>
  <c r="D19" i="21" s="1"/>
  <c r="D21" i="21" s="1"/>
  <c r="Q51" i="62"/>
  <c r="E54" i="62"/>
  <c r="Q53" i="62"/>
  <c r="E46" i="62"/>
  <c r="F12" i="20"/>
  <c r="J193" i="2"/>
  <c r="P54" i="62"/>
  <c r="P54" i="28"/>
  <c r="Q46" i="28"/>
  <c r="P46" i="62"/>
  <c r="M103" i="21"/>
  <c r="N130" i="21"/>
  <c r="N47" i="21"/>
  <c r="W177" i="21"/>
  <c r="W135" i="21"/>
  <c r="W137" i="21" s="1"/>
  <c r="W139" i="21" s="1"/>
  <c r="N279" i="9"/>
  <c r="Q177" i="21"/>
  <c r="Q135" i="21"/>
  <c r="Q137" i="21" s="1"/>
  <c r="Q139" i="21" s="1"/>
  <c r="E28" i="27"/>
  <c r="P182" i="21"/>
  <c r="P184" i="21" s="1"/>
  <c r="P186" i="21" s="1"/>
  <c r="N279" i="6"/>
  <c r="T177" i="21"/>
  <c r="T135" i="21"/>
  <c r="T137" i="21" s="1"/>
  <c r="T139" i="21" s="1"/>
  <c r="O177" i="21"/>
  <c r="O135" i="21"/>
  <c r="O137" i="21" s="1"/>
  <c r="O139" i="21" s="1"/>
  <c r="E33" i="27"/>
  <c r="R182" i="21"/>
  <c r="R184" i="21" s="1"/>
  <c r="R186" i="21" s="1"/>
  <c r="V177" i="21"/>
  <c r="V135" i="21"/>
  <c r="V137" i="21" s="1"/>
  <c r="V139" i="21" s="1"/>
  <c r="K32" i="75"/>
  <c r="U177" i="21"/>
  <c r="U135" i="21"/>
  <c r="U137" i="21" s="1"/>
  <c r="U139" i="21" s="1"/>
  <c r="S177" i="21"/>
  <c r="S135" i="21"/>
  <c r="S137" i="21" s="1"/>
  <c r="S139" i="21" s="1"/>
  <c r="P53" i="22" l="1"/>
  <c r="Q53" i="22" s="1"/>
  <c r="P44" i="22"/>
  <c r="Q44" i="22" s="1"/>
  <c r="F46" i="22"/>
  <c r="P46" i="22" s="1"/>
  <c r="Q46" i="22" s="1"/>
  <c r="P58" i="27"/>
  <c r="Q58" i="27" s="1"/>
  <c r="P57" i="22"/>
  <c r="Q57" i="22" s="1"/>
  <c r="F58" i="22"/>
  <c r="P58" i="22" s="1"/>
  <c r="Q58" i="22" s="1"/>
  <c r="E57" i="28"/>
  <c r="F58" i="28"/>
  <c r="P58" i="28" s="1"/>
  <c r="P57" i="28"/>
  <c r="P57" i="62"/>
  <c r="F58" i="62"/>
  <c r="P58" i="62" s="1"/>
  <c r="E57" i="62"/>
  <c r="L467" i="1"/>
  <c r="S465" i="1"/>
  <c r="T465" i="1" s="1"/>
  <c r="L172" i="2"/>
  <c r="S169" i="2"/>
  <c r="T169" i="2" s="1"/>
  <c r="M12" i="21"/>
  <c r="M19" i="21" s="1"/>
  <c r="M21" i="21" s="1"/>
  <c r="M193" i="3"/>
  <c r="M195" i="3" s="1"/>
  <c r="M197" i="3" s="1"/>
  <c r="H54" i="22"/>
  <c r="K54" i="22"/>
  <c r="N54" i="22"/>
  <c r="M54" i="22"/>
  <c r="I54" i="22"/>
  <c r="F54" i="22"/>
  <c r="P51" i="22"/>
  <c r="Q51" i="22" s="1"/>
  <c r="G54" i="22"/>
  <c r="J54" i="22"/>
  <c r="L54" i="22"/>
  <c r="Q54" i="28"/>
  <c r="Q46" i="62"/>
  <c r="F19" i="20"/>
  <c r="F104" i="20"/>
  <c r="Q54" i="62"/>
  <c r="J195" i="2"/>
  <c r="L33" i="27"/>
  <c r="I33" i="27"/>
  <c r="J33" i="27"/>
  <c r="H33" i="27"/>
  <c r="K33" i="27"/>
  <c r="F33" i="27"/>
  <c r="G33" i="27"/>
  <c r="M33" i="27"/>
  <c r="N33" i="27"/>
  <c r="M28" i="27"/>
  <c r="N28" i="27"/>
  <c r="J28" i="27"/>
  <c r="I28" i="27"/>
  <c r="F28" i="27"/>
  <c r="H28" i="27"/>
  <c r="G28" i="27"/>
  <c r="L28" i="27"/>
  <c r="K28" i="27"/>
  <c r="N49" i="21"/>
  <c r="E36" i="27"/>
  <c r="U182" i="21"/>
  <c r="U184" i="21" s="1"/>
  <c r="U186" i="21" s="1"/>
  <c r="E37" i="27"/>
  <c r="V182" i="21"/>
  <c r="V184" i="21" s="1"/>
  <c r="V186" i="21" s="1"/>
  <c r="E35" i="27"/>
  <c r="T182" i="21"/>
  <c r="T184" i="21" s="1"/>
  <c r="T186" i="21" s="1"/>
  <c r="N177" i="21"/>
  <c r="N135" i="21"/>
  <c r="E29" i="27"/>
  <c r="Q182" i="21"/>
  <c r="Q184" i="21" s="1"/>
  <c r="Q186" i="21" s="1"/>
  <c r="N281" i="9"/>
  <c r="E38" i="27"/>
  <c r="W182" i="21"/>
  <c r="W184" i="21" s="1"/>
  <c r="W186" i="21" s="1"/>
  <c r="E34" i="27"/>
  <c r="S182" i="21"/>
  <c r="S184" i="21" s="1"/>
  <c r="S186" i="21" s="1"/>
  <c r="E27" i="27"/>
  <c r="O182" i="21"/>
  <c r="O184" i="21" s="1"/>
  <c r="O186" i="21" s="1"/>
  <c r="Q57" i="62" l="1"/>
  <c r="E58" i="62"/>
  <c r="Q58" i="62" s="1"/>
  <c r="E58" i="28"/>
  <c r="Q58" i="28" s="1"/>
  <c r="Q57" i="28"/>
  <c r="L193" i="2"/>
  <c r="H12" i="20"/>
  <c r="S172" i="2"/>
  <c r="T172" i="2" s="1"/>
  <c r="L469" i="1"/>
  <c r="M29" i="75"/>
  <c r="T29" i="75" s="1"/>
  <c r="U29" i="75" s="1"/>
  <c r="S467" i="1"/>
  <c r="T467" i="1" s="1"/>
  <c r="P54" i="22"/>
  <c r="Q54" i="22" s="1"/>
  <c r="F21" i="20"/>
  <c r="J197" i="2"/>
  <c r="F111" i="20"/>
  <c r="G33" i="28"/>
  <c r="G33" i="62"/>
  <c r="N27" i="27"/>
  <c r="I27" i="27"/>
  <c r="L27" i="27"/>
  <c r="H27" i="27"/>
  <c r="G27" i="27"/>
  <c r="F27" i="27"/>
  <c r="M27" i="27"/>
  <c r="J27" i="27"/>
  <c r="K27" i="27"/>
  <c r="N283" i="9"/>
  <c r="H29" i="27"/>
  <c r="N29" i="27"/>
  <c r="K29" i="27"/>
  <c r="F29" i="27"/>
  <c r="G29" i="27"/>
  <c r="J29" i="27"/>
  <c r="L29" i="27"/>
  <c r="I29" i="27"/>
  <c r="M29" i="27"/>
  <c r="K28" i="28"/>
  <c r="K28" i="62"/>
  <c r="M28" i="62"/>
  <c r="M28" i="28"/>
  <c r="E26" i="27"/>
  <c r="N182" i="21"/>
  <c r="L28" i="28"/>
  <c r="L28" i="62"/>
  <c r="I28" i="28"/>
  <c r="I28" i="62"/>
  <c r="N33" i="62"/>
  <c r="N33" i="28"/>
  <c r="K33" i="28"/>
  <c r="K33" i="62"/>
  <c r="I33" i="62"/>
  <c r="I33" i="28"/>
  <c r="K34" i="27"/>
  <c r="J34" i="27"/>
  <c r="M34" i="27"/>
  <c r="F34" i="27"/>
  <c r="L34" i="27"/>
  <c r="N34" i="27"/>
  <c r="I34" i="27"/>
  <c r="H34" i="27"/>
  <c r="G34" i="27"/>
  <c r="H28" i="28"/>
  <c r="H28" i="62"/>
  <c r="N28" i="62"/>
  <c r="N28" i="28"/>
  <c r="J33" i="62"/>
  <c r="J33" i="28"/>
  <c r="K38" i="27"/>
  <c r="F38" i="27"/>
  <c r="G38" i="27"/>
  <c r="H38" i="27"/>
  <c r="I38" i="27"/>
  <c r="N38" i="27"/>
  <c r="M38" i="27"/>
  <c r="L38" i="27"/>
  <c r="J38" i="27"/>
  <c r="N137" i="21"/>
  <c r="L37" i="27"/>
  <c r="M37" i="27"/>
  <c r="I37" i="27"/>
  <c r="H37" i="27"/>
  <c r="G37" i="27"/>
  <c r="F37" i="27"/>
  <c r="K37" i="27"/>
  <c r="J37" i="27"/>
  <c r="N37" i="27"/>
  <c r="P28" i="27"/>
  <c r="Q28" i="27" s="1"/>
  <c r="F28" i="28"/>
  <c r="F28" i="62"/>
  <c r="P33" i="27"/>
  <c r="Q33" i="27" s="1"/>
  <c r="F33" i="28"/>
  <c r="F33" i="62"/>
  <c r="E39" i="27"/>
  <c r="J35" i="27"/>
  <c r="G35" i="27"/>
  <c r="H35" i="27"/>
  <c r="F35" i="27"/>
  <c r="L35" i="27"/>
  <c r="N35" i="27"/>
  <c r="M35" i="27"/>
  <c r="I35" i="27"/>
  <c r="K35" i="27"/>
  <c r="M36" i="27"/>
  <c r="H36" i="27"/>
  <c r="K36" i="27"/>
  <c r="N36" i="27"/>
  <c r="I36" i="27"/>
  <c r="F36" i="27"/>
  <c r="G36" i="27"/>
  <c r="L36" i="27"/>
  <c r="J36" i="27"/>
  <c r="N51" i="21"/>
  <c r="G28" i="62"/>
  <c r="G28" i="28"/>
  <c r="J28" i="62"/>
  <c r="J28" i="28"/>
  <c r="M33" i="62"/>
  <c r="M33" i="28"/>
  <c r="H33" i="62"/>
  <c r="H33" i="28"/>
  <c r="L33" i="62"/>
  <c r="L33" i="28"/>
  <c r="H104" i="20" l="1"/>
  <c r="H19" i="20"/>
  <c r="E12" i="20"/>
  <c r="C12" i="20" s="1"/>
  <c r="M32" i="75"/>
  <c r="T32" i="75" s="1"/>
  <c r="U32" i="75" s="1"/>
  <c r="S469" i="1"/>
  <c r="T469" i="1" s="1"/>
  <c r="L195" i="2"/>
  <c r="S193" i="2"/>
  <c r="T193" i="2" s="1"/>
  <c r="F113" i="20"/>
  <c r="G27" i="18"/>
  <c r="L39" i="27"/>
  <c r="J39" i="27"/>
  <c r="N39" i="27"/>
  <c r="G36" i="62"/>
  <c r="G36" i="28"/>
  <c r="K36" i="62"/>
  <c r="K36" i="28"/>
  <c r="I35" i="28"/>
  <c r="I35" i="62"/>
  <c r="P35" i="27"/>
  <c r="Q35" i="27" s="1"/>
  <c r="F35" i="28"/>
  <c r="F35" i="62"/>
  <c r="E33" i="28"/>
  <c r="P33" i="28"/>
  <c r="N37" i="62"/>
  <c r="N37" i="28"/>
  <c r="G37" i="28"/>
  <c r="G37" i="62"/>
  <c r="L37" i="62"/>
  <c r="L37" i="28"/>
  <c r="J38" i="28"/>
  <c r="J38" i="62"/>
  <c r="I38" i="28"/>
  <c r="I38" i="62"/>
  <c r="K38" i="62"/>
  <c r="K38" i="28"/>
  <c r="G34" i="28"/>
  <c r="G34" i="62"/>
  <c r="L34" i="62"/>
  <c r="L34" i="28"/>
  <c r="K34" i="28"/>
  <c r="K34" i="62"/>
  <c r="N184" i="21"/>
  <c r="I29" i="28"/>
  <c r="I29" i="62"/>
  <c r="P29" i="27"/>
  <c r="Q29" i="27" s="1"/>
  <c r="F29" i="62"/>
  <c r="F29" i="28"/>
  <c r="J27" i="28"/>
  <c r="J27" i="62"/>
  <c r="H27" i="28"/>
  <c r="H27" i="62"/>
  <c r="P36" i="27"/>
  <c r="Q36" i="27" s="1"/>
  <c r="F36" i="28"/>
  <c r="F36" i="62"/>
  <c r="H36" i="62"/>
  <c r="H36" i="28"/>
  <c r="M35" i="28"/>
  <c r="M35" i="62"/>
  <c r="H35" i="62"/>
  <c r="H35" i="28"/>
  <c r="E28" i="62"/>
  <c r="P28" i="62"/>
  <c r="J37" i="62"/>
  <c r="J37" i="28"/>
  <c r="H37" i="28"/>
  <c r="H37" i="62"/>
  <c r="L38" i="62"/>
  <c r="L38" i="28"/>
  <c r="H38" i="62"/>
  <c r="H38" i="28"/>
  <c r="H34" i="28"/>
  <c r="H34" i="62"/>
  <c r="P34" i="27"/>
  <c r="Q34" i="27" s="1"/>
  <c r="F34" i="28"/>
  <c r="F34" i="62"/>
  <c r="K39" i="27"/>
  <c r="L29" i="62"/>
  <c r="L29" i="28"/>
  <c r="K29" i="62"/>
  <c r="K29" i="28"/>
  <c r="N285" i="9"/>
  <c r="P169" i="4" s="1"/>
  <c r="O169" i="4" s="1"/>
  <c r="M27" i="28"/>
  <c r="M27" i="62"/>
  <c r="L27" i="62"/>
  <c r="L27" i="28"/>
  <c r="J36" i="28"/>
  <c r="J36" i="62"/>
  <c r="I36" i="62"/>
  <c r="I36" i="28"/>
  <c r="M36" i="62"/>
  <c r="M36" i="28"/>
  <c r="N35" i="28"/>
  <c r="N35" i="62"/>
  <c r="G35" i="62"/>
  <c r="G35" i="28"/>
  <c r="F39" i="27"/>
  <c r="P28" i="28"/>
  <c r="E28" i="28"/>
  <c r="K37" i="28"/>
  <c r="K37" i="62"/>
  <c r="I37" i="62"/>
  <c r="I37" i="28"/>
  <c r="N139" i="21"/>
  <c r="M38" i="28"/>
  <c r="M38" i="62"/>
  <c r="G38" i="62"/>
  <c r="G38" i="28"/>
  <c r="I34" i="62"/>
  <c r="I34" i="28"/>
  <c r="M34" i="62"/>
  <c r="M34" i="28"/>
  <c r="I39" i="27"/>
  <c r="M26" i="27"/>
  <c r="L26" i="27"/>
  <c r="F26" i="27"/>
  <c r="N26" i="27"/>
  <c r="G26" i="27"/>
  <c r="H26" i="27"/>
  <c r="J26" i="27"/>
  <c r="K26" i="27"/>
  <c r="E30" i="27"/>
  <c r="E41" i="27" s="1"/>
  <c r="I26" i="27"/>
  <c r="J29" i="28"/>
  <c r="J29" i="62"/>
  <c r="N29" i="62"/>
  <c r="N29" i="28"/>
  <c r="P27" i="27"/>
  <c r="Q27" i="27" s="1"/>
  <c r="F27" i="28"/>
  <c r="F27" i="62"/>
  <c r="I27" i="62"/>
  <c r="I27" i="28"/>
  <c r="H39" i="27"/>
  <c r="M39" i="27"/>
  <c r="L36" i="28"/>
  <c r="L36" i="62"/>
  <c r="N36" i="62"/>
  <c r="N36" i="28"/>
  <c r="K35" i="62"/>
  <c r="K35" i="28"/>
  <c r="L35" i="62"/>
  <c r="L35" i="28"/>
  <c r="J35" i="28"/>
  <c r="J35" i="62"/>
  <c r="E33" i="62"/>
  <c r="P33" i="62"/>
  <c r="P37" i="27"/>
  <c r="Q37" i="27" s="1"/>
  <c r="F37" i="28"/>
  <c r="F37" i="62"/>
  <c r="M37" i="28"/>
  <c r="M37" i="62"/>
  <c r="N38" i="28"/>
  <c r="N38" i="62"/>
  <c r="P38" i="27"/>
  <c r="Q38" i="27" s="1"/>
  <c r="F38" i="62"/>
  <c r="F38" i="28"/>
  <c r="N34" i="28"/>
  <c r="N34" i="62"/>
  <c r="J34" i="62"/>
  <c r="J34" i="28"/>
  <c r="M29" i="28"/>
  <c r="M29" i="62"/>
  <c r="G29" i="62"/>
  <c r="G29" i="28"/>
  <c r="H29" i="62"/>
  <c r="H29" i="28"/>
  <c r="K27" i="28"/>
  <c r="K27" i="62"/>
  <c r="G27" i="62"/>
  <c r="G27" i="28"/>
  <c r="N27" i="28"/>
  <c r="N27" i="62"/>
  <c r="G39" i="27"/>
  <c r="L197" i="2" l="1"/>
  <c r="S195" i="2"/>
  <c r="T195" i="2" s="1"/>
  <c r="H111" i="20"/>
  <c r="E104" i="20"/>
  <c r="C104" i="20" s="1"/>
  <c r="AM12" i="21"/>
  <c r="C19" i="20"/>
  <c r="AM19" i="21" s="1"/>
  <c r="H21" i="20"/>
  <c r="E19" i="20"/>
  <c r="E21" i="20" s="1"/>
  <c r="C21" i="20" s="1"/>
  <c r="J39" i="28"/>
  <c r="K39" i="28"/>
  <c r="N39" i="28"/>
  <c r="H39" i="62"/>
  <c r="H65" i="62" s="1"/>
  <c r="L39" i="62"/>
  <c r="L65" i="62" s="1"/>
  <c r="G39" i="28"/>
  <c r="M39" i="28"/>
  <c r="H39" i="28"/>
  <c r="L39" i="28"/>
  <c r="I39" i="28"/>
  <c r="F39" i="62"/>
  <c r="F65" i="62" s="1"/>
  <c r="E27" i="28"/>
  <c r="P27" i="28"/>
  <c r="I30" i="27"/>
  <c r="I41" i="27" s="1"/>
  <c r="I26" i="28"/>
  <c r="I30" i="28" s="1"/>
  <c r="I26" i="62"/>
  <c r="I30" i="62" s="1"/>
  <c r="H30" i="27"/>
  <c r="H41" i="27" s="1"/>
  <c r="H26" i="62"/>
  <c r="H30" i="62" s="1"/>
  <c r="H26" i="28"/>
  <c r="H30" i="28" s="1"/>
  <c r="L30" i="27"/>
  <c r="L41" i="27" s="1"/>
  <c r="L26" i="62"/>
  <c r="L30" i="62" s="1"/>
  <c r="L26" i="28"/>
  <c r="L30" i="28" s="1"/>
  <c r="N186" i="21"/>
  <c r="E35" i="28"/>
  <c r="P35" i="28"/>
  <c r="K39" i="62"/>
  <c r="K65" i="62" s="1"/>
  <c r="E38" i="28"/>
  <c r="P38" i="28"/>
  <c r="G30" i="27"/>
  <c r="G41" i="27" s="1"/>
  <c r="G26" i="62"/>
  <c r="G26" i="28"/>
  <c r="G30" i="28" s="1"/>
  <c r="M30" i="27"/>
  <c r="M41" i="27" s="1"/>
  <c r="M26" i="62"/>
  <c r="M30" i="62" s="1"/>
  <c r="M26" i="28"/>
  <c r="M30" i="28" s="1"/>
  <c r="Q28" i="28"/>
  <c r="M39" i="62"/>
  <c r="M65" i="62" s="1"/>
  <c r="E36" i="62"/>
  <c r="P36" i="62"/>
  <c r="E29" i="28"/>
  <c r="P29" i="28"/>
  <c r="J39" i="62"/>
  <c r="J65" i="62" s="1"/>
  <c r="E38" i="62"/>
  <c r="P38" i="62"/>
  <c r="P37" i="62"/>
  <c r="E37" i="62"/>
  <c r="K30" i="27"/>
  <c r="K41" i="27" s="1"/>
  <c r="K26" i="28"/>
  <c r="K30" i="28" s="1"/>
  <c r="K26" i="62"/>
  <c r="K30" i="62" s="1"/>
  <c r="N30" i="27"/>
  <c r="N41" i="27" s="1"/>
  <c r="N26" i="28"/>
  <c r="N30" i="28" s="1"/>
  <c r="N26" i="62"/>
  <c r="N30" i="62" s="1"/>
  <c r="E34" i="62"/>
  <c r="P34" i="62"/>
  <c r="P36" i="28"/>
  <c r="E36" i="28"/>
  <c r="G39" i="62"/>
  <c r="G65" i="62" s="1"/>
  <c r="P29" i="62"/>
  <c r="E29" i="62"/>
  <c r="Q33" i="28"/>
  <c r="P37" i="28"/>
  <c r="E37" i="28"/>
  <c r="Q33" i="62"/>
  <c r="E27" i="62"/>
  <c r="P27" i="62"/>
  <c r="J30" i="27"/>
  <c r="J41" i="27" s="1"/>
  <c r="J26" i="62"/>
  <c r="J30" i="62" s="1"/>
  <c r="J26" i="28"/>
  <c r="J30" i="28" s="1"/>
  <c r="P26" i="27"/>
  <c r="Q26" i="27" s="1"/>
  <c r="F30" i="27"/>
  <c r="F26" i="62"/>
  <c r="F26" i="28"/>
  <c r="P39" i="27"/>
  <c r="Q39" i="27" s="1"/>
  <c r="P34" i="28"/>
  <c r="E34" i="28"/>
  <c r="Q28" i="62"/>
  <c r="N39" i="62"/>
  <c r="N65" i="62" s="1"/>
  <c r="I39" i="62"/>
  <c r="I65" i="62" s="1"/>
  <c r="F39" i="28"/>
  <c r="P35" i="62"/>
  <c r="E35" i="62"/>
  <c r="C111" i="20" l="1"/>
  <c r="AM111" i="21" s="1"/>
  <c r="AM104" i="21"/>
  <c r="H113" i="20"/>
  <c r="E111" i="20"/>
  <c r="E113" i="20" s="1"/>
  <c r="C113" i="20" s="1"/>
  <c r="AM113" i="21" s="1"/>
  <c r="O21" i="20"/>
  <c r="AM21" i="21"/>
  <c r="I27" i="18"/>
  <c r="S197" i="2"/>
  <c r="T197" i="2" s="1"/>
  <c r="J41" i="28"/>
  <c r="N41" i="28"/>
  <c r="G41" i="28"/>
  <c r="K41" i="28"/>
  <c r="Q37" i="28"/>
  <c r="Q27" i="28"/>
  <c r="M41" i="28"/>
  <c r="I41" i="28"/>
  <c r="L41" i="28"/>
  <c r="E39" i="62"/>
  <c r="E65" i="62" s="1"/>
  <c r="P39" i="28"/>
  <c r="Q27" i="62"/>
  <c r="H41" i="28"/>
  <c r="Q29" i="62"/>
  <c r="E26" i="62"/>
  <c r="F30" i="62"/>
  <c r="P26" i="62"/>
  <c r="Q34" i="62"/>
  <c r="Q38" i="62"/>
  <c r="Q35" i="62"/>
  <c r="F41" i="27"/>
  <c r="P30" i="27"/>
  <c r="Q30" i="27" s="1"/>
  <c r="Q36" i="28"/>
  <c r="Q36" i="62"/>
  <c r="Q38" i="28"/>
  <c r="N169" i="3"/>
  <c r="R169" i="3"/>
  <c r="R172" i="3" s="1"/>
  <c r="S169" i="3"/>
  <c r="S172" i="3" s="1"/>
  <c r="P169" i="3"/>
  <c r="P172" i="3" s="1"/>
  <c r="Q169" i="3"/>
  <c r="Q172" i="3" s="1"/>
  <c r="W169" i="3"/>
  <c r="W172" i="3" s="1"/>
  <c r="O169" i="3"/>
  <c r="O172" i="3" s="1"/>
  <c r="T169" i="3"/>
  <c r="T172" i="3" s="1"/>
  <c r="U169" i="3"/>
  <c r="U172" i="3" s="1"/>
  <c r="V169" i="3"/>
  <c r="V172" i="3" s="1"/>
  <c r="I41" i="62"/>
  <c r="J41" i="62"/>
  <c r="N41" i="62"/>
  <c r="K41" i="62"/>
  <c r="Q37" i="62"/>
  <c r="M41" i="62"/>
  <c r="G30" i="62"/>
  <c r="L41" i="62"/>
  <c r="H41" i="62"/>
  <c r="P65" i="62"/>
  <c r="Q34" i="28"/>
  <c r="P26" i="28"/>
  <c r="F30" i="28"/>
  <c r="E26" i="28"/>
  <c r="E39" i="28"/>
  <c r="Q29" i="28"/>
  <c r="Q35" i="28"/>
  <c r="P39" i="62"/>
  <c r="F27" i="18" l="1"/>
  <c r="Q39" i="28"/>
  <c r="Q39" i="62"/>
  <c r="G41" i="62"/>
  <c r="V12" i="21"/>
  <c r="V193" i="3"/>
  <c r="V195" i="3" s="1"/>
  <c r="V197" i="3" s="1"/>
  <c r="V22" i="19" s="1"/>
  <c r="W12" i="21"/>
  <c r="W193" i="3"/>
  <c r="W195" i="3" s="1"/>
  <c r="W197" i="3" s="1"/>
  <c r="W22" i="19" s="1"/>
  <c r="R12" i="21"/>
  <c r="R193" i="3"/>
  <c r="R195" i="3" s="1"/>
  <c r="P41" i="27"/>
  <c r="Q41" i="27" s="1"/>
  <c r="E30" i="28"/>
  <c r="Q26" i="28"/>
  <c r="U12" i="21"/>
  <c r="U193" i="3"/>
  <c r="U195" i="3" s="1"/>
  <c r="U197" i="3" s="1"/>
  <c r="U22" i="19" s="1"/>
  <c r="Q12" i="21"/>
  <c r="Q193" i="3"/>
  <c r="Q195" i="3" s="1"/>
  <c r="Q197" i="3" s="1"/>
  <c r="Q22" i="19" s="1"/>
  <c r="N172" i="3"/>
  <c r="P30" i="28"/>
  <c r="F41" i="28"/>
  <c r="T12" i="21"/>
  <c r="T193" i="3"/>
  <c r="T195" i="3" s="1"/>
  <c r="T197" i="3" s="1"/>
  <c r="T22" i="19" s="1"/>
  <c r="P12" i="21"/>
  <c r="P193" i="3"/>
  <c r="P195" i="3" s="1"/>
  <c r="P197" i="3" s="1"/>
  <c r="P22" i="19" s="1"/>
  <c r="F41" i="62"/>
  <c r="P30" i="62"/>
  <c r="Q65" i="62"/>
  <c r="O12" i="21"/>
  <c r="O193" i="3"/>
  <c r="O195" i="3" s="1"/>
  <c r="S12" i="21"/>
  <c r="S193" i="3"/>
  <c r="S195" i="3" s="1"/>
  <c r="S197" i="3" s="1"/>
  <c r="S22" i="19" s="1"/>
  <c r="E30" i="62"/>
  <c r="Q26" i="62"/>
  <c r="H53" i="20" l="1"/>
  <c r="P11" i="18"/>
  <c r="M11" i="19"/>
  <c r="M53" i="21" s="1"/>
  <c r="J53" i="20"/>
  <c r="AA11" i="19"/>
  <c r="AA53" i="21" s="1"/>
  <c r="AF11" i="19"/>
  <c r="L53" i="20"/>
  <c r="F13" i="18"/>
  <c r="AJ13" i="19" s="1"/>
  <c r="H54" i="20"/>
  <c r="P13" i="18"/>
  <c r="M13" i="19"/>
  <c r="M54" i="21" s="1"/>
  <c r="M142" i="21" s="1"/>
  <c r="M189" i="21" s="1"/>
  <c r="L54" i="20"/>
  <c r="L142" i="20" s="1"/>
  <c r="L189" i="20" s="1"/>
  <c r="AF13" i="19"/>
  <c r="X13" i="19"/>
  <c r="I54" i="20"/>
  <c r="I142" i="20" s="1"/>
  <c r="I189" i="20" s="1"/>
  <c r="K54" i="20"/>
  <c r="K142" i="20" s="1"/>
  <c r="K189" i="20" s="1"/>
  <c r="AB13" i="19"/>
  <c r="AA13" i="19"/>
  <c r="AA54" i="21" s="1"/>
  <c r="AA142" i="21" s="1"/>
  <c r="AA189" i="21" s="1"/>
  <c r="J54" i="20"/>
  <c r="J142" i="20" s="1"/>
  <c r="J189" i="20" s="1"/>
  <c r="X11" i="19"/>
  <c r="I53" i="20"/>
  <c r="D27" i="18"/>
  <c r="I24" i="18" s="1"/>
  <c r="AJ22" i="19"/>
  <c r="AB11" i="19"/>
  <c r="K53" i="20"/>
  <c r="M54" i="20"/>
  <c r="M142" i="20" s="1"/>
  <c r="M189" i="20" s="1"/>
  <c r="AH13" i="19"/>
  <c r="AH54" i="21" s="1"/>
  <c r="AH142" i="21" s="1"/>
  <c r="AH189" i="21" s="1"/>
  <c r="M53" i="20"/>
  <c r="AH11" i="19"/>
  <c r="AH53" i="21" s="1"/>
  <c r="P41" i="62"/>
  <c r="E41" i="28"/>
  <c r="Q30" i="28"/>
  <c r="S104" i="21"/>
  <c r="S111" i="21" s="1"/>
  <c r="S113" i="21" s="1"/>
  <c r="E34" i="22" s="1"/>
  <c r="S19" i="21"/>
  <c r="S21" i="21" s="1"/>
  <c r="R104" i="21"/>
  <c r="R111" i="21" s="1"/>
  <c r="R113" i="21" s="1"/>
  <c r="E33" i="22" s="1"/>
  <c r="R19" i="21"/>
  <c r="R21" i="21" s="1"/>
  <c r="V104" i="21"/>
  <c r="V111" i="21" s="1"/>
  <c r="V113" i="21" s="1"/>
  <c r="E37" i="22" s="1"/>
  <c r="V19" i="21"/>
  <c r="V21" i="21" s="1"/>
  <c r="E41" i="62"/>
  <c r="Q30" i="62"/>
  <c r="O104" i="21"/>
  <c r="O111" i="21" s="1"/>
  <c r="O113" i="21" s="1"/>
  <c r="E27" i="22" s="1"/>
  <c r="O19" i="21"/>
  <c r="O21" i="21" s="1"/>
  <c r="W104" i="21"/>
  <c r="W111" i="21" s="1"/>
  <c r="W113" i="21" s="1"/>
  <c r="E38" i="22" s="1"/>
  <c r="W19" i="21"/>
  <c r="W21" i="21" s="1"/>
  <c r="P104" i="21"/>
  <c r="P111" i="21" s="1"/>
  <c r="P113" i="21" s="1"/>
  <c r="E28" i="22" s="1"/>
  <c r="P19" i="21"/>
  <c r="P21" i="21" s="1"/>
  <c r="Q104" i="21"/>
  <c r="Q111" i="21" s="1"/>
  <c r="Q113" i="21" s="1"/>
  <c r="E29" i="22" s="1"/>
  <c r="Q19" i="21"/>
  <c r="Q21" i="21" s="1"/>
  <c r="R197" i="3"/>
  <c r="R22" i="19" s="1"/>
  <c r="R94" i="14"/>
  <c r="O94" i="14"/>
  <c r="O197" i="3"/>
  <c r="O22" i="19" s="1"/>
  <c r="T104" i="21"/>
  <c r="T111" i="21" s="1"/>
  <c r="T113" i="21" s="1"/>
  <c r="E35" i="22" s="1"/>
  <c r="T19" i="21"/>
  <c r="T21" i="21" s="1"/>
  <c r="P41" i="28"/>
  <c r="N12" i="21"/>
  <c r="N193" i="3"/>
  <c r="U104" i="21"/>
  <c r="U111" i="21" s="1"/>
  <c r="U113" i="21" s="1"/>
  <c r="E36" i="22" s="1"/>
  <c r="U19" i="21"/>
  <c r="U21" i="21" s="1"/>
  <c r="M141" i="20" l="1"/>
  <c r="M55" i="20"/>
  <c r="M60" i="20" s="1"/>
  <c r="M61" i="20" s="1"/>
  <c r="M62" i="20" s="1"/>
  <c r="AB53" i="21"/>
  <c r="AD11" i="19"/>
  <c r="AD53" i="21" s="1"/>
  <c r="AC11" i="19"/>
  <c r="AC53" i="21" s="1"/>
  <c r="AE11" i="19"/>
  <c r="AE53" i="21" s="1"/>
  <c r="X53" i="21"/>
  <c r="Y11" i="19"/>
  <c r="Y53" i="21" s="1"/>
  <c r="Z11" i="19"/>
  <c r="Z53" i="21" s="1"/>
  <c r="J141" i="20"/>
  <c r="J55" i="20"/>
  <c r="J60" i="20" s="1"/>
  <c r="J61" i="20" s="1"/>
  <c r="J62" i="20" s="1"/>
  <c r="L141" i="20"/>
  <c r="L55" i="20"/>
  <c r="L60" i="20" s="1"/>
  <c r="L61" i="20" s="1"/>
  <c r="L62" i="20" s="1"/>
  <c r="M141" i="21"/>
  <c r="M55" i="21"/>
  <c r="M60" i="21" s="1"/>
  <c r="M61" i="21" s="1"/>
  <c r="M62" i="21" s="1"/>
  <c r="H24" i="18"/>
  <c r="L24" i="18"/>
  <c r="G24" i="18"/>
  <c r="E24" i="18"/>
  <c r="M24" i="18"/>
  <c r="N24" i="18"/>
  <c r="K24" i="18"/>
  <c r="P27" i="18"/>
  <c r="J24" i="18"/>
  <c r="X54" i="21"/>
  <c r="X142" i="21" s="1"/>
  <c r="X189" i="21" s="1"/>
  <c r="Z13" i="19"/>
  <c r="Z54" i="21" s="1"/>
  <c r="Z142" i="21" s="1"/>
  <c r="Z189" i="21" s="1"/>
  <c r="Y13" i="19"/>
  <c r="Y54" i="21" s="1"/>
  <c r="Y142" i="21" s="1"/>
  <c r="Y189" i="21" s="1"/>
  <c r="AG11" i="19"/>
  <c r="AG53" i="21" s="1"/>
  <c r="AF53" i="21"/>
  <c r="AH141" i="21"/>
  <c r="AH55" i="21"/>
  <c r="AH60" i="21" s="1"/>
  <c r="AH61" i="21" s="1"/>
  <c r="AH62" i="21" s="1"/>
  <c r="K141" i="20"/>
  <c r="K55" i="20"/>
  <c r="K60" i="20" s="1"/>
  <c r="K61" i="20" s="1"/>
  <c r="K62" i="20" s="1"/>
  <c r="I55" i="20"/>
  <c r="I60" i="20" s="1"/>
  <c r="I61" i="20" s="1"/>
  <c r="I62" i="20" s="1"/>
  <c r="I141" i="20"/>
  <c r="AB54" i="21"/>
  <c r="AB142" i="21" s="1"/>
  <c r="AB189" i="21" s="1"/>
  <c r="AC13" i="19"/>
  <c r="AC54" i="21" s="1"/>
  <c r="AC142" i="21" s="1"/>
  <c r="AC189" i="21" s="1"/>
  <c r="AE13" i="19"/>
  <c r="AE54" i="21" s="1"/>
  <c r="AE142" i="21" s="1"/>
  <c r="AE189" i="21" s="1"/>
  <c r="AD13" i="19"/>
  <c r="AD54" i="21" s="1"/>
  <c r="AD142" i="21" s="1"/>
  <c r="AD189" i="21" s="1"/>
  <c r="AF54" i="21"/>
  <c r="AF142" i="21" s="1"/>
  <c r="AF189" i="21" s="1"/>
  <c r="AG13" i="19"/>
  <c r="AG54" i="21" s="1"/>
  <c r="AG142" i="21" s="1"/>
  <c r="AG189" i="21" s="1"/>
  <c r="H142" i="20"/>
  <c r="E54" i="20"/>
  <c r="C54" i="20" s="1"/>
  <c r="AM54" i="21" s="1"/>
  <c r="AA141" i="21"/>
  <c r="AA55" i="21"/>
  <c r="AA60" i="21" s="1"/>
  <c r="AA61" i="21" s="1"/>
  <c r="AA62" i="21" s="1"/>
  <c r="E53" i="20"/>
  <c r="H141" i="20"/>
  <c r="H55" i="20"/>
  <c r="H60" i="20" s="1"/>
  <c r="M94" i="14"/>
  <c r="Q94" i="13" s="1"/>
  <c r="Q97" i="13" s="1"/>
  <c r="Q115" i="13" s="1"/>
  <c r="Q116" i="13" s="1"/>
  <c r="Q65" i="21" s="1"/>
  <c r="Q155" i="21" s="1"/>
  <c r="Q206" i="21" s="1"/>
  <c r="H28" i="22"/>
  <c r="I28" i="22"/>
  <c r="L28" i="22"/>
  <c r="F28" i="22"/>
  <c r="J28" i="22"/>
  <c r="K28" i="22"/>
  <c r="G28" i="22"/>
  <c r="N28" i="22"/>
  <c r="M28" i="22"/>
  <c r="N38" i="22"/>
  <c r="H38" i="22"/>
  <c r="G38" i="22"/>
  <c r="M38" i="22"/>
  <c r="L38" i="22"/>
  <c r="I38" i="22"/>
  <c r="J38" i="22"/>
  <c r="F38" i="22"/>
  <c r="K38" i="22"/>
  <c r="Q41" i="62"/>
  <c r="M37" i="22"/>
  <c r="G37" i="22"/>
  <c r="F37" i="22"/>
  <c r="L37" i="22"/>
  <c r="K37" i="22"/>
  <c r="N37" i="22"/>
  <c r="I37" i="22"/>
  <c r="J37" i="22"/>
  <c r="H37" i="22"/>
  <c r="N195" i="3"/>
  <c r="M29" i="22"/>
  <c r="J29" i="22"/>
  <c r="G29" i="22"/>
  <c r="H29" i="22"/>
  <c r="F29" i="22"/>
  <c r="L29" i="22"/>
  <c r="I29" i="22"/>
  <c r="K29" i="22"/>
  <c r="N29" i="22"/>
  <c r="Q41" i="28"/>
  <c r="F36" i="22"/>
  <c r="H36" i="22"/>
  <c r="L36" i="22"/>
  <c r="I36" i="22"/>
  <c r="J36" i="22"/>
  <c r="G36" i="22"/>
  <c r="K36" i="22"/>
  <c r="N36" i="22"/>
  <c r="M36" i="22"/>
  <c r="H34" i="22"/>
  <c r="G34" i="22"/>
  <c r="I34" i="22"/>
  <c r="M34" i="22"/>
  <c r="J34" i="22"/>
  <c r="K34" i="22"/>
  <c r="N34" i="22"/>
  <c r="F34" i="22"/>
  <c r="L34" i="22"/>
  <c r="I35" i="22"/>
  <c r="N35" i="22"/>
  <c r="J35" i="22"/>
  <c r="L35" i="22"/>
  <c r="F35" i="22"/>
  <c r="H35" i="22"/>
  <c r="K35" i="22"/>
  <c r="G35" i="22"/>
  <c r="M35" i="22"/>
  <c r="N104" i="21"/>
  <c r="N19" i="21"/>
  <c r="N21" i="21" s="1"/>
  <c r="G27" i="22"/>
  <c r="N27" i="22"/>
  <c r="I27" i="22"/>
  <c r="J27" i="22"/>
  <c r="F27" i="22"/>
  <c r="M27" i="22"/>
  <c r="L27" i="22"/>
  <c r="K27" i="22"/>
  <c r="H27" i="22"/>
  <c r="F33" i="22"/>
  <c r="L33" i="22"/>
  <c r="H33" i="22"/>
  <c r="I33" i="22"/>
  <c r="N33" i="22"/>
  <c r="M33" i="22"/>
  <c r="G33" i="22"/>
  <c r="K33" i="22"/>
  <c r="J33" i="22"/>
  <c r="E39" i="22"/>
  <c r="H188" i="20" l="1"/>
  <c r="H143" i="20"/>
  <c r="H150" i="20" s="1"/>
  <c r="E141" i="20"/>
  <c r="I143" i="20"/>
  <c r="I150" i="20" s="1"/>
  <c r="I151" i="20" s="1"/>
  <c r="I152" i="20" s="1"/>
  <c r="I188" i="20"/>
  <c r="I190" i="20" s="1"/>
  <c r="X19" i="19"/>
  <c r="I66" i="20"/>
  <c r="I156" i="20" s="1"/>
  <c r="I207" i="20" s="1"/>
  <c r="L66" i="20"/>
  <c r="L156" i="20" s="1"/>
  <c r="L207" i="20" s="1"/>
  <c r="AF19" i="19"/>
  <c r="G66" i="20"/>
  <c r="G67" i="20" s="1"/>
  <c r="L19" i="19"/>
  <c r="L66" i="21" s="1"/>
  <c r="L67" i="21" s="1"/>
  <c r="L143" i="20"/>
  <c r="L150" i="20" s="1"/>
  <c r="L151" i="20" s="1"/>
  <c r="L152" i="20" s="1"/>
  <c r="L188" i="20"/>
  <c r="L190" i="20" s="1"/>
  <c r="Y141" i="21"/>
  <c r="Y55" i="21"/>
  <c r="Y60" i="21" s="1"/>
  <c r="Y61" i="21" s="1"/>
  <c r="Y62" i="21" s="1"/>
  <c r="AD141" i="21"/>
  <c r="AD55" i="21"/>
  <c r="AD60" i="21" s="1"/>
  <c r="AD61" i="21" s="1"/>
  <c r="AD62" i="21" s="1"/>
  <c r="E55" i="20"/>
  <c r="C53" i="20"/>
  <c r="AH143" i="21"/>
  <c r="AH150" i="21" s="1"/>
  <c r="AH151" i="21" s="1"/>
  <c r="AH152" i="21" s="1"/>
  <c r="AH188" i="21"/>
  <c r="AH190" i="21" s="1"/>
  <c r="E60" i="23" s="1"/>
  <c r="D66" i="20"/>
  <c r="P24" i="18"/>
  <c r="AJ66" i="21"/>
  <c r="X55" i="21"/>
  <c r="X60" i="21" s="1"/>
  <c r="X61" i="21" s="1"/>
  <c r="X62" i="21" s="1"/>
  <c r="X141" i="21"/>
  <c r="AF141" i="21"/>
  <c r="AF55" i="21"/>
  <c r="AF60" i="21" s="1"/>
  <c r="AF61" i="21" s="1"/>
  <c r="AF62" i="21" s="1"/>
  <c r="AA19" i="19"/>
  <c r="AA66" i="21" s="1"/>
  <c r="AA156" i="21" s="1"/>
  <c r="AA207" i="21" s="1"/>
  <c r="J66" i="20"/>
  <c r="J156" i="20" s="1"/>
  <c r="J207" i="20" s="1"/>
  <c r="F24" i="18"/>
  <c r="D19" i="19"/>
  <c r="F66" i="20"/>
  <c r="M143" i="21"/>
  <c r="M150" i="21" s="1"/>
  <c r="M151" i="21" s="1"/>
  <c r="M152" i="21" s="1"/>
  <c r="M188" i="21"/>
  <c r="M190" i="21" s="1"/>
  <c r="J143" i="20"/>
  <c r="J150" i="20" s="1"/>
  <c r="J151" i="20" s="1"/>
  <c r="J152" i="20" s="1"/>
  <c r="J188" i="20"/>
  <c r="J190" i="20" s="1"/>
  <c r="AE141" i="21"/>
  <c r="AE55" i="21"/>
  <c r="AE60" i="21" s="1"/>
  <c r="AE61" i="21" s="1"/>
  <c r="AE62" i="21" s="1"/>
  <c r="E142" i="20"/>
  <c r="C142" i="20" s="1"/>
  <c r="AM142" i="21" s="1"/>
  <c r="H189" i="20"/>
  <c r="E189" i="20" s="1"/>
  <c r="C189" i="20" s="1"/>
  <c r="AB55" i="21"/>
  <c r="AB60" i="21" s="1"/>
  <c r="AB61" i="21" s="1"/>
  <c r="AB62" i="21" s="1"/>
  <c r="AB141" i="21"/>
  <c r="E60" i="20"/>
  <c r="C60" i="20" s="1"/>
  <c r="AM60" i="21" s="1"/>
  <c r="H61" i="20"/>
  <c r="E61" i="20" s="1"/>
  <c r="C61" i="20" s="1"/>
  <c r="AM61" i="21" s="1"/>
  <c r="AA188" i="21"/>
  <c r="AA190" i="21" s="1"/>
  <c r="E48" i="23" s="1"/>
  <c r="AA143" i="21"/>
  <c r="AA150" i="21" s="1"/>
  <c r="AA151" i="21" s="1"/>
  <c r="AA152" i="21" s="1"/>
  <c r="K143" i="20"/>
  <c r="K150" i="20" s="1"/>
  <c r="K151" i="20" s="1"/>
  <c r="K152" i="20" s="1"/>
  <c r="K188" i="20"/>
  <c r="K190" i="20" s="1"/>
  <c r="AG141" i="21"/>
  <c r="AG55" i="21"/>
  <c r="AG60" i="21" s="1"/>
  <c r="AG61" i="21" s="1"/>
  <c r="AG62" i="21" s="1"/>
  <c r="M19" i="19"/>
  <c r="M66" i="21" s="1"/>
  <c r="M156" i="21" s="1"/>
  <c r="M207" i="21" s="1"/>
  <c r="M215" i="21" s="1"/>
  <c r="M217" i="21" s="1"/>
  <c r="M221" i="21" s="1"/>
  <c r="M222" i="21" s="1"/>
  <c r="M194" i="21" s="1"/>
  <c r="H66" i="20"/>
  <c r="H156" i="20" s="1"/>
  <c r="H207" i="20" s="1"/>
  <c r="AH19" i="19"/>
  <c r="AH66" i="21" s="1"/>
  <c r="AH156" i="21" s="1"/>
  <c r="AH207" i="21" s="1"/>
  <c r="M66" i="20"/>
  <c r="M156" i="20" s="1"/>
  <c r="M207" i="20" s="1"/>
  <c r="AB19" i="19"/>
  <c r="K66" i="20"/>
  <c r="K156" i="20" s="1"/>
  <c r="K207" i="20" s="1"/>
  <c r="Z141" i="21"/>
  <c r="Z55" i="21"/>
  <c r="Z60" i="21" s="1"/>
  <c r="Z61" i="21" s="1"/>
  <c r="Z62" i="21" s="1"/>
  <c r="AC141" i="21"/>
  <c r="AC55" i="21"/>
  <c r="AC60" i="21" s="1"/>
  <c r="AC61" i="21" s="1"/>
  <c r="AC62" i="21" s="1"/>
  <c r="M143" i="20"/>
  <c r="M150" i="20" s="1"/>
  <c r="M151" i="20" s="1"/>
  <c r="M152" i="20" s="1"/>
  <c r="M188" i="20"/>
  <c r="M190" i="20" s="1"/>
  <c r="V94" i="13"/>
  <c r="V97" i="13" s="1"/>
  <c r="V115" i="13" s="1"/>
  <c r="V116" i="13" s="1"/>
  <c r="V65" i="21" s="1"/>
  <c r="V155" i="21" s="1"/>
  <c r="V206" i="21" s="1"/>
  <c r="V214" i="21" s="1"/>
  <c r="W94" i="13"/>
  <c r="W97" i="13" s="1"/>
  <c r="W115" i="13" s="1"/>
  <c r="W116" i="13" s="1"/>
  <c r="W65" i="21" s="1"/>
  <c r="W155" i="21" s="1"/>
  <c r="W206" i="21" s="1"/>
  <c r="E38" i="58" s="1"/>
  <c r="T94" i="13"/>
  <c r="T97" i="13" s="1"/>
  <c r="T115" i="13" s="1"/>
  <c r="T116" i="13" s="1"/>
  <c r="T65" i="21" s="1"/>
  <c r="T155" i="21" s="1"/>
  <c r="T206" i="21" s="1"/>
  <c r="T214" i="21" s="1"/>
  <c r="U94" i="13"/>
  <c r="U97" i="13" s="1"/>
  <c r="U115" i="13" s="1"/>
  <c r="U116" i="13" s="1"/>
  <c r="U65" i="21" s="1"/>
  <c r="U155" i="21" s="1"/>
  <c r="U206" i="21" s="1"/>
  <c r="E36" i="58" s="1"/>
  <c r="N94" i="13"/>
  <c r="N97" i="13" s="1"/>
  <c r="S94" i="13"/>
  <c r="S97" i="13" s="1"/>
  <c r="S115" i="13" s="1"/>
  <c r="S116" i="13" s="1"/>
  <c r="S65" i="21" s="1"/>
  <c r="S155" i="21" s="1"/>
  <c r="S206" i="21" s="1"/>
  <c r="S214" i="21" s="1"/>
  <c r="O94" i="13"/>
  <c r="O97" i="13" s="1"/>
  <c r="O115" i="13" s="1"/>
  <c r="O116" i="13" s="1"/>
  <c r="O65" i="21" s="1"/>
  <c r="O155" i="21" s="1"/>
  <c r="O206" i="21" s="1"/>
  <c r="O214" i="21" s="1"/>
  <c r="R94" i="13"/>
  <c r="R97" i="13" s="1"/>
  <c r="R115" i="13" s="1"/>
  <c r="R116" i="13" s="1"/>
  <c r="R65" i="21" s="1"/>
  <c r="R155" i="21" s="1"/>
  <c r="R206" i="21" s="1"/>
  <c r="R214" i="21" s="1"/>
  <c r="P94" i="13"/>
  <c r="P97" i="13" s="1"/>
  <c r="P115" i="13" s="1"/>
  <c r="P116" i="13" s="1"/>
  <c r="P65" i="21" s="1"/>
  <c r="P155" i="21" s="1"/>
  <c r="P206" i="21" s="1"/>
  <c r="E28" i="58" s="1"/>
  <c r="F39" i="22"/>
  <c r="P33" i="22"/>
  <c r="Q33" i="22" s="1"/>
  <c r="E65" i="22"/>
  <c r="I39" i="22"/>
  <c r="I65" i="22" s="1"/>
  <c r="P35" i="22"/>
  <c r="Q35" i="22" s="1"/>
  <c r="P29" i="22"/>
  <c r="Q29" i="22" s="1"/>
  <c r="N197" i="3"/>
  <c r="J39" i="22"/>
  <c r="J65" i="22" s="1"/>
  <c r="M39" i="22"/>
  <c r="M65" i="22" s="1"/>
  <c r="H39" i="22"/>
  <c r="H65" i="22" s="1"/>
  <c r="P34" i="22"/>
  <c r="Q34" i="22" s="1"/>
  <c r="N39" i="22"/>
  <c r="N65" i="22" s="1"/>
  <c r="P27" i="22"/>
  <c r="Q27" i="22" s="1"/>
  <c r="P36" i="22"/>
  <c r="Q36" i="22" s="1"/>
  <c r="P38" i="22"/>
  <c r="Q38" i="22" s="1"/>
  <c r="G39" i="22"/>
  <c r="G65" i="22" s="1"/>
  <c r="K39" i="22"/>
  <c r="K65" i="22" s="1"/>
  <c r="L39" i="22"/>
  <c r="L65" i="22" s="1"/>
  <c r="M104" i="21"/>
  <c r="M111" i="21" s="1"/>
  <c r="M113" i="21" s="1"/>
  <c r="N111" i="21"/>
  <c r="E29" i="58"/>
  <c r="Q214" i="21"/>
  <c r="P37" i="22"/>
  <c r="Q37" i="22" s="1"/>
  <c r="P28" i="22"/>
  <c r="Q28" i="22" s="1"/>
  <c r="I67" i="20" l="1"/>
  <c r="I86" i="20" s="1"/>
  <c r="I87" i="20" s="1"/>
  <c r="M197" i="21"/>
  <c r="M198" i="21" s="1"/>
  <c r="M199" i="21" s="1"/>
  <c r="L67" i="20"/>
  <c r="L86" i="20" s="1"/>
  <c r="L87" i="20" s="1"/>
  <c r="L159" i="20"/>
  <c r="W214" i="21"/>
  <c r="E37" i="58"/>
  <c r="M37" i="58" s="1"/>
  <c r="M209" i="21"/>
  <c r="J159" i="20"/>
  <c r="H62" i="20"/>
  <c r="E62" i="20" s="1"/>
  <c r="J67" i="20"/>
  <c r="J86" i="20" s="1"/>
  <c r="J87" i="20" s="1"/>
  <c r="K67" i="20"/>
  <c r="K86" i="20" s="1"/>
  <c r="K161" i="20" s="1"/>
  <c r="M159" i="20"/>
  <c r="Z188" i="21"/>
  <c r="Z190" i="21" s="1"/>
  <c r="E45" i="23" s="1"/>
  <c r="Z143" i="21"/>
  <c r="Z150" i="21" s="1"/>
  <c r="Z151" i="21" s="1"/>
  <c r="Z152" i="21" s="1"/>
  <c r="AG188" i="21"/>
  <c r="AG190" i="21" s="1"/>
  <c r="E57" i="23" s="1"/>
  <c r="AG143" i="21"/>
  <c r="AG150" i="21" s="1"/>
  <c r="AG151" i="21" s="1"/>
  <c r="AG152" i="21" s="1"/>
  <c r="F48" i="23"/>
  <c r="J48" i="23"/>
  <c r="I48" i="23"/>
  <c r="K48" i="23"/>
  <c r="G48" i="23"/>
  <c r="L48" i="23"/>
  <c r="M48" i="23"/>
  <c r="H48" i="23"/>
  <c r="N48" i="23"/>
  <c r="AB143" i="21"/>
  <c r="AB150" i="21" s="1"/>
  <c r="AB151" i="21" s="1"/>
  <c r="AB152" i="21" s="1"/>
  <c r="AB188" i="21"/>
  <c r="AB190" i="21" s="1"/>
  <c r="F67" i="20"/>
  <c r="E66" i="20"/>
  <c r="C66" i="20" s="1"/>
  <c r="F156" i="20"/>
  <c r="J215" i="20"/>
  <c r="J217" i="20" s="1"/>
  <c r="J221" i="20" s="1"/>
  <c r="J222" i="20" s="1"/>
  <c r="J194" i="20" s="1"/>
  <c r="J197" i="20" s="1"/>
  <c r="J198" i="20" s="1"/>
  <c r="J199" i="20" s="1"/>
  <c r="J209" i="20"/>
  <c r="AF143" i="21"/>
  <c r="AF150" i="21" s="1"/>
  <c r="AF151" i="21" s="1"/>
  <c r="AF152" i="21" s="1"/>
  <c r="AF188" i="21"/>
  <c r="AF190" i="21" s="1"/>
  <c r="AD143" i="21"/>
  <c r="AD150" i="21" s="1"/>
  <c r="AD151" i="21" s="1"/>
  <c r="AD152" i="21" s="1"/>
  <c r="AD188" i="21"/>
  <c r="AD190" i="21" s="1"/>
  <c r="E52" i="23" s="1"/>
  <c r="AG19" i="19"/>
  <c r="AG66" i="21" s="1"/>
  <c r="AG156" i="21" s="1"/>
  <c r="AG207" i="21" s="1"/>
  <c r="AF66" i="21"/>
  <c r="AF156" i="21" s="1"/>
  <c r="AF207" i="21" s="1"/>
  <c r="I209" i="20"/>
  <c r="I215" i="20"/>
  <c r="I217" i="20" s="1"/>
  <c r="I221" i="20" s="1"/>
  <c r="I222" i="20" s="1"/>
  <c r="I194" i="20" s="1"/>
  <c r="I197" i="20" s="1"/>
  <c r="I198" i="20" s="1"/>
  <c r="I199" i="20" s="1"/>
  <c r="I159" i="20"/>
  <c r="H215" i="20"/>
  <c r="H217" i="20" s="1"/>
  <c r="H221" i="20" s="1"/>
  <c r="H222" i="20" s="1"/>
  <c r="H194" i="20" s="1"/>
  <c r="H209" i="20"/>
  <c r="D66" i="21"/>
  <c r="D67" i="21" s="1"/>
  <c r="D156" i="20"/>
  <c r="D67" i="20"/>
  <c r="D86" i="20" s="1"/>
  <c r="D161" i="20" s="1"/>
  <c r="C55" i="20"/>
  <c r="AM53" i="21"/>
  <c r="L81" i="21"/>
  <c r="Z19" i="19"/>
  <c r="Z66" i="21" s="1"/>
  <c r="Z156" i="21" s="1"/>
  <c r="Z207" i="21" s="1"/>
  <c r="X66" i="21"/>
  <c r="X156" i="21" s="1"/>
  <c r="X207" i="21" s="1"/>
  <c r="Y19" i="19"/>
  <c r="Y66" i="21" s="1"/>
  <c r="Y156" i="21" s="1"/>
  <c r="Y207" i="21" s="1"/>
  <c r="AC188" i="21"/>
  <c r="AC190" i="21" s="1"/>
  <c r="E51" i="23" s="1"/>
  <c r="AC143" i="21"/>
  <c r="AC150" i="21" s="1"/>
  <c r="AC151" i="21" s="1"/>
  <c r="AC152" i="21" s="1"/>
  <c r="K209" i="20"/>
  <c r="K215" i="20"/>
  <c r="K217" i="20" s="1"/>
  <c r="K221" i="20" s="1"/>
  <c r="K222" i="20" s="1"/>
  <c r="K194" i="20" s="1"/>
  <c r="K197" i="20" s="1"/>
  <c r="K198" i="20" s="1"/>
  <c r="K199" i="20" s="1"/>
  <c r="AH209" i="21"/>
  <c r="E60" i="59"/>
  <c r="AH215" i="21"/>
  <c r="AH217" i="21" s="1"/>
  <c r="AH221" i="21" s="1"/>
  <c r="AH222" i="21" s="1"/>
  <c r="AH194" i="21" s="1"/>
  <c r="K159" i="20"/>
  <c r="M67" i="21"/>
  <c r="M86" i="21" s="1"/>
  <c r="AA67" i="21"/>
  <c r="AA86" i="21" s="1"/>
  <c r="AJ67" i="21"/>
  <c r="AJ86" i="21" s="1"/>
  <c r="AJ161" i="21" s="1"/>
  <c r="AJ156" i="21"/>
  <c r="L60" i="23"/>
  <c r="K60" i="23"/>
  <c r="F60" i="23"/>
  <c r="I60" i="23"/>
  <c r="G60" i="23"/>
  <c r="H60" i="23"/>
  <c r="J60" i="23"/>
  <c r="N60" i="23"/>
  <c r="M60" i="23"/>
  <c r="Y143" i="21"/>
  <c r="Y150" i="21" s="1"/>
  <c r="Y151" i="21" s="1"/>
  <c r="Y152" i="21" s="1"/>
  <c r="Y188" i="21"/>
  <c r="Y190" i="21" s="1"/>
  <c r="E44" i="23" s="1"/>
  <c r="L215" i="20"/>
  <c r="L217" i="20" s="1"/>
  <c r="L221" i="20" s="1"/>
  <c r="L222" i="20" s="1"/>
  <c r="L194" i="20" s="1"/>
  <c r="L197" i="20" s="1"/>
  <c r="L198" i="20" s="1"/>
  <c r="L199" i="20" s="1"/>
  <c r="L209" i="20"/>
  <c r="AH67" i="21"/>
  <c r="AH86" i="21" s="1"/>
  <c r="AH161" i="21" s="1"/>
  <c r="E150" i="20"/>
  <c r="C150" i="20" s="1"/>
  <c r="AM150" i="21" s="1"/>
  <c r="H151" i="20"/>
  <c r="E151" i="20" s="1"/>
  <c r="C151" i="20" s="1"/>
  <c r="AM151" i="21" s="1"/>
  <c r="M215" i="20"/>
  <c r="M217" i="20" s="1"/>
  <c r="M221" i="20" s="1"/>
  <c r="M222" i="20" s="1"/>
  <c r="M194" i="20" s="1"/>
  <c r="M197" i="20" s="1"/>
  <c r="M198" i="20" s="1"/>
  <c r="M199" i="20" s="1"/>
  <c r="M209" i="20"/>
  <c r="M67" i="20"/>
  <c r="M86" i="20" s="1"/>
  <c r="M161" i="20" s="1"/>
  <c r="AA209" i="21"/>
  <c r="E48" i="59"/>
  <c r="AA215" i="21"/>
  <c r="AA217" i="21" s="1"/>
  <c r="AA221" i="21" s="1"/>
  <c r="AA222" i="21" s="1"/>
  <c r="AA194" i="21" s="1"/>
  <c r="E143" i="20"/>
  <c r="C141" i="20"/>
  <c r="AB66" i="21"/>
  <c r="AB156" i="21" s="1"/>
  <c r="AB207" i="21" s="1"/>
  <c r="AC19" i="19"/>
  <c r="AC66" i="21" s="1"/>
  <c r="AC156" i="21" s="1"/>
  <c r="AC207" i="21" s="1"/>
  <c r="AE19" i="19"/>
  <c r="AE66" i="21" s="1"/>
  <c r="AE156" i="21" s="1"/>
  <c r="AE207" i="21" s="1"/>
  <c r="AD19" i="19"/>
  <c r="AD66" i="21" s="1"/>
  <c r="AD156" i="21" s="1"/>
  <c r="AD207" i="21" s="1"/>
  <c r="AA159" i="21"/>
  <c r="O189" i="20"/>
  <c r="AM189" i="21"/>
  <c r="AE188" i="21"/>
  <c r="AE190" i="21" s="1"/>
  <c r="E53" i="23" s="1"/>
  <c r="AE143" i="21"/>
  <c r="AE150" i="21" s="1"/>
  <c r="AE151" i="21" s="1"/>
  <c r="AE152" i="21" s="1"/>
  <c r="M159" i="21"/>
  <c r="AJ19" i="19"/>
  <c r="X188" i="21"/>
  <c r="X190" i="21" s="1"/>
  <c r="X143" i="21"/>
  <c r="X150" i="21" s="1"/>
  <c r="X151" i="21" s="1"/>
  <c r="X152" i="21" s="1"/>
  <c r="AH159" i="21"/>
  <c r="G81" i="20"/>
  <c r="E81" i="20" s="1"/>
  <c r="C81" i="20" s="1"/>
  <c r="AM81" i="21" s="1"/>
  <c r="H190" i="20"/>
  <c r="E188" i="20"/>
  <c r="E35" i="58"/>
  <c r="J35" i="58" s="1"/>
  <c r="E33" i="58"/>
  <c r="I33" i="58" s="1"/>
  <c r="U214" i="21"/>
  <c r="P214" i="21"/>
  <c r="E27" i="58"/>
  <c r="N27" i="58" s="1"/>
  <c r="E34" i="58"/>
  <c r="AL94" i="13"/>
  <c r="G29" i="58"/>
  <c r="H29" i="58"/>
  <c r="F29" i="58"/>
  <c r="I29" i="58"/>
  <c r="J29" i="58"/>
  <c r="K29" i="58"/>
  <c r="L29" i="58"/>
  <c r="M29" i="58"/>
  <c r="N29" i="58"/>
  <c r="N28" i="58"/>
  <c r="G28" i="58"/>
  <c r="H28" i="58"/>
  <c r="I28" i="58"/>
  <c r="K28" i="58"/>
  <c r="M28" i="58"/>
  <c r="L28" i="58"/>
  <c r="F28" i="58"/>
  <c r="J28" i="58"/>
  <c r="AL97" i="13"/>
  <c r="N115" i="13"/>
  <c r="L36" i="58"/>
  <c r="N36" i="58"/>
  <c r="F36" i="58"/>
  <c r="K36" i="58"/>
  <c r="J36" i="58"/>
  <c r="G36" i="58"/>
  <c r="M36" i="58"/>
  <c r="H36" i="58"/>
  <c r="I36" i="58"/>
  <c r="N113" i="21"/>
  <c r="G38" i="58"/>
  <c r="M38" i="58"/>
  <c r="K38" i="58"/>
  <c r="J38" i="58"/>
  <c r="F38" i="58"/>
  <c r="L38" i="58"/>
  <c r="N38" i="58"/>
  <c r="I38" i="58"/>
  <c r="H38" i="58"/>
  <c r="F65" i="22"/>
  <c r="P39" i="22"/>
  <c r="Q39" i="22" s="1"/>
  <c r="N22" i="19"/>
  <c r="AI81" i="21" l="1"/>
  <c r="AK81" i="21" s="1"/>
  <c r="AN81" i="21" s="1"/>
  <c r="I161" i="20"/>
  <c r="F37" i="58"/>
  <c r="H37" i="58"/>
  <c r="AF67" i="21"/>
  <c r="AF86" i="21" s="1"/>
  <c r="AF161" i="21" s="1"/>
  <c r="H67" i="20"/>
  <c r="H86" i="20" s="1"/>
  <c r="H87" i="20" s="1"/>
  <c r="L161" i="20"/>
  <c r="X159" i="21"/>
  <c r="N37" i="58"/>
  <c r="K37" i="58"/>
  <c r="L37" i="58"/>
  <c r="J37" i="58"/>
  <c r="G37" i="58"/>
  <c r="I37" i="58"/>
  <c r="L35" i="58"/>
  <c r="F35" i="58"/>
  <c r="K35" i="58"/>
  <c r="H35" i="58"/>
  <c r="I35" i="58"/>
  <c r="G35" i="58"/>
  <c r="J161" i="20"/>
  <c r="X67" i="21"/>
  <c r="X86" i="21" s="1"/>
  <c r="X87" i="21" s="1"/>
  <c r="M35" i="58"/>
  <c r="G86" i="20"/>
  <c r="G87" i="20" s="1"/>
  <c r="K87" i="20"/>
  <c r="Z67" i="21"/>
  <c r="Z86" i="21" s="1"/>
  <c r="Z87" i="21" s="1"/>
  <c r="AE159" i="21"/>
  <c r="H197" i="20"/>
  <c r="H198" i="20" s="1"/>
  <c r="H199" i="20" s="1"/>
  <c r="N35" i="58"/>
  <c r="AG67" i="21"/>
  <c r="AG86" i="21" s="1"/>
  <c r="AG161" i="21" s="1"/>
  <c r="K44" i="23"/>
  <c r="L44" i="23"/>
  <c r="H44" i="23"/>
  <c r="E46" i="23"/>
  <c r="I44" i="23"/>
  <c r="M44" i="23"/>
  <c r="J44" i="23"/>
  <c r="N44" i="23"/>
  <c r="F44" i="23"/>
  <c r="G44" i="23"/>
  <c r="P60" i="23"/>
  <c r="Q60" i="23" s="1"/>
  <c r="E44" i="59"/>
  <c r="Y209" i="21"/>
  <c r="Y215" i="21"/>
  <c r="Y217" i="21" s="1"/>
  <c r="Y221" i="21" s="1"/>
  <c r="Y222" i="21" s="1"/>
  <c r="Y194" i="21" s="1"/>
  <c r="D159" i="20"/>
  <c r="D207" i="20"/>
  <c r="N52" i="23"/>
  <c r="K52" i="23"/>
  <c r="H52" i="23"/>
  <c r="M52" i="23"/>
  <c r="L52" i="23"/>
  <c r="J52" i="23"/>
  <c r="F52" i="23"/>
  <c r="I52" i="23"/>
  <c r="G52" i="23"/>
  <c r="J57" i="23"/>
  <c r="J58" i="23" s="1"/>
  <c r="I57" i="23"/>
  <c r="I58" i="23" s="1"/>
  <c r="K57" i="23"/>
  <c r="K58" i="23" s="1"/>
  <c r="G57" i="23"/>
  <c r="G58" i="23" s="1"/>
  <c r="H57" i="23"/>
  <c r="H58" i="23" s="1"/>
  <c r="E58" i="23"/>
  <c r="L57" i="23"/>
  <c r="L58" i="23" s="1"/>
  <c r="N57" i="23"/>
  <c r="N58" i="23" s="1"/>
  <c r="F57" i="23"/>
  <c r="M57" i="23"/>
  <c r="M58" i="23" s="1"/>
  <c r="E53" i="59"/>
  <c r="AE209" i="21"/>
  <c r="AE215" i="21"/>
  <c r="AE217" i="21" s="1"/>
  <c r="AE221" i="21" s="1"/>
  <c r="AE222" i="21" s="1"/>
  <c r="AE194" i="21" s="1"/>
  <c r="AM141" i="21"/>
  <c r="C143" i="20"/>
  <c r="AM143" i="21" s="1"/>
  <c r="AC67" i="21"/>
  <c r="AC86" i="21" s="1"/>
  <c r="Y159" i="21"/>
  <c r="AA87" i="21"/>
  <c r="AA161" i="21"/>
  <c r="E60" i="24"/>
  <c r="AH197" i="21"/>
  <c r="AH198" i="21" s="1"/>
  <c r="AH199" i="21" s="1"/>
  <c r="E60" i="36" s="1"/>
  <c r="E130" i="36" s="1"/>
  <c r="X215" i="21"/>
  <c r="X217" i="21" s="1"/>
  <c r="X221" i="21" s="1"/>
  <c r="X222" i="21" s="1"/>
  <c r="X194" i="21" s="1"/>
  <c r="X197" i="21" s="1"/>
  <c r="X198" i="21" s="1"/>
  <c r="X199" i="21" s="1"/>
  <c r="X209" i="21"/>
  <c r="AD159" i="21"/>
  <c r="E156" i="20"/>
  <c r="F207" i="20"/>
  <c r="AB159" i="21"/>
  <c r="Z159" i="21"/>
  <c r="E190" i="20"/>
  <c r="C188" i="20"/>
  <c r="AD67" i="21"/>
  <c r="AD86" i="21" s="1"/>
  <c r="AC209" i="21"/>
  <c r="E51" i="59"/>
  <c r="AC215" i="21"/>
  <c r="AC217" i="21" s="1"/>
  <c r="AC221" i="21" s="1"/>
  <c r="AC222" i="21" s="1"/>
  <c r="AC194" i="21" s="1"/>
  <c r="AA197" i="21"/>
  <c r="AA198" i="21" s="1"/>
  <c r="E48" i="32" s="1"/>
  <c r="E48" i="24"/>
  <c r="AB67" i="21"/>
  <c r="AB86" i="21" s="1"/>
  <c r="H152" i="20"/>
  <c r="AE67" i="21"/>
  <c r="AE86" i="21" s="1"/>
  <c r="K60" i="59"/>
  <c r="F60" i="59"/>
  <c r="I60" i="59"/>
  <c r="M60" i="59"/>
  <c r="N60" i="59"/>
  <c r="J60" i="59"/>
  <c r="L60" i="59"/>
  <c r="G60" i="59"/>
  <c r="H60" i="59"/>
  <c r="AC159" i="21"/>
  <c r="E45" i="59"/>
  <c r="Z209" i="21"/>
  <c r="Z215" i="21"/>
  <c r="Z217" i="21" s="1"/>
  <c r="Z221" i="21" s="1"/>
  <c r="Z222" i="21" s="1"/>
  <c r="Z194" i="21" s="1"/>
  <c r="AM55" i="21"/>
  <c r="O55" i="20"/>
  <c r="C62" i="20"/>
  <c r="E67" i="20"/>
  <c r="AF215" i="21"/>
  <c r="AF217" i="21" s="1"/>
  <c r="AF221" i="21" s="1"/>
  <c r="AF222" i="21" s="1"/>
  <c r="AF194" i="21" s="1"/>
  <c r="AF197" i="21" s="1"/>
  <c r="AF198" i="21" s="1"/>
  <c r="AF199" i="21" s="1"/>
  <c r="AF209" i="21"/>
  <c r="AF159" i="21"/>
  <c r="AM66" i="21"/>
  <c r="O66" i="20"/>
  <c r="P48" i="23"/>
  <c r="Q48" i="23" s="1"/>
  <c r="J45" i="23"/>
  <c r="N45" i="23"/>
  <c r="K45" i="23"/>
  <c r="I45" i="23"/>
  <c r="L45" i="23"/>
  <c r="F45" i="23"/>
  <c r="G45" i="23"/>
  <c r="M45" i="23"/>
  <c r="H45" i="23"/>
  <c r="AD209" i="21"/>
  <c r="AD215" i="21"/>
  <c r="AD217" i="21" s="1"/>
  <c r="AD221" i="21" s="1"/>
  <c r="AD222" i="21" s="1"/>
  <c r="AD194" i="21" s="1"/>
  <c r="E52" i="59"/>
  <c r="L53" i="23"/>
  <c r="F53" i="23"/>
  <c r="K53" i="23"/>
  <c r="J53" i="23"/>
  <c r="G53" i="23"/>
  <c r="H53" i="23"/>
  <c r="I53" i="23"/>
  <c r="N53" i="23"/>
  <c r="M53" i="23"/>
  <c r="AB215" i="21"/>
  <c r="AB217" i="21" s="1"/>
  <c r="AB221" i="21" s="1"/>
  <c r="AB222" i="21" s="1"/>
  <c r="AB194" i="21" s="1"/>
  <c r="AB197" i="21" s="1"/>
  <c r="AB198" i="21" s="1"/>
  <c r="AB199" i="21" s="1"/>
  <c r="AB209" i="21"/>
  <c r="Y67" i="21"/>
  <c r="Y86" i="21" s="1"/>
  <c r="J48" i="59"/>
  <c r="H48" i="59"/>
  <c r="M48" i="59"/>
  <c r="G48" i="59"/>
  <c r="I48" i="59"/>
  <c r="F48" i="59"/>
  <c r="L48" i="59"/>
  <c r="N48" i="59"/>
  <c r="K48" i="59"/>
  <c r="AJ207" i="21"/>
  <c r="AJ159" i="21"/>
  <c r="M161" i="21"/>
  <c r="M87" i="21"/>
  <c r="K51" i="23"/>
  <c r="E54" i="23"/>
  <c r="I51" i="23"/>
  <c r="N51" i="23"/>
  <c r="M51" i="23"/>
  <c r="H51" i="23"/>
  <c r="J51" i="23"/>
  <c r="G51" i="23"/>
  <c r="F51" i="23"/>
  <c r="L51" i="23"/>
  <c r="L86" i="21"/>
  <c r="E57" i="59"/>
  <c r="AG215" i="21"/>
  <c r="AG217" i="21" s="1"/>
  <c r="AG221" i="21" s="1"/>
  <c r="AG222" i="21" s="1"/>
  <c r="AG194" i="21" s="1"/>
  <c r="AG209" i="21"/>
  <c r="AG159" i="21"/>
  <c r="E39" i="58"/>
  <c r="H33" i="58"/>
  <c r="J33" i="58"/>
  <c r="G33" i="58"/>
  <c r="K33" i="58"/>
  <c r="N33" i="58"/>
  <c r="F33" i="58"/>
  <c r="M33" i="58"/>
  <c r="L33" i="58"/>
  <c r="L27" i="58"/>
  <c r="K27" i="58"/>
  <c r="M34" i="58"/>
  <c r="K34" i="58"/>
  <c r="G27" i="58"/>
  <c r="N34" i="58"/>
  <c r="H34" i="58"/>
  <c r="H27" i="58"/>
  <c r="F34" i="58"/>
  <c r="I34" i="58"/>
  <c r="G34" i="58"/>
  <c r="J34" i="58"/>
  <c r="L34" i="58"/>
  <c r="F27" i="58"/>
  <c r="I27" i="58"/>
  <c r="M27" i="58"/>
  <c r="J27" i="58"/>
  <c r="P28" i="58"/>
  <c r="Q28" i="58" s="1"/>
  <c r="P36" i="58"/>
  <c r="Q36" i="58" s="1"/>
  <c r="E26" i="22"/>
  <c r="N116" i="13"/>
  <c r="M22" i="19"/>
  <c r="N17" i="19" s="1"/>
  <c r="P65" i="22"/>
  <c r="Q65" i="22" s="1"/>
  <c r="P38" i="58"/>
  <c r="Q38" i="58" s="1"/>
  <c r="P29" i="58"/>
  <c r="Q29" i="58" s="1"/>
  <c r="AF87" i="21" l="1"/>
  <c r="H161" i="20"/>
  <c r="P37" i="58"/>
  <c r="Q37" i="58" s="1"/>
  <c r="I39" i="58"/>
  <c r="F39" i="58"/>
  <c r="L60" i="36"/>
  <c r="L130" i="36" s="1"/>
  <c r="AA199" i="21"/>
  <c r="E48" i="36" s="1"/>
  <c r="L48" i="36" s="1"/>
  <c r="I60" i="36"/>
  <c r="I130" i="36" s="1"/>
  <c r="J60" i="36"/>
  <c r="J130" i="36" s="1"/>
  <c r="X161" i="21"/>
  <c r="Z161" i="21"/>
  <c r="P35" i="58"/>
  <c r="Q35" i="58" s="1"/>
  <c r="G161" i="20"/>
  <c r="H60" i="36"/>
  <c r="H130" i="36" s="1"/>
  <c r="F60" i="36"/>
  <c r="F130" i="36" s="1"/>
  <c r="G60" i="36"/>
  <c r="G130" i="36" s="1"/>
  <c r="N39" i="58"/>
  <c r="N60" i="36"/>
  <c r="N130" i="36" s="1"/>
  <c r="AG87" i="21"/>
  <c r="K60" i="36"/>
  <c r="K130" i="36" s="1"/>
  <c r="E60" i="32"/>
  <c r="M60" i="32" s="1"/>
  <c r="M60" i="36"/>
  <c r="M130" i="36" s="1"/>
  <c r="J54" i="23"/>
  <c r="I54" i="23"/>
  <c r="P53" i="23"/>
  <c r="Q53" i="23" s="1"/>
  <c r="K46" i="23"/>
  <c r="M52" i="59"/>
  <c r="G52" i="59"/>
  <c r="K52" i="59"/>
  <c r="F52" i="59"/>
  <c r="L52" i="59"/>
  <c r="H52" i="59"/>
  <c r="N52" i="59"/>
  <c r="I52" i="59"/>
  <c r="J52" i="59"/>
  <c r="AG197" i="21"/>
  <c r="E57" i="24"/>
  <c r="G54" i="23"/>
  <c r="N54" i="23"/>
  <c r="AM62" i="21"/>
  <c r="C67" i="20"/>
  <c r="AE161" i="21"/>
  <c r="AE87" i="21"/>
  <c r="E207" i="20"/>
  <c r="C156" i="20"/>
  <c r="J60" i="24"/>
  <c r="N60" i="24"/>
  <c r="L60" i="24"/>
  <c r="M60" i="24"/>
  <c r="H60" i="24"/>
  <c r="F60" i="24"/>
  <c r="K60" i="24"/>
  <c r="I60" i="24"/>
  <c r="G60" i="24"/>
  <c r="AC87" i="21"/>
  <c r="AC161" i="21"/>
  <c r="F58" i="23"/>
  <c r="P57" i="23"/>
  <c r="Y197" i="21"/>
  <c r="Y198" i="21" s="1"/>
  <c r="Y199" i="21" s="1"/>
  <c r="E44" i="36" s="1"/>
  <c r="L44" i="36" s="1"/>
  <c r="E44" i="24"/>
  <c r="G46" i="23"/>
  <c r="M46" i="23"/>
  <c r="L46" i="23"/>
  <c r="L87" i="21"/>
  <c r="L161" i="21"/>
  <c r="Y161" i="21"/>
  <c r="Y87" i="21"/>
  <c r="AC197" i="21"/>
  <c r="AC198" i="21" s="1"/>
  <c r="AC199" i="21" s="1"/>
  <c r="E51" i="36" s="1"/>
  <c r="H51" i="36" s="1"/>
  <c r="E51" i="24"/>
  <c r="M53" i="59"/>
  <c r="I53" i="59"/>
  <c r="H53" i="59"/>
  <c r="J53" i="59"/>
  <c r="G53" i="59"/>
  <c r="F53" i="59"/>
  <c r="K53" i="59"/>
  <c r="N53" i="59"/>
  <c r="L53" i="59"/>
  <c r="P44" i="23"/>
  <c r="Q44" i="23" s="1"/>
  <c r="F46" i="23"/>
  <c r="I46" i="23"/>
  <c r="L54" i="23"/>
  <c r="H54" i="23"/>
  <c r="E52" i="24"/>
  <c r="AD197" i="21"/>
  <c r="AD198" i="21" s="1"/>
  <c r="AD199" i="21" s="1"/>
  <c r="E52" i="36" s="1"/>
  <c r="F52" i="36" s="1"/>
  <c r="P60" i="59"/>
  <c r="Q60" i="59" s="1"/>
  <c r="AB161" i="21"/>
  <c r="AB87" i="21"/>
  <c r="F51" i="59"/>
  <c r="E54" i="59"/>
  <c r="K51" i="59"/>
  <c r="G51" i="59"/>
  <c r="J51" i="59"/>
  <c r="M51" i="59"/>
  <c r="I51" i="59"/>
  <c r="L51" i="59"/>
  <c r="H51" i="59"/>
  <c r="N51" i="59"/>
  <c r="AD87" i="21"/>
  <c r="AD161" i="21"/>
  <c r="D215" i="20"/>
  <c r="D217" i="20" s="1"/>
  <c r="D221" i="20" s="1"/>
  <c r="D222" i="20" s="1"/>
  <c r="D194" i="20" s="1"/>
  <c r="D197" i="20" s="1"/>
  <c r="D198" i="20" s="1"/>
  <c r="D199" i="20" s="1"/>
  <c r="D209" i="20"/>
  <c r="E46" i="59"/>
  <c r="H44" i="59"/>
  <c r="I44" i="59"/>
  <c r="M44" i="59"/>
  <c r="F44" i="59"/>
  <c r="K44" i="59"/>
  <c r="J44" i="59"/>
  <c r="N44" i="59"/>
  <c r="L44" i="59"/>
  <c r="G44" i="59"/>
  <c r="N46" i="23"/>
  <c r="K57" i="59"/>
  <c r="K58" i="59" s="1"/>
  <c r="N57" i="59"/>
  <c r="N58" i="59" s="1"/>
  <c r="M57" i="59"/>
  <c r="M58" i="59" s="1"/>
  <c r="L57" i="59"/>
  <c r="L58" i="59" s="1"/>
  <c r="G57" i="59"/>
  <c r="G58" i="59" s="1"/>
  <c r="I57" i="59"/>
  <c r="I58" i="59" s="1"/>
  <c r="E58" i="59"/>
  <c r="H57" i="59"/>
  <c r="H58" i="59" s="1"/>
  <c r="J57" i="59"/>
  <c r="J58" i="59" s="1"/>
  <c r="F57" i="59"/>
  <c r="L45" i="59"/>
  <c r="K45" i="59"/>
  <c r="G45" i="59"/>
  <c r="J45" i="59"/>
  <c r="I45" i="59"/>
  <c r="N45" i="59"/>
  <c r="H45" i="59"/>
  <c r="F45" i="59"/>
  <c r="M45" i="59"/>
  <c r="E152" i="20"/>
  <c r="H159" i="20"/>
  <c r="H39" i="58"/>
  <c r="P51" i="23"/>
  <c r="Q51" i="23" s="1"/>
  <c r="F54" i="23"/>
  <c r="M54" i="23"/>
  <c r="K54" i="23"/>
  <c r="AJ215" i="21"/>
  <c r="AJ217" i="21" s="1"/>
  <c r="AJ221" i="21" s="1"/>
  <c r="AJ222" i="21" s="1"/>
  <c r="AJ194" i="21" s="1"/>
  <c r="AJ197" i="21" s="1"/>
  <c r="AJ198" i="21" s="1"/>
  <c r="AJ199" i="21" s="1"/>
  <c r="AJ209" i="21"/>
  <c r="P48" i="59"/>
  <c r="Q48" i="59" s="1"/>
  <c r="P45" i="23"/>
  <c r="Q45" i="23" s="1"/>
  <c r="Z197" i="21"/>
  <c r="Z198" i="21" s="1"/>
  <c r="Z199" i="21" s="1"/>
  <c r="E45" i="36" s="1"/>
  <c r="L45" i="36" s="1"/>
  <c r="E45" i="24"/>
  <c r="N48" i="24"/>
  <c r="J48" i="24"/>
  <c r="H48" i="24"/>
  <c r="K48" i="24"/>
  <c r="F48" i="24"/>
  <c r="L48" i="24"/>
  <c r="M48" i="24"/>
  <c r="I48" i="24"/>
  <c r="G48" i="24"/>
  <c r="AM188" i="21"/>
  <c r="O188" i="20"/>
  <c r="C190" i="20"/>
  <c r="F215" i="20"/>
  <c r="AE197" i="21"/>
  <c r="AE198" i="21" s="1"/>
  <c r="AE199" i="21" s="1"/>
  <c r="E53" i="36" s="1"/>
  <c r="H53" i="36" s="1"/>
  <c r="E53" i="24"/>
  <c r="P52" i="23"/>
  <c r="Q52" i="23" s="1"/>
  <c r="J46" i="23"/>
  <c r="H46" i="23"/>
  <c r="J39" i="58"/>
  <c r="G39" i="58"/>
  <c r="K39" i="58"/>
  <c r="P33" i="58"/>
  <c r="Q33" i="58" s="1"/>
  <c r="M39" i="58"/>
  <c r="L39" i="58"/>
  <c r="P27" i="58"/>
  <c r="Q27" i="58" s="1"/>
  <c r="P34" i="58"/>
  <c r="Q34" i="58" s="1"/>
  <c r="N19" i="19"/>
  <c r="N66" i="21" s="1"/>
  <c r="N13" i="19"/>
  <c r="N54" i="21" s="1"/>
  <c r="N11" i="19"/>
  <c r="N53" i="21" s="1"/>
  <c r="N15" i="19"/>
  <c r="N57" i="21" s="1"/>
  <c r="G48" i="32"/>
  <c r="K48" i="32"/>
  <c r="H48" i="32"/>
  <c r="L48" i="32"/>
  <c r="I48" i="32"/>
  <c r="M48" i="32"/>
  <c r="F48" i="32"/>
  <c r="J48" i="32"/>
  <c r="N48" i="32"/>
  <c r="T15" i="19"/>
  <c r="T57" i="21" s="1"/>
  <c r="T71" i="21" s="1"/>
  <c r="T72" i="21" s="1"/>
  <c r="Q19" i="19"/>
  <c r="Q66" i="21" s="1"/>
  <c r="Q156" i="21" s="1"/>
  <c r="Q207" i="21" s="1"/>
  <c r="T19" i="19"/>
  <c r="T66" i="21" s="1"/>
  <c r="T156" i="21" s="1"/>
  <c r="T207" i="21" s="1"/>
  <c r="U19" i="19"/>
  <c r="U66" i="21" s="1"/>
  <c r="U156" i="21" s="1"/>
  <c r="U207" i="21" s="1"/>
  <c r="W19" i="19"/>
  <c r="W66" i="21" s="1"/>
  <c r="W156" i="21" s="1"/>
  <c r="W207" i="21" s="1"/>
  <c r="P13" i="19"/>
  <c r="P54" i="21" s="1"/>
  <c r="P142" i="21" s="1"/>
  <c r="P189" i="21" s="1"/>
  <c r="Q15" i="19"/>
  <c r="Q57" i="21" s="1"/>
  <c r="Q71" i="21" s="1"/>
  <c r="Q72" i="21" s="1"/>
  <c r="V11" i="19"/>
  <c r="V53" i="21" s="1"/>
  <c r="V19" i="19"/>
  <c r="V66" i="21" s="1"/>
  <c r="V156" i="21" s="1"/>
  <c r="V207" i="21" s="1"/>
  <c r="U17" i="19"/>
  <c r="U59" i="21" s="1"/>
  <c r="S15" i="19"/>
  <c r="S57" i="21" s="1"/>
  <c r="S71" i="21" s="1"/>
  <c r="S72" i="21" s="1"/>
  <c r="W11" i="19"/>
  <c r="W53" i="21" s="1"/>
  <c r="S19" i="19"/>
  <c r="S66" i="21" s="1"/>
  <c r="S156" i="21" s="1"/>
  <c r="S207" i="21" s="1"/>
  <c r="Q17" i="19"/>
  <c r="Q59" i="21" s="1"/>
  <c r="Q147" i="21" s="1"/>
  <c r="Q220" i="21" s="1"/>
  <c r="V15" i="19"/>
  <c r="V57" i="21" s="1"/>
  <c r="V71" i="21" s="1"/>
  <c r="V72" i="21" s="1"/>
  <c r="T11" i="19"/>
  <c r="T53" i="21" s="1"/>
  <c r="V13" i="19"/>
  <c r="V54" i="21" s="1"/>
  <c r="V142" i="21" s="1"/>
  <c r="V189" i="21" s="1"/>
  <c r="T13" i="19"/>
  <c r="T54" i="21" s="1"/>
  <c r="T142" i="21" s="1"/>
  <c r="T189" i="21" s="1"/>
  <c r="W15" i="19"/>
  <c r="W57" i="21" s="1"/>
  <c r="W71" i="21" s="1"/>
  <c r="W72" i="21" s="1"/>
  <c r="P11" i="19"/>
  <c r="P53" i="21" s="1"/>
  <c r="Q13" i="19"/>
  <c r="Q54" i="21" s="1"/>
  <c r="Q142" i="21" s="1"/>
  <c r="Q189" i="21" s="1"/>
  <c r="P19" i="19"/>
  <c r="P66" i="21" s="1"/>
  <c r="P156" i="21" s="1"/>
  <c r="P207" i="21" s="1"/>
  <c r="V17" i="19"/>
  <c r="V59" i="21" s="1"/>
  <c r="T17" i="19"/>
  <c r="T59" i="21" s="1"/>
  <c r="U15" i="19"/>
  <c r="U57" i="21" s="1"/>
  <c r="U71" i="21" s="1"/>
  <c r="U72" i="21" s="1"/>
  <c r="S17" i="19"/>
  <c r="S59" i="21" s="1"/>
  <c r="W13" i="19"/>
  <c r="W54" i="21" s="1"/>
  <c r="W142" i="21" s="1"/>
  <c r="W189" i="21" s="1"/>
  <c r="P17" i="19"/>
  <c r="P59" i="21" s="1"/>
  <c r="P147" i="21" s="1"/>
  <c r="P220" i="21" s="1"/>
  <c r="U13" i="19"/>
  <c r="U54" i="21" s="1"/>
  <c r="U142" i="21" s="1"/>
  <c r="U189" i="21" s="1"/>
  <c r="S11" i="19"/>
  <c r="S53" i="21" s="1"/>
  <c r="W17" i="19"/>
  <c r="W59" i="21" s="1"/>
  <c r="P15" i="19"/>
  <c r="P57" i="21" s="1"/>
  <c r="P71" i="21" s="1"/>
  <c r="P72" i="21" s="1"/>
  <c r="Q11" i="19"/>
  <c r="Q53" i="21" s="1"/>
  <c r="U11" i="19"/>
  <c r="U53" i="21" s="1"/>
  <c r="S13" i="19"/>
  <c r="S54" i="21" s="1"/>
  <c r="S142" i="21" s="1"/>
  <c r="S189" i="21" s="1"/>
  <c r="R11" i="19"/>
  <c r="R53" i="21" s="1"/>
  <c r="R19" i="19"/>
  <c r="R66" i="21" s="1"/>
  <c r="R156" i="21" s="1"/>
  <c r="R207" i="21" s="1"/>
  <c r="O11" i="19"/>
  <c r="O53" i="21" s="1"/>
  <c r="O15" i="19"/>
  <c r="O57" i="21" s="1"/>
  <c r="O71" i="21" s="1"/>
  <c r="O72" i="21" s="1"/>
  <c r="O19" i="19"/>
  <c r="O66" i="21" s="1"/>
  <c r="O156" i="21" s="1"/>
  <c r="O207" i="21" s="1"/>
  <c r="R13" i="19"/>
  <c r="R54" i="21" s="1"/>
  <c r="R142" i="21" s="1"/>
  <c r="R189" i="21" s="1"/>
  <c r="R17" i="19"/>
  <c r="R59" i="21" s="1"/>
  <c r="R147" i="21" s="1"/>
  <c r="O17" i="19"/>
  <c r="O59" i="21" s="1"/>
  <c r="O147" i="21" s="1"/>
  <c r="O220" i="21" s="1"/>
  <c r="R15" i="19"/>
  <c r="R57" i="21" s="1"/>
  <c r="R71" i="21" s="1"/>
  <c r="R72" i="21" s="1"/>
  <c r="O13" i="19"/>
  <c r="O54" i="21" s="1"/>
  <c r="O142" i="21" s="1"/>
  <c r="O189" i="21" s="1"/>
  <c r="N65" i="21"/>
  <c r="H26" i="22"/>
  <c r="I26" i="22"/>
  <c r="G26" i="22"/>
  <c r="L26" i="22"/>
  <c r="K26" i="22"/>
  <c r="J26" i="22"/>
  <c r="F26" i="22"/>
  <c r="E30" i="22"/>
  <c r="N26" i="22"/>
  <c r="M26" i="22"/>
  <c r="N59" i="21"/>
  <c r="J44" i="36" l="1"/>
  <c r="J114" i="36" s="1"/>
  <c r="G54" i="59"/>
  <c r="L51" i="36"/>
  <c r="L52" i="36"/>
  <c r="H44" i="36"/>
  <c r="H114" i="36" s="1"/>
  <c r="E115" i="36"/>
  <c r="H52" i="36"/>
  <c r="H54" i="36" s="1"/>
  <c r="N48" i="36"/>
  <c r="N118" i="36" s="1"/>
  <c r="I60" i="32"/>
  <c r="H60" i="32"/>
  <c r="M52" i="36"/>
  <c r="I44" i="36"/>
  <c r="I114" i="36" s="1"/>
  <c r="J60" i="32"/>
  <c r="N60" i="32"/>
  <c r="N52" i="36"/>
  <c r="N44" i="36"/>
  <c r="N114" i="36" s="1"/>
  <c r="F44" i="36"/>
  <c r="F114" i="36" s="1"/>
  <c r="E52" i="32"/>
  <c r="H52" i="32" s="1"/>
  <c r="I52" i="36"/>
  <c r="M44" i="36"/>
  <c r="M114" i="36" s="1"/>
  <c r="G60" i="32"/>
  <c r="L60" i="32"/>
  <c r="J52" i="36"/>
  <c r="G52" i="36"/>
  <c r="K44" i="36"/>
  <c r="K114" i="36" s="1"/>
  <c r="E118" i="36"/>
  <c r="G48" i="36"/>
  <c r="G118" i="36" s="1"/>
  <c r="F48" i="36"/>
  <c r="F118" i="36" s="1"/>
  <c r="F45" i="36"/>
  <c r="F115" i="36" s="1"/>
  <c r="I48" i="36"/>
  <c r="I118" i="36" s="1"/>
  <c r="H48" i="36"/>
  <c r="H118" i="36" s="1"/>
  <c r="K48" i="36"/>
  <c r="K118" i="36" s="1"/>
  <c r="N53" i="36"/>
  <c r="K60" i="32"/>
  <c r="F60" i="32"/>
  <c r="J48" i="36"/>
  <c r="J118" i="36" s="1"/>
  <c r="M48" i="36"/>
  <c r="M118" i="36" s="1"/>
  <c r="K52" i="36"/>
  <c r="E44" i="32"/>
  <c r="G44" i="32" s="1"/>
  <c r="G44" i="36"/>
  <c r="G114" i="36" s="1"/>
  <c r="E114" i="36"/>
  <c r="L53" i="36"/>
  <c r="P60" i="36"/>
  <c r="Q60" i="36" s="1"/>
  <c r="E54" i="36"/>
  <c r="E124" i="36" s="1"/>
  <c r="I53" i="36"/>
  <c r="K45" i="36"/>
  <c r="N45" i="36"/>
  <c r="M45" i="36"/>
  <c r="M115" i="36" s="1"/>
  <c r="G53" i="36"/>
  <c r="F53" i="36"/>
  <c r="L54" i="59"/>
  <c r="H45" i="36"/>
  <c r="G45" i="36"/>
  <c r="G115" i="36" s="1"/>
  <c r="K53" i="36"/>
  <c r="M53" i="36"/>
  <c r="E46" i="36"/>
  <c r="E116" i="36" s="1"/>
  <c r="M46" i="59"/>
  <c r="N54" i="59"/>
  <c r="M54" i="59"/>
  <c r="E45" i="32"/>
  <c r="G45" i="32" s="1"/>
  <c r="J45" i="36"/>
  <c r="I45" i="36"/>
  <c r="I115" i="36" s="1"/>
  <c r="E53" i="32"/>
  <c r="I53" i="32" s="1"/>
  <c r="J53" i="36"/>
  <c r="J54" i="59"/>
  <c r="C152" i="20"/>
  <c r="P52" i="59"/>
  <c r="Q52" i="59" s="1"/>
  <c r="F51" i="36"/>
  <c r="K51" i="36"/>
  <c r="P48" i="24"/>
  <c r="Q48" i="24" s="1"/>
  <c r="J46" i="59"/>
  <c r="I46" i="59"/>
  <c r="H54" i="59"/>
  <c r="P51" i="59"/>
  <c r="Q51" i="59" s="1"/>
  <c r="F54" i="59"/>
  <c r="P53" i="59"/>
  <c r="Q53" i="59" s="1"/>
  <c r="P60" i="24"/>
  <c r="Q60" i="24" s="1"/>
  <c r="F57" i="24"/>
  <c r="G57" i="24"/>
  <c r="G58" i="24" s="1"/>
  <c r="L57" i="24"/>
  <c r="L58" i="24" s="1"/>
  <c r="I57" i="24"/>
  <c r="I58" i="24" s="1"/>
  <c r="E58" i="24"/>
  <c r="H57" i="24"/>
  <c r="H58" i="24" s="1"/>
  <c r="K57" i="24"/>
  <c r="K58" i="24" s="1"/>
  <c r="N57" i="24"/>
  <c r="N58" i="24" s="1"/>
  <c r="J57" i="24"/>
  <c r="J58" i="24" s="1"/>
  <c r="M57" i="24"/>
  <c r="M58" i="24" s="1"/>
  <c r="M44" i="24"/>
  <c r="K44" i="24"/>
  <c r="J44" i="24"/>
  <c r="H44" i="24"/>
  <c r="N44" i="24"/>
  <c r="G44" i="24"/>
  <c r="E46" i="24"/>
  <c r="I44" i="24"/>
  <c r="F44" i="24"/>
  <c r="L44" i="24"/>
  <c r="E51" i="32"/>
  <c r="I51" i="36"/>
  <c r="G51" i="36"/>
  <c r="N51" i="36"/>
  <c r="F53" i="24"/>
  <c r="N53" i="24"/>
  <c r="M53" i="24"/>
  <c r="L53" i="24"/>
  <c r="G53" i="24"/>
  <c r="J53" i="24"/>
  <c r="I53" i="24"/>
  <c r="H53" i="24"/>
  <c r="K53" i="24"/>
  <c r="AM190" i="21"/>
  <c r="O190" i="20"/>
  <c r="H45" i="24"/>
  <c r="L45" i="24"/>
  <c r="K45" i="24"/>
  <c r="F45" i="24"/>
  <c r="N45" i="24"/>
  <c r="J45" i="24"/>
  <c r="G45" i="24"/>
  <c r="I45" i="24"/>
  <c r="M45" i="24"/>
  <c r="P54" i="23"/>
  <c r="Q54" i="23" s="1"/>
  <c r="P45" i="59"/>
  <c r="Q45" i="59" s="1"/>
  <c r="P57" i="59"/>
  <c r="Q57" i="59" s="1"/>
  <c r="F58" i="59"/>
  <c r="P58" i="59" s="1"/>
  <c r="Q58" i="59" s="1"/>
  <c r="G46" i="59"/>
  <c r="K46" i="59"/>
  <c r="H46" i="59"/>
  <c r="K52" i="24"/>
  <c r="I52" i="24"/>
  <c r="H52" i="24"/>
  <c r="J52" i="24"/>
  <c r="N52" i="24"/>
  <c r="L52" i="24"/>
  <c r="G52" i="24"/>
  <c r="F52" i="24"/>
  <c r="M52" i="24"/>
  <c r="P58" i="23"/>
  <c r="Q58" i="23" s="1"/>
  <c r="Q57" i="23"/>
  <c r="AG198" i="21"/>
  <c r="E57" i="32" s="1"/>
  <c r="N46" i="59"/>
  <c r="P46" i="23"/>
  <c r="Q46" i="23" s="1"/>
  <c r="E215" i="20"/>
  <c r="J51" i="36"/>
  <c r="M51" i="36"/>
  <c r="L46" i="59"/>
  <c r="F46" i="59"/>
  <c r="P44" i="59"/>
  <c r="Q44" i="59" s="1"/>
  <c r="I54" i="59"/>
  <c r="K54" i="59"/>
  <c r="F51" i="24"/>
  <c r="L51" i="24"/>
  <c r="J51" i="24"/>
  <c r="N51" i="24"/>
  <c r="K51" i="24"/>
  <c r="E54" i="24"/>
  <c r="G51" i="24"/>
  <c r="H51" i="24"/>
  <c r="M51" i="24"/>
  <c r="I51" i="24"/>
  <c r="C207" i="20"/>
  <c r="AM156" i="21"/>
  <c r="AM67" i="21"/>
  <c r="P39" i="58"/>
  <c r="Q39" i="58" s="1"/>
  <c r="N30" i="22"/>
  <c r="V147" i="21"/>
  <c r="V220" i="21" s="1"/>
  <c r="L46" i="36"/>
  <c r="L116" i="36" s="1"/>
  <c r="L114" i="36"/>
  <c r="L115" i="36"/>
  <c r="O141" i="21"/>
  <c r="O55" i="21"/>
  <c r="O60" i="21" s="1"/>
  <c r="S55" i="21"/>
  <c r="S60" i="21" s="1"/>
  <c r="S61" i="21" s="1"/>
  <c r="S62" i="21" s="1"/>
  <c r="S67" i="21" s="1"/>
  <c r="S86" i="21" s="1"/>
  <c r="S141" i="21"/>
  <c r="S147" i="21"/>
  <c r="U147" i="21"/>
  <c r="N156" i="21"/>
  <c r="F30" i="22"/>
  <c r="P26" i="22"/>
  <c r="Q26" i="22" s="1"/>
  <c r="G30" i="22"/>
  <c r="N142" i="21"/>
  <c r="N155" i="21"/>
  <c r="E33" i="59"/>
  <c r="R215" i="21"/>
  <c r="R217" i="21" s="1"/>
  <c r="R221" i="21" s="1"/>
  <c r="R209" i="21"/>
  <c r="Q141" i="21"/>
  <c r="Q55" i="21"/>
  <c r="Q60" i="21" s="1"/>
  <c r="E34" i="59"/>
  <c r="S215" i="21"/>
  <c r="S217" i="21" s="1"/>
  <c r="S221" i="21" s="1"/>
  <c r="S209" i="21"/>
  <c r="E37" i="59"/>
  <c r="V215" i="21"/>
  <c r="V217" i="21" s="1"/>
  <c r="V221" i="21" s="1"/>
  <c r="V209" i="21"/>
  <c r="W215" i="21"/>
  <c r="W217" i="21" s="1"/>
  <c r="W221" i="21" s="1"/>
  <c r="E38" i="59"/>
  <c r="W209" i="21"/>
  <c r="K30" i="22"/>
  <c r="H30" i="22"/>
  <c r="N71" i="21"/>
  <c r="W147" i="21"/>
  <c r="E35" i="59"/>
  <c r="T215" i="21"/>
  <c r="T217" i="21" s="1"/>
  <c r="T221" i="21" s="1"/>
  <c r="T209" i="21"/>
  <c r="P48" i="32"/>
  <c r="Q48" i="32" s="1"/>
  <c r="E41" i="22"/>
  <c r="L30" i="22"/>
  <c r="R220" i="21"/>
  <c r="U141" i="21"/>
  <c r="U55" i="21"/>
  <c r="U60" i="21" s="1"/>
  <c r="U61" i="21" s="1"/>
  <c r="U62" i="21" s="1"/>
  <c r="U67" i="21" s="1"/>
  <c r="U86" i="21" s="1"/>
  <c r="E28" i="59"/>
  <c r="P215" i="21"/>
  <c r="P217" i="21" s="1"/>
  <c r="P221" i="21" s="1"/>
  <c r="P222" i="21" s="1"/>
  <c r="P194" i="21" s="1"/>
  <c r="P209" i="21"/>
  <c r="E29" i="59"/>
  <c r="Q215" i="21"/>
  <c r="Q217" i="21" s="1"/>
  <c r="Q221" i="21" s="1"/>
  <c r="Q222" i="21" s="1"/>
  <c r="Q194" i="21" s="1"/>
  <c r="Q209" i="21"/>
  <c r="N147" i="21"/>
  <c r="L118" i="36"/>
  <c r="M30" i="22"/>
  <c r="J30" i="22"/>
  <c r="I30" i="22"/>
  <c r="O215" i="21"/>
  <c r="O217" i="21" s="1"/>
  <c r="O221" i="21" s="1"/>
  <c r="O222" i="21" s="1"/>
  <c r="O194" i="21" s="1"/>
  <c r="E27" i="59"/>
  <c r="O209" i="21"/>
  <c r="R141" i="21"/>
  <c r="R55" i="21"/>
  <c r="R60" i="21" s="1"/>
  <c r="T147" i="21"/>
  <c r="T220" i="21" s="1"/>
  <c r="P141" i="21"/>
  <c r="P55" i="21"/>
  <c r="P60" i="21" s="1"/>
  <c r="P61" i="21" s="1"/>
  <c r="P62" i="21" s="1"/>
  <c r="P67" i="21" s="1"/>
  <c r="P86" i="21" s="1"/>
  <c r="T141" i="21"/>
  <c r="T55" i="21"/>
  <c r="T60" i="21" s="1"/>
  <c r="T61" i="21" s="1"/>
  <c r="T62" i="21" s="1"/>
  <c r="T67" i="21" s="1"/>
  <c r="T86" i="21" s="1"/>
  <c r="W55" i="21"/>
  <c r="W60" i="21" s="1"/>
  <c r="W141" i="21"/>
  <c r="V141" i="21"/>
  <c r="V55" i="21"/>
  <c r="V60" i="21" s="1"/>
  <c r="E36" i="59"/>
  <c r="U215" i="21"/>
  <c r="U217" i="21" s="1"/>
  <c r="U221" i="21" s="1"/>
  <c r="U209" i="21"/>
  <c r="N55" i="21"/>
  <c r="N141" i="21"/>
  <c r="J46" i="36" l="1"/>
  <c r="J116" i="36" s="1"/>
  <c r="M54" i="36"/>
  <c r="M124" i="36" s="1"/>
  <c r="K54" i="36"/>
  <c r="K124" i="36" s="1"/>
  <c r="H46" i="36"/>
  <c r="H116" i="36" s="1"/>
  <c r="L54" i="36"/>
  <c r="L124" i="36" s="1"/>
  <c r="M52" i="32"/>
  <c r="I52" i="32"/>
  <c r="J54" i="24"/>
  <c r="I46" i="36"/>
  <c r="I116" i="36" s="1"/>
  <c r="G52" i="32"/>
  <c r="K52" i="32"/>
  <c r="J44" i="32"/>
  <c r="N52" i="32"/>
  <c r="L52" i="32"/>
  <c r="F52" i="32"/>
  <c r="J52" i="32"/>
  <c r="K46" i="36"/>
  <c r="K116" i="36" s="1"/>
  <c r="J53" i="32"/>
  <c r="N46" i="36"/>
  <c r="N116" i="36" s="1"/>
  <c r="K115" i="36"/>
  <c r="F45" i="32"/>
  <c r="P60" i="32"/>
  <c r="Q60" i="32" s="1"/>
  <c r="P44" i="36"/>
  <c r="Q44" i="36" s="1"/>
  <c r="L44" i="32"/>
  <c r="P52" i="36"/>
  <c r="Q52" i="36" s="1"/>
  <c r="G46" i="36"/>
  <c r="G116" i="36" s="1"/>
  <c r="F46" i="36"/>
  <c r="F116" i="36" s="1"/>
  <c r="H45" i="32"/>
  <c r="P48" i="36"/>
  <c r="Q48" i="36" s="1"/>
  <c r="N115" i="36"/>
  <c r="M46" i="36"/>
  <c r="M116" i="36" s="1"/>
  <c r="F53" i="32"/>
  <c r="F44" i="32"/>
  <c r="H44" i="32"/>
  <c r="M44" i="32"/>
  <c r="K44" i="32"/>
  <c r="N44" i="32"/>
  <c r="I44" i="32"/>
  <c r="N54" i="36"/>
  <c r="N124" i="36" s="1"/>
  <c r="J54" i="36"/>
  <c r="J124" i="36" s="1"/>
  <c r="E46" i="32"/>
  <c r="I45" i="32"/>
  <c r="K45" i="32"/>
  <c r="F54" i="36"/>
  <c r="F124" i="36" s="1"/>
  <c r="I54" i="36"/>
  <c r="I124" i="36" s="1"/>
  <c r="H115" i="36"/>
  <c r="M45" i="32"/>
  <c r="L45" i="32"/>
  <c r="N45" i="32"/>
  <c r="J45" i="32"/>
  <c r="H53" i="32"/>
  <c r="K53" i="32"/>
  <c r="N53" i="32"/>
  <c r="G53" i="32"/>
  <c r="L53" i="32"/>
  <c r="M53" i="32"/>
  <c r="E54" i="32"/>
  <c r="P53" i="36"/>
  <c r="Q53" i="36" s="1"/>
  <c r="N51" i="32"/>
  <c r="G54" i="36"/>
  <c r="G124" i="36" s="1"/>
  <c r="I51" i="32"/>
  <c r="J115" i="36"/>
  <c r="K51" i="32"/>
  <c r="P45" i="36"/>
  <c r="Q45" i="36" s="1"/>
  <c r="J51" i="32"/>
  <c r="L51" i="32"/>
  <c r="G51" i="32"/>
  <c r="G54" i="24"/>
  <c r="L46" i="24"/>
  <c r="G46" i="24"/>
  <c r="K46" i="24"/>
  <c r="F51" i="32"/>
  <c r="H51" i="32"/>
  <c r="I54" i="24"/>
  <c r="M51" i="32"/>
  <c r="AG199" i="21"/>
  <c r="E57" i="36" s="1"/>
  <c r="F57" i="36" s="1"/>
  <c r="I46" i="24"/>
  <c r="AM207" i="21"/>
  <c r="C215" i="20"/>
  <c r="P54" i="59"/>
  <c r="Q54" i="59" s="1"/>
  <c r="L54" i="24"/>
  <c r="P52" i="24"/>
  <c r="Q52" i="24" s="1"/>
  <c r="P45" i="24"/>
  <c r="Q45" i="24" s="1"/>
  <c r="F46" i="24"/>
  <c r="P44" i="24"/>
  <c r="Q44" i="24" s="1"/>
  <c r="N46" i="24"/>
  <c r="M46" i="24"/>
  <c r="P51" i="36"/>
  <c r="Q51" i="36" s="1"/>
  <c r="M54" i="24"/>
  <c r="K54" i="24"/>
  <c r="F54" i="24"/>
  <c r="P51" i="24"/>
  <c r="Q51" i="24" s="1"/>
  <c r="P46" i="59"/>
  <c r="Q46" i="59" s="1"/>
  <c r="H46" i="24"/>
  <c r="H54" i="24"/>
  <c r="N54" i="24"/>
  <c r="G57" i="32"/>
  <c r="G58" i="32" s="1"/>
  <c r="I57" i="32"/>
  <c r="I58" i="32" s="1"/>
  <c r="J57" i="32"/>
  <c r="J58" i="32" s="1"/>
  <c r="H57" i="32"/>
  <c r="H58" i="32" s="1"/>
  <c r="M57" i="32"/>
  <c r="M58" i="32" s="1"/>
  <c r="K57" i="32"/>
  <c r="K58" i="32" s="1"/>
  <c r="N57" i="32"/>
  <c r="N58" i="32" s="1"/>
  <c r="L57" i="32"/>
  <c r="L58" i="32" s="1"/>
  <c r="E58" i="32"/>
  <c r="F57" i="32"/>
  <c r="P53" i="24"/>
  <c r="Q53" i="24" s="1"/>
  <c r="J46" i="24"/>
  <c r="F58" i="24"/>
  <c r="P58" i="24" s="1"/>
  <c r="Q58" i="24" s="1"/>
  <c r="P57" i="24"/>
  <c r="Q57" i="24" s="1"/>
  <c r="AM152" i="21"/>
  <c r="V222" i="21"/>
  <c r="V194" i="21" s="1"/>
  <c r="E37" i="24" s="1"/>
  <c r="R222" i="21"/>
  <c r="R194" i="21" s="1"/>
  <c r="E33" i="24" s="1"/>
  <c r="T222" i="21"/>
  <c r="T194" i="21" s="1"/>
  <c r="E35" i="24" s="1"/>
  <c r="U161" i="21"/>
  <c r="U87" i="21"/>
  <c r="V61" i="21"/>
  <c r="V62" i="21" s="1"/>
  <c r="V67" i="21" s="1"/>
  <c r="V86" i="21" s="1"/>
  <c r="T87" i="21"/>
  <c r="T161" i="21"/>
  <c r="E28" i="24"/>
  <c r="E29" i="24"/>
  <c r="L41" i="22"/>
  <c r="O61" i="21"/>
  <c r="O62" i="21" s="1"/>
  <c r="O67" i="21" s="1"/>
  <c r="O86" i="21" s="1"/>
  <c r="H124" i="36"/>
  <c r="V188" i="21"/>
  <c r="V190" i="21" s="1"/>
  <c r="V143" i="21"/>
  <c r="V150" i="21" s="1"/>
  <c r="V151" i="21" s="1"/>
  <c r="V152" i="21" s="1"/>
  <c r="V159" i="21" s="1"/>
  <c r="T188" i="21"/>
  <c r="T190" i="21" s="1"/>
  <c r="T143" i="21"/>
  <c r="T150" i="21" s="1"/>
  <c r="T151" i="21" s="1"/>
  <c r="T152" i="21" s="1"/>
  <c r="T159" i="21" s="1"/>
  <c r="L29" i="59"/>
  <c r="M29" i="59"/>
  <c r="N29" i="59"/>
  <c r="H29" i="59"/>
  <c r="I29" i="59"/>
  <c r="F29" i="59"/>
  <c r="J29" i="59"/>
  <c r="K29" i="59"/>
  <c r="G29" i="59"/>
  <c r="J28" i="59"/>
  <c r="N28" i="59"/>
  <c r="F28" i="59"/>
  <c r="G28" i="59"/>
  <c r="H28" i="59"/>
  <c r="I28" i="59"/>
  <c r="M28" i="59"/>
  <c r="L28" i="59"/>
  <c r="K28" i="59"/>
  <c r="H41" i="22"/>
  <c r="G34" i="59"/>
  <c r="K34" i="59"/>
  <c r="L34" i="59"/>
  <c r="I34" i="59"/>
  <c r="M34" i="59"/>
  <c r="J34" i="59"/>
  <c r="F34" i="59"/>
  <c r="N34" i="59"/>
  <c r="H34" i="59"/>
  <c r="F41" i="22"/>
  <c r="P30" i="22"/>
  <c r="Q30" i="22" s="1"/>
  <c r="N207" i="21"/>
  <c r="S161" i="21"/>
  <c r="S87" i="21"/>
  <c r="E27" i="24"/>
  <c r="N60" i="21"/>
  <c r="W188" i="21"/>
  <c r="W190" i="21" s="1"/>
  <c r="W143" i="21"/>
  <c r="W150" i="21" s="1"/>
  <c r="P161" i="21"/>
  <c r="P87" i="21"/>
  <c r="L27" i="59"/>
  <c r="N27" i="59"/>
  <c r="G27" i="59"/>
  <c r="H27" i="59"/>
  <c r="F27" i="59"/>
  <c r="I27" i="59"/>
  <c r="J27" i="59"/>
  <c r="K27" i="59"/>
  <c r="M27" i="59"/>
  <c r="J41" i="22"/>
  <c r="W220" i="21"/>
  <c r="W222" i="21" s="1"/>
  <c r="W194" i="21" s="1"/>
  <c r="J38" i="59"/>
  <c r="G38" i="59"/>
  <c r="K38" i="59"/>
  <c r="H38" i="59"/>
  <c r="L38" i="59"/>
  <c r="N38" i="59"/>
  <c r="F38" i="59"/>
  <c r="M38" i="59"/>
  <c r="I38" i="59"/>
  <c r="G37" i="59"/>
  <c r="H37" i="59"/>
  <c r="F37" i="59"/>
  <c r="I37" i="59"/>
  <c r="K37" i="59"/>
  <c r="L37" i="59"/>
  <c r="M37" i="59"/>
  <c r="N37" i="59"/>
  <c r="J37" i="59"/>
  <c r="Q61" i="21"/>
  <c r="Q62" i="21" s="1"/>
  <c r="Q67" i="21" s="1"/>
  <c r="Q86" i="21" s="1"/>
  <c r="E39" i="59"/>
  <c r="H33" i="59"/>
  <c r="I33" i="59"/>
  <c r="J33" i="59"/>
  <c r="K33" i="59"/>
  <c r="L33" i="59"/>
  <c r="M33" i="59"/>
  <c r="N33" i="59"/>
  <c r="G33" i="59"/>
  <c r="F33" i="59"/>
  <c r="S143" i="21"/>
  <c r="S150" i="21" s="1"/>
  <c r="S151" i="21" s="1"/>
  <c r="S152" i="21" s="1"/>
  <c r="S159" i="21" s="1"/>
  <c r="S188" i="21"/>
  <c r="S190" i="21" s="1"/>
  <c r="N41" i="22"/>
  <c r="R188" i="21"/>
  <c r="R190" i="21" s="1"/>
  <c r="R143" i="21"/>
  <c r="R150" i="21" s="1"/>
  <c r="M41" i="22"/>
  <c r="H35" i="59"/>
  <c r="F35" i="59"/>
  <c r="K35" i="59"/>
  <c r="L35" i="59"/>
  <c r="M35" i="59"/>
  <c r="G35" i="59"/>
  <c r="N35" i="59"/>
  <c r="I35" i="59"/>
  <c r="J35" i="59"/>
  <c r="K41" i="22"/>
  <c r="N206" i="21"/>
  <c r="G41" i="22"/>
  <c r="S220" i="21"/>
  <c r="S222" i="21" s="1"/>
  <c r="S194" i="21" s="1"/>
  <c r="N188" i="21"/>
  <c r="N143" i="21"/>
  <c r="N220" i="21"/>
  <c r="W61" i="21"/>
  <c r="W62" i="21" s="1"/>
  <c r="W67" i="21" s="1"/>
  <c r="W86" i="21" s="1"/>
  <c r="G46" i="32"/>
  <c r="N189" i="21"/>
  <c r="O188" i="21"/>
  <c r="O190" i="21" s="1"/>
  <c r="O143" i="21"/>
  <c r="O150" i="21" s="1"/>
  <c r="O151" i="21" s="1"/>
  <c r="O152" i="21" s="1"/>
  <c r="O159" i="21" s="1"/>
  <c r="H36" i="59"/>
  <c r="L36" i="59"/>
  <c r="M36" i="59"/>
  <c r="N36" i="59"/>
  <c r="J36" i="59"/>
  <c r="F36" i="59"/>
  <c r="G36" i="59"/>
  <c r="K36" i="59"/>
  <c r="I36" i="59"/>
  <c r="P188" i="21"/>
  <c r="P190" i="21" s="1"/>
  <c r="P143" i="21"/>
  <c r="P150" i="21" s="1"/>
  <c r="R61" i="21"/>
  <c r="R62" i="21" s="1"/>
  <c r="R67" i="21" s="1"/>
  <c r="R86" i="21" s="1"/>
  <c r="I41" i="22"/>
  <c r="U188" i="21"/>
  <c r="U190" i="21" s="1"/>
  <c r="U143" i="21"/>
  <c r="U150" i="21" s="1"/>
  <c r="N72" i="21"/>
  <c r="Q188" i="21"/>
  <c r="Q190" i="21" s="1"/>
  <c r="Q197" i="21" s="1"/>
  <c r="Q143" i="21"/>
  <c r="Q150" i="21" s="1"/>
  <c r="U220" i="21"/>
  <c r="U222" i="21" s="1"/>
  <c r="U194" i="21" s="1"/>
  <c r="L46" i="32" l="1"/>
  <c r="M46" i="32"/>
  <c r="F46" i="32"/>
  <c r="L54" i="32"/>
  <c r="I54" i="32"/>
  <c r="M54" i="32"/>
  <c r="J54" i="32"/>
  <c r="J46" i="32"/>
  <c r="P52" i="32"/>
  <c r="Q52" i="32" s="1"/>
  <c r="I46" i="32"/>
  <c r="N46" i="32"/>
  <c r="P44" i="32"/>
  <c r="Q44" i="32" s="1"/>
  <c r="P46" i="36"/>
  <c r="Q46" i="36" s="1"/>
  <c r="H46" i="32"/>
  <c r="P45" i="32"/>
  <c r="Q45" i="32" s="1"/>
  <c r="F54" i="32"/>
  <c r="K46" i="32"/>
  <c r="K54" i="32"/>
  <c r="P54" i="36"/>
  <c r="Q54" i="36" s="1"/>
  <c r="N54" i="32"/>
  <c r="H57" i="36"/>
  <c r="H127" i="36" s="1"/>
  <c r="P53" i="32"/>
  <c r="Q53" i="32" s="1"/>
  <c r="K57" i="36"/>
  <c r="K127" i="36" s="1"/>
  <c r="G54" i="32"/>
  <c r="E127" i="36"/>
  <c r="L57" i="36"/>
  <c r="L127" i="36" s="1"/>
  <c r="G57" i="36"/>
  <c r="G58" i="36" s="1"/>
  <c r="G128" i="36" s="1"/>
  <c r="P51" i="32"/>
  <c r="Q51" i="32" s="1"/>
  <c r="J57" i="36"/>
  <c r="J58" i="36" s="1"/>
  <c r="J128" i="36" s="1"/>
  <c r="I57" i="36"/>
  <c r="I127" i="36" s="1"/>
  <c r="E58" i="36"/>
  <c r="E128" i="36" s="1"/>
  <c r="N57" i="36"/>
  <c r="N127" i="36" s="1"/>
  <c r="M57" i="36"/>
  <c r="M58" i="36" s="1"/>
  <c r="M128" i="36" s="1"/>
  <c r="H54" i="32"/>
  <c r="F58" i="36"/>
  <c r="F127" i="36"/>
  <c r="P46" i="24"/>
  <c r="Q46" i="24" s="1"/>
  <c r="AM215" i="21"/>
  <c r="P57" i="32"/>
  <c r="Q57" i="32" s="1"/>
  <c r="F58" i="32"/>
  <c r="P58" i="32" s="1"/>
  <c r="Q58" i="32" s="1"/>
  <c r="P54" i="24"/>
  <c r="Q54" i="24" s="1"/>
  <c r="T197" i="21"/>
  <c r="T198" i="21" s="1"/>
  <c r="T199" i="21" s="1"/>
  <c r="E35" i="36" s="1"/>
  <c r="R197" i="21"/>
  <c r="R198" i="21" s="1"/>
  <c r="J39" i="59"/>
  <c r="P27" i="59"/>
  <c r="Q27" i="59" s="1"/>
  <c r="U151" i="21"/>
  <c r="U152" i="21" s="1"/>
  <c r="U159" i="21" s="1"/>
  <c r="W151" i="21"/>
  <c r="W152" i="21" s="1"/>
  <c r="W159" i="21" s="1"/>
  <c r="E36" i="23"/>
  <c r="R87" i="21"/>
  <c r="R161" i="21"/>
  <c r="W87" i="21"/>
  <c r="W161" i="21"/>
  <c r="Q161" i="21"/>
  <c r="Q87" i="21"/>
  <c r="E38" i="23"/>
  <c r="N61" i="21"/>
  <c r="P28" i="59"/>
  <c r="Q28" i="59" s="1"/>
  <c r="Q198" i="21"/>
  <c r="Q199" i="21" s="1"/>
  <c r="E29" i="36" s="1"/>
  <c r="E27" i="23"/>
  <c r="N150" i="21"/>
  <c r="I39" i="59"/>
  <c r="E38" i="24"/>
  <c r="W197" i="21"/>
  <c r="F27" i="24"/>
  <c r="G27" i="24"/>
  <c r="L27" i="24"/>
  <c r="J27" i="24"/>
  <c r="N27" i="24"/>
  <c r="H27" i="24"/>
  <c r="I27" i="24"/>
  <c r="M27" i="24"/>
  <c r="K27" i="24"/>
  <c r="E26" i="59"/>
  <c r="N215" i="21"/>
  <c r="E37" i="23"/>
  <c r="O161" i="21"/>
  <c r="O87" i="21"/>
  <c r="E29" i="23"/>
  <c r="P151" i="21"/>
  <c r="P152" i="21" s="1"/>
  <c r="P159" i="21" s="1"/>
  <c r="F33" i="24"/>
  <c r="K33" i="24"/>
  <c r="G33" i="24"/>
  <c r="I33" i="24"/>
  <c r="M33" i="24"/>
  <c r="N33" i="24"/>
  <c r="H33" i="24"/>
  <c r="L33" i="24"/>
  <c r="J33" i="24"/>
  <c r="S197" i="21"/>
  <c r="E34" i="24"/>
  <c r="E33" i="23"/>
  <c r="F39" i="59"/>
  <c r="P33" i="59"/>
  <c r="Q33" i="59" s="1"/>
  <c r="L39" i="59"/>
  <c r="H39" i="59"/>
  <c r="P38" i="59"/>
  <c r="Q38" i="59" s="1"/>
  <c r="P29" i="59"/>
  <c r="Q29" i="59" s="1"/>
  <c r="F37" i="24"/>
  <c r="K37" i="24"/>
  <c r="H37" i="24"/>
  <c r="G37" i="24"/>
  <c r="L37" i="24"/>
  <c r="I37" i="24"/>
  <c r="M37" i="24"/>
  <c r="J37" i="24"/>
  <c r="N37" i="24"/>
  <c r="I29" i="24"/>
  <c r="M29" i="24"/>
  <c r="L29" i="24"/>
  <c r="J29" i="24"/>
  <c r="N29" i="24"/>
  <c r="F29" i="24"/>
  <c r="K29" i="24"/>
  <c r="G29" i="24"/>
  <c r="H29" i="24"/>
  <c r="J28" i="24"/>
  <c r="L28" i="24"/>
  <c r="F28" i="24"/>
  <c r="G28" i="24"/>
  <c r="I28" i="24"/>
  <c r="N28" i="24"/>
  <c r="H28" i="24"/>
  <c r="K28" i="24"/>
  <c r="M28" i="24"/>
  <c r="P36" i="59"/>
  <c r="Q36" i="59" s="1"/>
  <c r="N39" i="59"/>
  <c r="V161" i="21"/>
  <c r="V87" i="21"/>
  <c r="Q151" i="21"/>
  <c r="Q152" i="21" s="1"/>
  <c r="Q159" i="21" s="1"/>
  <c r="J35" i="24"/>
  <c r="N35" i="24"/>
  <c r="G35" i="24"/>
  <c r="F35" i="24"/>
  <c r="K35" i="24"/>
  <c r="H35" i="24"/>
  <c r="L35" i="24"/>
  <c r="I35" i="24"/>
  <c r="M35" i="24"/>
  <c r="N190" i="21"/>
  <c r="E26" i="58"/>
  <c r="N209" i="21"/>
  <c r="N214" i="21"/>
  <c r="P35" i="59"/>
  <c r="Q35" i="59" s="1"/>
  <c r="R151" i="21"/>
  <c r="R152" i="21" s="1"/>
  <c r="R159" i="21" s="1"/>
  <c r="E34" i="23"/>
  <c r="M39" i="59"/>
  <c r="P37" i="59"/>
  <c r="Q37" i="59" s="1"/>
  <c r="U197" i="21"/>
  <c r="E36" i="24"/>
  <c r="E28" i="23"/>
  <c r="G39" i="59"/>
  <c r="K39" i="59"/>
  <c r="O197" i="21"/>
  <c r="P41" i="22"/>
  <c r="Q41" i="22" s="1"/>
  <c r="P34" i="59"/>
  <c r="Q34" i="59" s="1"/>
  <c r="E35" i="23"/>
  <c r="V197" i="21"/>
  <c r="V198" i="21" s="1"/>
  <c r="P197" i="21"/>
  <c r="P198" i="21" s="1"/>
  <c r="N58" i="36" l="1"/>
  <c r="N128" i="36" s="1"/>
  <c r="P46" i="32"/>
  <c r="Q46" i="32" s="1"/>
  <c r="L58" i="36"/>
  <c r="L128" i="36" s="1"/>
  <c r="M127" i="36"/>
  <c r="H58" i="36"/>
  <c r="H128" i="36" s="1"/>
  <c r="J127" i="36"/>
  <c r="P54" i="32"/>
  <c r="Q54" i="32" s="1"/>
  <c r="I58" i="36"/>
  <c r="I128" i="36" s="1"/>
  <c r="K58" i="36"/>
  <c r="K128" i="36" s="1"/>
  <c r="P57" i="36"/>
  <c r="Q57" i="36" s="1"/>
  <c r="G127" i="36"/>
  <c r="F128" i="36"/>
  <c r="N62" i="21"/>
  <c r="N67" i="21" s="1"/>
  <c r="N86" i="21" s="1"/>
  <c r="G29" i="36"/>
  <c r="H29" i="36"/>
  <c r="K29" i="36"/>
  <c r="J29" i="36"/>
  <c r="I29" i="36"/>
  <c r="F29" i="36"/>
  <c r="E99" i="36"/>
  <c r="M29" i="36"/>
  <c r="N29" i="36"/>
  <c r="L29" i="36"/>
  <c r="O198" i="21"/>
  <c r="O199" i="21" s="1"/>
  <c r="E27" i="36" s="1"/>
  <c r="N217" i="21"/>
  <c r="W198" i="21"/>
  <c r="W199" i="21" s="1"/>
  <c r="E38" i="36" s="1"/>
  <c r="F29" i="23"/>
  <c r="K29" i="23"/>
  <c r="G29" i="23"/>
  <c r="H29" i="23"/>
  <c r="L29" i="23"/>
  <c r="I29" i="23"/>
  <c r="M29" i="23"/>
  <c r="J29" i="23"/>
  <c r="N29" i="23"/>
  <c r="G38" i="24"/>
  <c r="J38" i="24"/>
  <c r="N38" i="24"/>
  <c r="F38" i="24"/>
  <c r="H38" i="24"/>
  <c r="K38" i="24"/>
  <c r="L38" i="24"/>
  <c r="I38" i="24"/>
  <c r="M38" i="24"/>
  <c r="H27" i="23"/>
  <c r="N27" i="23"/>
  <c r="L27" i="23"/>
  <c r="J27" i="23"/>
  <c r="M27" i="23"/>
  <c r="F27" i="23"/>
  <c r="I27" i="23"/>
  <c r="G27" i="23"/>
  <c r="K27" i="23"/>
  <c r="P199" i="21"/>
  <c r="E28" i="36" s="1"/>
  <c r="E28" i="32"/>
  <c r="F35" i="23"/>
  <c r="I35" i="23"/>
  <c r="M35" i="23"/>
  <c r="K35" i="23"/>
  <c r="H35" i="23"/>
  <c r="L35" i="23"/>
  <c r="G35" i="23"/>
  <c r="J35" i="23"/>
  <c r="N35" i="23"/>
  <c r="H36" i="24"/>
  <c r="L36" i="24"/>
  <c r="F36" i="24"/>
  <c r="M36" i="24"/>
  <c r="J36" i="24"/>
  <c r="I36" i="24"/>
  <c r="G36" i="24"/>
  <c r="K36" i="24"/>
  <c r="N36" i="24"/>
  <c r="L26" i="58"/>
  <c r="L30" i="58" s="1"/>
  <c r="L41" i="58" s="1"/>
  <c r="K26" i="58"/>
  <c r="K30" i="58" s="1"/>
  <c r="K41" i="58" s="1"/>
  <c r="J26" i="58"/>
  <c r="J30" i="58" s="1"/>
  <c r="J41" i="58" s="1"/>
  <c r="M26" i="58"/>
  <c r="M30" i="58" s="1"/>
  <c r="M41" i="58" s="1"/>
  <c r="E30" i="58"/>
  <c r="E41" i="58" s="1"/>
  <c r="F26" i="58"/>
  <c r="N26" i="58"/>
  <c r="N30" i="58" s="1"/>
  <c r="N41" i="58" s="1"/>
  <c r="H26" i="58"/>
  <c r="H30" i="58" s="1"/>
  <c r="H41" i="58" s="1"/>
  <c r="I26" i="58"/>
  <c r="I30" i="58" s="1"/>
  <c r="I41" i="58" s="1"/>
  <c r="G26" i="58"/>
  <c r="G30" i="58" s="1"/>
  <c r="G41" i="58" s="1"/>
  <c r="E26" i="23"/>
  <c r="P39" i="59"/>
  <c r="Q39" i="59" s="1"/>
  <c r="I34" i="24"/>
  <c r="M34" i="24"/>
  <c r="J34" i="24"/>
  <c r="N34" i="24"/>
  <c r="G34" i="24"/>
  <c r="K34" i="24"/>
  <c r="F34" i="24"/>
  <c r="H34" i="24"/>
  <c r="L34" i="24"/>
  <c r="H37" i="23"/>
  <c r="K37" i="23"/>
  <c r="G37" i="23"/>
  <c r="N37" i="23"/>
  <c r="F37" i="23"/>
  <c r="L37" i="23"/>
  <c r="I37" i="23"/>
  <c r="M37" i="23"/>
  <c r="J37" i="23"/>
  <c r="L26" i="59"/>
  <c r="L30" i="59" s="1"/>
  <c r="L41" i="59" s="1"/>
  <c r="M26" i="59"/>
  <c r="M30" i="59" s="1"/>
  <c r="M41" i="59" s="1"/>
  <c r="N26" i="59"/>
  <c r="N30" i="59" s="1"/>
  <c r="N41" i="59" s="1"/>
  <c r="J26" i="59"/>
  <c r="J30" i="59" s="1"/>
  <c r="J41" i="59" s="1"/>
  <c r="E30" i="59"/>
  <c r="E41" i="59" s="1"/>
  <c r="G26" i="59"/>
  <c r="G30" i="59" s="1"/>
  <c r="G41" i="59" s="1"/>
  <c r="K26" i="59"/>
  <c r="K30" i="59" s="1"/>
  <c r="K41" i="59" s="1"/>
  <c r="F26" i="59"/>
  <c r="H26" i="59"/>
  <c r="H30" i="59" s="1"/>
  <c r="H41" i="59" s="1"/>
  <c r="I26" i="59"/>
  <c r="I30" i="59" s="1"/>
  <c r="I41" i="59" s="1"/>
  <c r="G38" i="23"/>
  <c r="K38" i="23"/>
  <c r="N38" i="23"/>
  <c r="H38" i="23"/>
  <c r="L38" i="23"/>
  <c r="I38" i="23"/>
  <c r="F38" i="23"/>
  <c r="J38" i="23"/>
  <c r="M38" i="23"/>
  <c r="L36" i="23"/>
  <c r="K36" i="23"/>
  <c r="H36" i="23"/>
  <c r="F36" i="23"/>
  <c r="G36" i="23"/>
  <c r="J36" i="23"/>
  <c r="N36" i="23"/>
  <c r="I36" i="23"/>
  <c r="M36" i="23"/>
  <c r="E33" i="32"/>
  <c r="S198" i="21"/>
  <c r="S199" i="21" s="1"/>
  <c r="E34" i="36" s="1"/>
  <c r="K35" i="36"/>
  <c r="E105" i="36"/>
  <c r="N35" i="36"/>
  <c r="I35" i="36"/>
  <c r="L35" i="36"/>
  <c r="J35" i="36"/>
  <c r="M35" i="36"/>
  <c r="F35" i="36"/>
  <c r="G35" i="36"/>
  <c r="H35" i="36"/>
  <c r="I34" i="23"/>
  <c r="F34" i="23"/>
  <c r="J34" i="23"/>
  <c r="M34" i="23"/>
  <c r="K34" i="23"/>
  <c r="N34" i="23"/>
  <c r="G34" i="23"/>
  <c r="L34" i="23"/>
  <c r="H34" i="23"/>
  <c r="P28" i="24"/>
  <c r="Q28" i="24" s="1"/>
  <c r="P37" i="24"/>
  <c r="Q37" i="24" s="1"/>
  <c r="F33" i="23"/>
  <c r="L33" i="23"/>
  <c r="J33" i="23"/>
  <c r="G33" i="23"/>
  <c r="E39" i="23"/>
  <c r="I33" i="23"/>
  <c r="M33" i="23"/>
  <c r="H33" i="23"/>
  <c r="N33" i="23"/>
  <c r="K33" i="23"/>
  <c r="V199" i="21"/>
  <c r="E37" i="36" s="1"/>
  <c r="E37" i="32"/>
  <c r="R199" i="21"/>
  <c r="E33" i="36" s="1"/>
  <c r="G28" i="23"/>
  <c r="K28" i="23"/>
  <c r="L28" i="23"/>
  <c r="H28" i="23"/>
  <c r="M28" i="23"/>
  <c r="J28" i="23"/>
  <c r="I28" i="23"/>
  <c r="F28" i="23"/>
  <c r="N28" i="23"/>
  <c r="U198" i="21"/>
  <c r="P35" i="24"/>
  <c r="Q35" i="24" s="1"/>
  <c r="P29" i="24"/>
  <c r="Q29" i="24" s="1"/>
  <c r="E35" i="32"/>
  <c r="E39" i="24"/>
  <c r="P33" i="24"/>
  <c r="Q33" i="24" s="1"/>
  <c r="P27" i="24"/>
  <c r="Q27" i="24" s="1"/>
  <c r="N151" i="21"/>
  <c r="E29" i="32"/>
  <c r="P58" i="36" l="1"/>
  <c r="Q58" i="36" s="1"/>
  <c r="J39" i="24"/>
  <c r="I39" i="24"/>
  <c r="F39" i="24"/>
  <c r="K39" i="24"/>
  <c r="G39" i="24"/>
  <c r="L39" i="24"/>
  <c r="M34" i="36"/>
  <c r="L34" i="36"/>
  <c r="G34" i="36"/>
  <c r="F34" i="36"/>
  <c r="N34" i="36"/>
  <c r="I34" i="36"/>
  <c r="H34" i="36"/>
  <c r="E104" i="36"/>
  <c r="K34" i="36"/>
  <c r="J34" i="36"/>
  <c r="E36" i="32"/>
  <c r="H37" i="32"/>
  <c r="L37" i="32"/>
  <c r="G37" i="32"/>
  <c r="I37" i="32"/>
  <c r="M37" i="32"/>
  <c r="J37" i="32"/>
  <c r="N37" i="32"/>
  <c r="K37" i="32"/>
  <c r="F37" i="32"/>
  <c r="M39" i="23"/>
  <c r="J39" i="23"/>
  <c r="G105" i="36"/>
  <c r="L105" i="36"/>
  <c r="K105" i="36"/>
  <c r="P36" i="23"/>
  <c r="Q36" i="23" s="1"/>
  <c r="F27" i="36"/>
  <c r="I27" i="36"/>
  <c r="G27" i="36"/>
  <c r="J27" i="36"/>
  <c r="E97" i="36"/>
  <c r="H27" i="36"/>
  <c r="N27" i="36"/>
  <c r="K27" i="36"/>
  <c r="L27" i="36"/>
  <c r="M27" i="36"/>
  <c r="N99" i="36"/>
  <c r="I99" i="36"/>
  <c r="M39" i="24"/>
  <c r="K39" i="23"/>
  <c r="I39" i="23"/>
  <c r="L39" i="23"/>
  <c r="F105" i="36"/>
  <c r="P35" i="36"/>
  <c r="Q35" i="36" s="1"/>
  <c r="I105" i="36"/>
  <c r="F30" i="59"/>
  <c r="P26" i="59"/>
  <c r="Q26" i="59" s="1"/>
  <c r="P34" i="24"/>
  <c r="Q34" i="24" s="1"/>
  <c r="F26" i="23"/>
  <c r="L26" i="23"/>
  <c r="E30" i="23"/>
  <c r="E41" i="23" s="1"/>
  <c r="G26" i="23"/>
  <c r="K26" i="23"/>
  <c r="I26" i="23"/>
  <c r="H26" i="23"/>
  <c r="J26" i="23"/>
  <c r="M26" i="23"/>
  <c r="N26" i="23"/>
  <c r="F30" i="58"/>
  <c r="P26" i="58"/>
  <c r="Q26" i="58" s="1"/>
  <c r="P35" i="23"/>
  <c r="Q35" i="23" s="1"/>
  <c r="M28" i="36"/>
  <c r="L28" i="36"/>
  <c r="G28" i="36"/>
  <c r="F28" i="36"/>
  <c r="N28" i="36"/>
  <c r="I28" i="36"/>
  <c r="H28" i="36"/>
  <c r="K28" i="36"/>
  <c r="J28" i="36"/>
  <c r="E98" i="36"/>
  <c r="N161" i="21"/>
  <c r="N87" i="21"/>
  <c r="P27" i="23"/>
  <c r="Q27" i="23" s="1"/>
  <c r="M99" i="36"/>
  <c r="J99" i="36"/>
  <c r="G99" i="36"/>
  <c r="N152" i="21"/>
  <c r="L37" i="36"/>
  <c r="I37" i="36"/>
  <c r="F37" i="36"/>
  <c r="E107" i="36"/>
  <c r="K37" i="36"/>
  <c r="J37" i="36"/>
  <c r="M37" i="36"/>
  <c r="H37" i="36"/>
  <c r="N37" i="36"/>
  <c r="G37" i="36"/>
  <c r="N39" i="23"/>
  <c r="P33" i="23"/>
  <c r="Q33" i="23" s="1"/>
  <c r="F39" i="23"/>
  <c r="P34" i="23"/>
  <c r="Q34" i="23" s="1"/>
  <c r="M105" i="36"/>
  <c r="N105" i="36"/>
  <c r="E34" i="32"/>
  <c r="P38" i="23"/>
  <c r="Q38" i="23" s="1"/>
  <c r="P36" i="24"/>
  <c r="Q36" i="24" s="1"/>
  <c r="P38" i="24"/>
  <c r="Q38" i="24" s="1"/>
  <c r="P29" i="23"/>
  <c r="Q29" i="23" s="1"/>
  <c r="H39" i="24"/>
  <c r="G38" i="36"/>
  <c r="F38" i="36"/>
  <c r="N38" i="36"/>
  <c r="I38" i="36"/>
  <c r="H38" i="36"/>
  <c r="E108" i="36"/>
  <c r="K38" i="36"/>
  <c r="J38" i="36"/>
  <c r="M38" i="36"/>
  <c r="L38" i="36"/>
  <c r="N221" i="21"/>
  <c r="K99" i="36"/>
  <c r="J29" i="32"/>
  <c r="M29" i="32"/>
  <c r="K29" i="32"/>
  <c r="N29" i="32"/>
  <c r="G29" i="32"/>
  <c r="F29" i="32"/>
  <c r="H29" i="32"/>
  <c r="I29" i="32"/>
  <c r="L29" i="32"/>
  <c r="H35" i="32"/>
  <c r="N35" i="32"/>
  <c r="G35" i="32"/>
  <c r="I35" i="32"/>
  <c r="L35" i="32"/>
  <c r="J35" i="32"/>
  <c r="F35" i="32"/>
  <c r="M35" i="32"/>
  <c r="K35" i="32"/>
  <c r="U199" i="21"/>
  <c r="E36" i="36" s="1"/>
  <c r="E39" i="36" s="1"/>
  <c r="E109" i="36" s="1"/>
  <c r="P28" i="23"/>
  <c r="Q28" i="23" s="1"/>
  <c r="N33" i="36"/>
  <c r="G33" i="36"/>
  <c r="M33" i="36"/>
  <c r="I33" i="36"/>
  <c r="F33" i="36"/>
  <c r="H33" i="36"/>
  <c r="K33" i="36"/>
  <c r="J33" i="36"/>
  <c r="L33" i="36"/>
  <c r="E103" i="36"/>
  <c r="H39" i="23"/>
  <c r="G39" i="23"/>
  <c r="H105" i="36"/>
  <c r="J105" i="36"/>
  <c r="J33" i="32"/>
  <c r="N33" i="32"/>
  <c r="F33" i="32"/>
  <c r="K33" i="32"/>
  <c r="G33" i="32"/>
  <c r="L33" i="32"/>
  <c r="H33" i="32"/>
  <c r="I33" i="32"/>
  <c r="M33" i="32"/>
  <c r="P37" i="23"/>
  <c r="Q37" i="23" s="1"/>
  <c r="N39" i="24"/>
  <c r="G28" i="32"/>
  <c r="L28" i="32"/>
  <c r="H28" i="32"/>
  <c r="K28" i="32"/>
  <c r="J28" i="32"/>
  <c r="M28" i="32"/>
  <c r="F28" i="32"/>
  <c r="I28" i="32"/>
  <c r="N28" i="32"/>
  <c r="E38" i="32"/>
  <c r="E27" i="32"/>
  <c r="L99" i="36"/>
  <c r="F99" i="36"/>
  <c r="P29" i="36"/>
  <c r="Q29" i="36" s="1"/>
  <c r="H99" i="36"/>
  <c r="P39" i="24" l="1"/>
  <c r="Q39" i="24" s="1"/>
  <c r="P33" i="32"/>
  <c r="Q33" i="32" s="1"/>
  <c r="G38" i="32"/>
  <c r="J38" i="32"/>
  <c r="N38" i="32"/>
  <c r="H38" i="32"/>
  <c r="K38" i="32"/>
  <c r="F38" i="32"/>
  <c r="L38" i="32"/>
  <c r="I38" i="32"/>
  <c r="M38" i="32"/>
  <c r="E39" i="32"/>
  <c r="L103" i="36"/>
  <c r="F103" i="36"/>
  <c r="P33" i="36"/>
  <c r="Q33" i="36" s="1"/>
  <c r="M103" i="36"/>
  <c r="H108" i="36"/>
  <c r="G108" i="36"/>
  <c r="I34" i="32"/>
  <c r="M34" i="32"/>
  <c r="G34" i="32"/>
  <c r="J34" i="32"/>
  <c r="N34" i="32"/>
  <c r="H34" i="32"/>
  <c r="K34" i="32"/>
  <c r="F34" i="32"/>
  <c r="L34" i="32"/>
  <c r="G107" i="36"/>
  <c r="J107" i="36"/>
  <c r="H98" i="36"/>
  <c r="G98" i="36"/>
  <c r="N30" i="23"/>
  <c r="N41" i="23" s="1"/>
  <c r="I30" i="23"/>
  <c r="I41" i="23" s="1"/>
  <c r="L30" i="23"/>
  <c r="L41" i="23" s="1"/>
  <c r="K97" i="36"/>
  <c r="J97" i="36"/>
  <c r="P37" i="32"/>
  <c r="Q37" i="32" s="1"/>
  <c r="P34" i="36"/>
  <c r="Q34" i="36" s="1"/>
  <c r="F104" i="36"/>
  <c r="J103" i="36"/>
  <c r="I103" i="36"/>
  <c r="G103" i="36"/>
  <c r="H36" i="36"/>
  <c r="H150" i="36" s="1"/>
  <c r="G36" i="36"/>
  <c r="G150" i="36" s="1"/>
  <c r="E106" i="36"/>
  <c r="J36" i="36"/>
  <c r="I36" i="36"/>
  <c r="I150" i="36" s="1"/>
  <c r="L36" i="36"/>
  <c r="L39" i="36" s="1"/>
  <c r="L109" i="36" s="1"/>
  <c r="K36" i="36"/>
  <c r="F36" i="36"/>
  <c r="F39" i="36" s="1"/>
  <c r="N36" i="36"/>
  <c r="N150" i="36" s="1"/>
  <c r="M36" i="36"/>
  <c r="M39" i="36" s="1"/>
  <c r="M109" i="36" s="1"/>
  <c r="P35" i="32"/>
  <c r="Q35" i="32" s="1"/>
  <c r="J108" i="36"/>
  <c r="I108" i="36"/>
  <c r="N107" i="36"/>
  <c r="K107" i="36"/>
  <c r="I107" i="36"/>
  <c r="N159" i="21"/>
  <c r="J98" i="36"/>
  <c r="I98" i="36"/>
  <c r="L98" i="36"/>
  <c r="P30" i="58"/>
  <c r="Q30" i="58" s="1"/>
  <c r="F41" i="58"/>
  <c r="M30" i="23"/>
  <c r="M41" i="23" s="1"/>
  <c r="K30" i="23"/>
  <c r="K41" i="23" s="1"/>
  <c r="P26" i="23"/>
  <c r="Q26" i="23" s="1"/>
  <c r="F30" i="23"/>
  <c r="F41" i="59"/>
  <c r="P30" i="59"/>
  <c r="Q30" i="59" s="1"/>
  <c r="N97" i="36"/>
  <c r="G97" i="36"/>
  <c r="H104" i="36"/>
  <c r="G104" i="36"/>
  <c r="I27" i="32"/>
  <c r="N27" i="32"/>
  <c r="J27" i="32"/>
  <c r="H27" i="32"/>
  <c r="K27" i="32"/>
  <c r="L27" i="32"/>
  <c r="G27" i="32"/>
  <c r="M27" i="32"/>
  <c r="F27" i="32"/>
  <c r="K103" i="36"/>
  <c r="N103" i="36"/>
  <c r="P29" i="32"/>
  <c r="Q29" i="32" s="1"/>
  <c r="L108" i="36"/>
  <c r="K108" i="36"/>
  <c r="N108" i="36"/>
  <c r="P39" i="23"/>
  <c r="Q39" i="23" s="1"/>
  <c r="H107" i="36"/>
  <c r="L107" i="36"/>
  <c r="K98" i="36"/>
  <c r="N98" i="36"/>
  <c r="M98" i="36"/>
  <c r="J30" i="23"/>
  <c r="J41" i="23" s="1"/>
  <c r="G30" i="23"/>
  <c r="G41" i="23" s="1"/>
  <c r="M97" i="36"/>
  <c r="H97" i="36"/>
  <c r="I97" i="36"/>
  <c r="J104" i="36"/>
  <c r="I104" i="36"/>
  <c r="L104" i="36"/>
  <c r="P28" i="32"/>
  <c r="Q28" i="32" s="1"/>
  <c r="H103" i="36"/>
  <c r="N222" i="21"/>
  <c r="M108" i="36"/>
  <c r="F108" i="36"/>
  <c r="P38" i="36"/>
  <c r="Q38" i="36" s="1"/>
  <c r="M107" i="36"/>
  <c r="P37" i="36"/>
  <c r="Q37" i="36" s="1"/>
  <c r="F107" i="36"/>
  <c r="F98" i="36"/>
  <c r="P28" i="36"/>
  <c r="Q28" i="36" s="1"/>
  <c r="H30" i="23"/>
  <c r="H41" i="23" s="1"/>
  <c r="L97" i="36"/>
  <c r="P27" i="36"/>
  <c r="Q27" i="36" s="1"/>
  <c r="F97" i="36"/>
  <c r="I36" i="32"/>
  <c r="N36" i="32"/>
  <c r="F36" i="32"/>
  <c r="K36" i="32"/>
  <c r="M36" i="32"/>
  <c r="G36" i="32"/>
  <c r="J36" i="32"/>
  <c r="H36" i="32"/>
  <c r="L36" i="32"/>
  <c r="K104" i="36"/>
  <c r="N104" i="36"/>
  <c r="M104" i="36"/>
  <c r="H39" i="36" l="1"/>
  <c r="H109" i="36" s="1"/>
  <c r="L39" i="32"/>
  <c r="G166" i="36"/>
  <c r="N194" i="21"/>
  <c r="G39" i="32"/>
  <c r="K106" i="36"/>
  <c r="J106" i="36"/>
  <c r="I166" i="36"/>
  <c r="J39" i="36"/>
  <c r="J109" i="36" s="1"/>
  <c r="P34" i="32"/>
  <c r="Q34" i="32" s="1"/>
  <c r="F109" i="36"/>
  <c r="N39" i="32"/>
  <c r="M39" i="32"/>
  <c r="K39" i="36"/>
  <c r="K109" i="36" s="1"/>
  <c r="F41" i="23"/>
  <c r="P30" i="23"/>
  <c r="Q30" i="23" s="1"/>
  <c r="M106" i="36"/>
  <c r="L106" i="36"/>
  <c r="J150" i="36"/>
  <c r="H39" i="32"/>
  <c r="M150" i="36"/>
  <c r="L150" i="36"/>
  <c r="J39" i="32"/>
  <c r="H166" i="36"/>
  <c r="N166" i="36"/>
  <c r="K150" i="36"/>
  <c r="P27" i="32"/>
  <c r="Q27" i="32" s="1"/>
  <c r="N106" i="36"/>
  <c r="G106" i="36"/>
  <c r="K39" i="32"/>
  <c r="P36" i="32"/>
  <c r="Q36" i="32" s="1"/>
  <c r="N39" i="36"/>
  <c r="N109" i="36" s="1"/>
  <c r="P41" i="59"/>
  <c r="Q41" i="59" s="1"/>
  <c r="P41" i="58"/>
  <c r="Q41" i="58" s="1"/>
  <c r="P36" i="36"/>
  <c r="Q36" i="36" s="1"/>
  <c r="F106" i="36"/>
  <c r="I106" i="36"/>
  <c r="H106" i="36"/>
  <c r="G39" i="36"/>
  <c r="G109" i="36" s="1"/>
  <c r="I39" i="36"/>
  <c r="I109" i="36" s="1"/>
  <c r="F150" i="36"/>
  <c r="I39" i="32"/>
  <c r="P38" i="32"/>
  <c r="Q38" i="32" s="1"/>
  <c r="F39" i="32"/>
  <c r="M166" i="36" l="1"/>
  <c r="P39" i="36"/>
  <c r="Q39" i="36" s="1"/>
  <c r="N197" i="21"/>
  <c r="E26" i="24"/>
  <c r="L166" i="36"/>
  <c r="P39" i="32"/>
  <c r="Q39" i="32" s="1"/>
  <c r="J166" i="36"/>
  <c r="E150" i="36"/>
  <c r="F166" i="36"/>
  <c r="P150" i="36"/>
  <c r="K166" i="36"/>
  <c r="P41" i="23"/>
  <c r="Q41" i="23" s="1"/>
  <c r="N198" i="21" l="1"/>
  <c r="N199" i="21" s="1"/>
  <c r="P166" i="36"/>
  <c r="H26" i="24"/>
  <c r="L26" i="24"/>
  <c r="E30" i="24"/>
  <c r="E41" i="24" s="1"/>
  <c r="I26" i="24"/>
  <c r="F26" i="24"/>
  <c r="J26" i="24"/>
  <c r="M26" i="24"/>
  <c r="G26" i="24"/>
  <c r="K26" i="24"/>
  <c r="N26" i="24"/>
  <c r="K30" i="24" l="1"/>
  <c r="K41" i="24" s="1"/>
  <c r="F30" i="24"/>
  <c r="P26" i="24"/>
  <c r="Q26" i="24" s="1"/>
  <c r="H30" i="24"/>
  <c r="H41" i="24" s="1"/>
  <c r="E26" i="36"/>
  <c r="G30" i="24"/>
  <c r="G41" i="24" s="1"/>
  <c r="I30" i="24"/>
  <c r="I41" i="24" s="1"/>
  <c r="E26" i="32"/>
  <c r="M30" i="24"/>
  <c r="M41" i="24" s="1"/>
  <c r="N30" i="24"/>
  <c r="N41" i="24" s="1"/>
  <c r="J30" i="24"/>
  <c r="J41" i="24" s="1"/>
  <c r="L30" i="24"/>
  <c r="L41" i="24" s="1"/>
  <c r="H26" i="32" l="1"/>
  <c r="L26" i="32"/>
  <c r="I26" i="32"/>
  <c r="M26" i="32"/>
  <c r="F26" i="32"/>
  <c r="J26" i="32"/>
  <c r="N26" i="32"/>
  <c r="G26" i="32"/>
  <c r="K26" i="32"/>
  <c r="E30" i="32"/>
  <c r="E41" i="32" s="1"/>
  <c r="F26" i="36"/>
  <c r="N26" i="36"/>
  <c r="M26" i="36"/>
  <c r="H26" i="36"/>
  <c r="G26" i="36"/>
  <c r="E96" i="36"/>
  <c r="J26" i="36"/>
  <c r="I26" i="36"/>
  <c r="E30" i="36"/>
  <c r="L26" i="36"/>
  <c r="K26" i="36"/>
  <c r="P30" i="24"/>
  <c r="Q30" i="24" s="1"/>
  <c r="F41" i="24"/>
  <c r="G96" i="36" l="1"/>
  <c r="G30" i="36"/>
  <c r="K30" i="32"/>
  <c r="K41" i="32" s="1"/>
  <c r="P26" i="32"/>
  <c r="Q26" i="32" s="1"/>
  <c r="F30" i="32"/>
  <c r="H30" i="32"/>
  <c r="H41" i="32" s="1"/>
  <c r="K96" i="36"/>
  <c r="K30" i="36"/>
  <c r="I30" i="36"/>
  <c r="I96" i="36"/>
  <c r="H96" i="36"/>
  <c r="H30" i="36"/>
  <c r="G30" i="32"/>
  <c r="G41" i="32" s="1"/>
  <c r="M30" i="32"/>
  <c r="M41" i="32" s="1"/>
  <c r="F30" i="36"/>
  <c r="P26" i="36"/>
  <c r="Q26" i="36" s="1"/>
  <c r="F96" i="36"/>
  <c r="P41" i="24"/>
  <c r="Q41" i="24" s="1"/>
  <c r="L96" i="36"/>
  <c r="L30" i="36"/>
  <c r="J96" i="36"/>
  <c r="J30" i="36"/>
  <c r="M30" i="36"/>
  <c r="M96" i="36"/>
  <c r="N30" i="32"/>
  <c r="N41" i="32" s="1"/>
  <c r="I30" i="32"/>
  <c r="I41" i="32" s="1"/>
  <c r="E41" i="36"/>
  <c r="E100" i="36"/>
  <c r="N30" i="36"/>
  <c r="N96" i="36"/>
  <c r="J30" i="32"/>
  <c r="J41" i="32" s="1"/>
  <c r="L30" i="32"/>
  <c r="L41" i="32" s="1"/>
  <c r="M41" i="36" l="1"/>
  <c r="M100" i="36"/>
  <c r="H100" i="36"/>
  <c r="H41" i="36"/>
  <c r="K41" i="36"/>
  <c r="K100" i="36"/>
  <c r="N100" i="36"/>
  <c r="N41" i="36"/>
  <c r="E111" i="36"/>
  <c r="I100" i="36"/>
  <c r="I41" i="36"/>
  <c r="G41" i="36"/>
  <c r="G100" i="36"/>
  <c r="L41" i="36"/>
  <c r="L100" i="36"/>
  <c r="F41" i="32"/>
  <c r="P30" i="32"/>
  <c r="Q30" i="32" s="1"/>
  <c r="J41" i="36"/>
  <c r="J100" i="36"/>
  <c r="P30" i="36"/>
  <c r="Q30" i="36" s="1"/>
  <c r="F41" i="36"/>
  <c r="F100" i="36"/>
  <c r="M111" i="36" l="1"/>
  <c r="J111" i="36"/>
  <c r="P41" i="32"/>
  <c r="Q41" i="32" s="1"/>
  <c r="G111" i="36"/>
  <c r="I111" i="36"/>
  <c r="H111" i="36"/>
  <c r="L111" i="36"/>
  <c r="F111" i="36"/>
  <c r="P41" i="36"/>
  <c r="Q41" i="36" s="1"/>
  <c r="N111" i="36"/>
  <c r="K111" i="36"/>
  <c r="G175" i="4" l="1"/>
  <c r="K175" i="4" l="1"/>
  <c r="F175" i="4" s="1"/>
  <c r="I18" i="21" s="1"/>
  <c r="I110" i="21" s="1"/>
  <c r="E96" i="3"/>
  <c r="E118" i="3" s="1"/>
  <c r="G126" i="4" s="1"/>
  <c r="E98" i="3"/>
  <c r="I255" i="17"/>
  <c r="I98" i="3"/>
  <c r="I96" i="3"/>
  <c r="I118" i="3" s="1"/>
  <c r="K126" i="4" s="1"/>
  <c r="E255" i="17"/>
  <c r="AK19" i="3"/>
  <c r="AL19" i="3" s="1"/>
  <c r="AK27" i="3"/>
  <c r="AL27" i="3" s="1"/>
  <c r="G125" i="4" l="1"/>
  <c r="G127" i="4"/>
  <c r="G128" i="4"/>
  <c r="D255" i="17"/>
  <c r="G130" i="4"/>
  <c r="K127" i="4"/>
  <c r="F127" i="4" s="1"/>
  <c r="J127" i="3" s="1"/>
  <c r="E18" i="21"/>
  <c r="K130" i="4"/>
  <c r="K125" i="4"/>
  <c r="F125" i="4" s="1"/>
  <c r="J125" i="3" s="1"/>
  <c r="K128" i="4"/>
  <c r="F128" i="4" s="1"/>
  <c r="J128" i="3" s="1"/>
  <c r="F126" i="4"/>
  <c r="J126" i="3" s="1"/>
  <c r="J18" i="21"/>
  <c r="J110" i="21" s="1"/>
  <c r="K18" i="21"/>
  <c r="K110" i="21" s="1"/>
  <c r="AL63" i="3"/>
  <c r="AK19" i="9"/>
  <c r="AL19" i="9" s="1"/>
  <c r="AK257" i="9" l="1"/>
  <c r="F130" i="4"/>
  <c r="J130" i="3" s="1"/>
  <c r="J132" i="3" s="1"/>
  <c r="J109" i="14" s="1"/>
  <c r="E110" i="21"/>
  <c r="AI110" i="21" s="1"/>
  <c r="AI18" i="21"/>
  <c r="AK18" i="6"/>
  <c r="AL18" i="6" s="1"/>
  <c r="AK26" i="9"/>
  <c r="AL26" i="9" s="1"/>
  <c r="AK16" i="9"/>
  <c r="AL16" i="9" s="1"/>
  <c r="I126" i="3"/>
  <c r="E127" i="3"/>
  <c r="AK18" i="9"/>
  <c r="AL18" i="9" s="1"/>
  <c r="I127" i="3"/>
  <c r="AL96" i="3"/>
  <c r="AL118" i="3"/>
  <c r="I128" i="3"/>
  <c r="AK19" i="6"/>
  <c r="AL19" i="6" s="1"/>
  <c r="I125" i="3"/>
  <c r="E128" i="3"/>
  <c r="AK25" i="6"/>
  <c r="AL25" i="6" s="1"/>
  <c r="AL98" i="3"/>
  <c r="AK13" i="6"/>
  <c r="AL13" i="6" s="1"/>
  <c r="AK26" i="6"/>
  <c r="AL26" i="6" s="1"/>
  <c r="E125" i="3"/>
  <c r="AK16" i="6"/>
  <c r="AL16" i="6" s="1"/>
  <c r="AK25" i="9"/>
  <c r="AL25" i="9" s="1"/>
  <c r="AK13" i="9"/>
  <c r="AL13" i="9" s="1"/>
  <c r="E126" i="3"/>
  <c r="AL255" i="16" l="1"/>
  <c r="E130" i="3"/>
  <c r="I130" i="3"/>
  <c r="D110" i="21"/>
  <c r="AL124" i="3"/>
  <c r="AL123" i="3"/>
  <c r="AK22" i="6"/>
  <c r="AL22" i="6" s="1"/>
  <c r="J101" i="14"/>
  <c r="J108" i="14"/>
  <c r="AL126" i="3"/>
  <c r="AL128" i="3"/>
  <c r="AL122" i="3"/>
  <c r="AK183" i="3"/>
  <c r="AK181" i="3"/>
  <c r="AL181" i="3" s="1"/>
  <c r="AK182" i="3"/>
  <c r="AL182" i="3" s="1"/>
  <c r="AL129" i="3"/>
  <c r="J142" i="3"/>
  <c r="J9" i="21" s="1"/>
  <c r="J25" i="19"/>
  <c r="I132" i="3"/>
  <c r="I108" i="14" s="1"/>
  <c r="AL127" i="3"/>
  <c r="AL260" i="16"/>
  <c r="AK175" i="3"/>
  <c r="AL175" i="3" s="1"/>
  <c r="AK138" i="3"/>
  <c r="AL138" i="3" s="1"/>
  <c r="AL171" i="3"/>
  <c r="AK179" i="3"/>
  <c r="AL179" i="3" s="1"/>
  <c r="AK178" i="3"/>
  <c r="AL178" i="3" s="1"/>
  <c r="AK31" i="9"/>
  <c r="AL31" i="9" s="1"/>
  <c r="AL130" i="3"/>
  <c r="AK151" i="3"/>
  <c r="AL151" i="3" s="1"/>
  <c r="AK184" i="3"/>
  <c r="AK31" i="6"/>
  <c r="AL31" i="6" s="1"/>
  <c r="AK22" i="9"/>
  <c r="AL22" i="9" s="1"/>
  <c r="E132" i="3"/>
  <c r="AK137" i="3"/>
  <c r="AL137" i="3" s="1"/>
  <c r="AL121" i="3"/>
  <c r="AL125" i="3"/>
  <c r="I101" i="14" l="1"/>
  <c r="AL99" i="9"/>
  <c r="AK140" i="3"/>
  <c r="AL140" i="3" s="1"/>
  <c r="L156" i="4"/>
  <c r="I142" i="3"/>
  <c r="K156" i="4" s="1"/>
  <c r="I109" i="14"/>
  <c r="I271" i="17"/>
  <c r="I273" i="7"/>
  <c r="I25" i="19"/>
  <c r="J101" i="21"/>
  <c r="AL132" i="3"/>
  <c r="E25" i="19"/>
  <c r="E108" i="14"/>
  <c r="E109" i="14"/>
  <c r="E271" i="17"/>
  <c r="E273" i="7"/>
  <c r="E101" i="14"/>
  <c r="E142" i="3"/>
  <c r="AL99" i="6"/>
  <c r="AK109" i="21"/>
  <c r="AN109" i="21" s="1"/>
  <c r="AK17" i="21"/>
  <c r="AN17" i="21" s="1"/>
  <c r="AL185" i="3"/>
  <c r="AL152" i="3"/>
  <c r="D25" i="19" l="1"/>
  <c r="AK25" i="19"/>
  <c r="AL25" i="19" s="1"/>
  <c r="I9" i="21"/>
  <c r="I101" i="21" s="1"/>
  <c r="D101" i="14"/>
  <c r="E101" i="13" s="1"/>
  <c r="D108" i="14"/>
  <c r="AL152" i="6"/>
  <c r="D273" i="7"/>
  <c r="AK110" i="21"/>
  <c r="AN110" i="21" s="1"/>
  <c r="AK18" i="21"/>
  <c r="AN18" i="21" s="1"/>
  <c r="AK118" i="9"/>
  <c r="AL118" i="9" s="1"/>
  <c r="AK117" i="9"/>
  <c r="AL117" i="9" s="1"/>
  <c r="D271" i="17"/>
  <c r="AL142" i="3"/>
  <c r="AK108" i="21"/>
  <c r="AN108" i="21" s="1"/>
  <c r="AK16" i="21"/>
  <c r="AN16" i="21" s="1"/>
  <c r="AK116" i="9"/>
  <c r="AL116" i="9" s="1"/>
  <c r="G156" i="4"/>
  <c r="E9" i="21"/>
  <c r="D109" i="14"/>
  <c r="AL269" i="9" l="1"/>
  <c r="AL249" i="9"/>
  <c r="E108" i="13"/>
  <c r="AL257" i="6"/>
  <c r="AL265" i="6"/>
  <c r="AL254" i="6"/>
  <c r="AL251" i="9"/>
  <c r="AL253" i="6"/>
  <c r="AL261" i="6"/>
  <c r="AL267" i="6"/>
  <c r="AL255" i="6"/>
  <c r="AL270" i="6"/>
  <c r="AL249" i="6"/>
  <c r="AL266" i="6"/>
  <c r="AL268" i="6"/>
  <c r="J109" i="13"/>
  <c r="I109" i="13"/>
  <c r="AK120" i="9"/>
  <c r="AL120" i="9" s="1"/>
  <c r="J271" i="16"/>
  <c r="J275" i="16" s="1"/>
  <c r="J277" i="16" s="1"/>
  <c r="I271" i="16"/>
  <c r="I275" i="16" s="1"/>
  <c r="I277" i="16" s="1"/>
  <c r="AL262" i="6"/>
  <c r="AL272" i="9"/>
  <c r="AL263" i="9"/>
  <c r="AL254" i="9"/>
  <c r="AL251" i="6"/>
  <c r="AL252" i="6"/>
  <c r="AL259" i="6"/>
  <c r="AL274" i="6"/>
  <c r="AL258" i="6"/>
  <c r="E101" i="21"/>
  <c r="AI101" i="21" s="1"/>
  <c r="J273" i="9"/>
  <c r="J277" i="9" s="1"/>
  <c r="J279" i="9" s="1"/>
  <c r="K273" i="9"/>
  <c r="K277" i="9" s="1"/>
  <c r="K279" i="9" s="1"/>
  <c r="J273" i="6"/>
  <c r="I273" i="6"/>
  <c r="I273" i="9"/>
  <c r="I277" i="9" s="1"/>
  <c r="I279" i="9" s="1"/>
  <c r="AL263" i="6"/>
  <c r="J101" i="13"/>
  <c r="I101" i="13"/>
  <c r="F156" i="4"/>
  <c r="E156" i="3" s="1"/>
  <c r="E273" i="9"/>
  <c r="E277" i="9" s="1"/>
  <c r="E279" i="9" s="1"/>
  <c r="AL243" i="6"/>
  <c r="AL256" i="6"/>
  <c r="E109" i="13"/>
  <c r="E271" i="16"/>
  <c r="E275" i="16" s="1"/>
  <c r="E277" i="16" s="1"/>
  <c r="AI9" i="21"/>
  <c r="E273" i="6"/>
  <c r="AL257" i="9"/>
  <c r="AL253" i="9"/>
  <c r="AL269" i="6"/>
  <c r="AL272" i="6"/>
  <c r="AL271" i="6"/>
  <c r="AL270" i="9"/>
  <c r="AL265" i="9"/>
  <c r="AL264" i="6"/>
  <c r="AL250" i="6"/>
  <c r="J108" i="13"/>
  <c r="I108" i="13"/>
  <c r="E112" i="13" l="1"/>
  <c r="E115" i="13" s="1"/>
  <c r="E116" i="13" s="1"/>
  <c r="E65" i="21" s="1"/>
  <c r="AL108" i="13"/>
  <c r="AL244" i="6"/>
  <c r="K281" i="9"/>
  <c r="K283" i="9" s="1"/>
  <c r="K285" i="9" s="1"/>
  <c r="D101" i="21"/>
  <c r="AK9" i="21"/>
  <c r="AN9" i="21" s="1"/>
  <c r="AL109" i="13"/>
  <c r="E11" i="21"/>
  <c r="I281" i="9"/>
  <c r="I283" i="9" s="1"/>
  <c r="I285" i="9" s="1"/>
  <c r="K169" i="4" s="1"/>
  <c r="J281" i="9"/>
  <c r="J283" i="9" s="1"/>
  <c r="J285" i="9" s="1"/>
  <c r="L169" i="4" s="1"/>
  <c r="AK101" i="21"/>
  <c r="AN101" i="21" s="1"/>
  <c r="AL273" i="9"/>
  <c r="AL262" i="9"/>
  <c r="AL273" i="16"/>
  <c r="I112" i="13"/>
  <c r="I115" i="13" s="1"/>
  <c r="I116" i="13" s="1"/>
  <c r="I65" i="21" s="1"/>
  <c r="I155" i="21" s="1"/>
  <c r="I206" i="21" s="1"/>
  <c r="I277" i="6"/>
  <c r="I279" i="6" s="1"/>
  <c r="I42" i="21"/>
  <c r="E281" i="9"/>
  <c r="E283" i="9" s="1"/>
  <c r="E285" i="9" s="1"/>
  <c r="G169" i="4" s="1"/>
  <c r="J156" i="3"/>
  <c r="I156" i="3"/>
  <c r="AL271" i="16"/>
  <c r="J112" i="13"/>
  <c r="J115" i="13" s="1"/>
  <c r="J116" i="13" s="1"/>
  <c r="J65" i="21" s="1"/>
  <c r="J42" i="21"/>
  <c r="J277" i="6"/>
  <c r="J279" i="6" s="1"/>
  <c r="AK122" i="9"/>
  <c r="AL122" i="9" s="1"/>
  <c r="E155" i="21" l="1"/>
  <c r="AI65" i="21"/>
  <c r="F169" i="4"/>
  <c r="K169" i="3" s="1"/>
  <c r="K172" i="3" s="1"/>
  <c r="J11" i="21"/>
  <c r="J76" i="21"/>
  <c r="AI76" i="21" s="1"/>
  <c r="E15" i="58"/>
  <c r="I214" i="21"/>
  <c r="J47" i="21"/>
  <c r="J49" i="21" s="1"/>
  <c r="J51" i="21" s="1"/>
  <c r="J130" i="21"/>
  <c r="AL275" i="9"/>
  <c r="AK129" i="21"/>
  <c r="AN129" i="21" s="1"/>
  <c r="AL152" i="9"/>
  <c r="AL243" i="9"/>
  <c r="AL275" i="16"/>
  <c r="AL277" i="16"/>
  <c r="E277" i="6"/>
  <c r="E279" i="6" s="1"/>
  <c r="E42" i="21"/>
  <c r="AI42" i="21" s="1"/>
  <c r="I11" i="21"/>
  <c r="AI11" i="21" s="1"/>
  <c r="I130" i="21"/>
  <c r="I47" i="21"/>
  <c r="I49" i="21" s="1"/>
  <c r="AL273" i="6"/>
  <c r="E103" i="21"/>
  <c r="E206" i="21" l="1"/>
  <c r="I169" i="3"/>
  <c r="I172" i="3" s="1"/>
  <c r="I12" i="21" s="1"/>
  <c r="I104" i="21" s="1"/>
  <c r="J169" i="3"/>
  <c r="J172" i="3" s="1"/>
  <c r="J12" i="21" s="1"/>
  <c r="J104" i="21" s="1"/>
  <c r="E169" i="3"/>
  <c r="E172" i="3" s="1"/>
  <c r="E193" i="3" s="1"/>
  <c r="E195" i="3" s="1"/>
  <c r="E197" i="3" s="1"/>
  <c r="E22" i="19" s="1"/>
  <c r="AL112" i="13"/>
  <c r="AL277" i="9"/>
  <c r="AL275" i="6"/>
  <c r="AL115" i="13"/>
  <c r="E47" i="21"/>
  <c r="E130" i="21"/>
  <c r="AI130" i="21" s="1"/>
  <c r="I177" i="21"/>
  <c r="I135" i="21"/>
  <c r="I137" i="21" s="1"/>
  <c r="I139" i="21" s="1"/>
  <c r="I103" i="21"/>
  <c r="H15" i="58"/>
  <c r="L15" i="58"/>
  <c r="M15" i="58"/>
  <c r="J15" i="58"/>
  <c r="F15" i="58"/>
  <c r="N15" i="58"/>
  <c r="I15" i="58"/>
  <c r="G15" i="58"/>
  <c r="K15" i="58"/>
  <c r="D76" i="21"/>
  <c r="AK76" i="21"/>
  <c r="F76" i="20"/>
  <c r="AL101" i="13"/>
  <c r="I51" i="21"/>
  <c r="AK176" i="21"/>
  <c r="AN176" i="21" s="1"/>
  <c r="J177" i="21"/>
  <c r="J135" i="21"/>
  <c r="J137" i="21" s="1"/>
  <c r="J139" i="21" s="1"/>
  <c r="J155" i="21"/>
  <c r="J206" i="21" s="1"/>
  <c r="J103" i="21"/>
  <c r="K193" i="3"/>
  <c r="K195" i="3" s="1"/>
  <c r="K197" i="3" s="1"/>
  <c r="K12" i="21"/>
  <c r="AI103" i="21" l="1"/>
  <c r="AI155" i="21"/>
  <c r="E10" i="58"/>
  <c r="AI206" i="21"/>
  <c r="E214" i="21"/>
  <c r="E49" i="21"/>
  <c r="AI47" i="21"/>
  <c r="I111" i="21"/>
  <c r="I113" i="21" s="1"/>
  <c r="E15" i="22" s="1"/>
  <c r="I15" i="22" s="1"/>
  <c r="I19" i="21"/>
  <c r="I21" i="21" s="1"/>
  <c r="I193" i="3"/>
  <c r="I195" i="3" s="1"/>
  <c r="I197" i="3" s="1"/>
  <c r="I22" i="19" s="1"/>
  <c r="J111" i="21"/>
  <c r="J113" i="21" s="1"/>
  <c r="E17" i="22" s="1"/>
  <c r="K17" i="22" s="1"/>
  <c r="E12" i="21"/>
  <c r="J19" i="21"/>
  <c r="J21" i="21" s="1"/>
  <c r="J193" i="3"/>
  <c r="J195" i="3" s="1"/>
  <c r="J197" i="3" s="1"/>
  <c r="J22" i="19" s="1"/>
  <c r="D103" i="21"/>
  <c r="K19" i="21"/>
  <c r="K21" i="21" s="1"/>
  <c r="K104" i="21"/>
  <c r="K111" i="21" s="1"/>
  <c r="K113" i="21" s="1"/>
  <c r="E20" i="22" s="1"/>
  <c r="E17" i="58"/>
  <c r="J214" i="21"/>
  <c r="J182" i="21"/>
  <c r="J184" i="21" s="1"/>
  <c r="J186" i="21" s="1"/>
  <c r="E17" i="27"/>
  <c r="P15" i="58"/>
  <c r="Q15" i="58" s="1"/>
  <c r="I182" i="21"/>
  <c r="I184" i="21" s="1"/>
  <c r="I186" i="21" s="1"/>
  <c r="E15" i="27"/>
  <c r="D130" i="21"/>
  <c r="E135" i="21"/>
  <c r="E177" i="21"/>
  <c r="AI177" i="21" s="1"/>
  <c r="AL277" i="6"/>
  <c r="AL279" i="9"/>
  <c r="AL281" i="9"/>
  <c r="F86" i="20"/>
  <c r="F155" i="20"/>
  <c r="E76" i="20"/>
  <c r="AL169" i="3"/>
  <c r="AL172" i="3"/>
  <c r="AL116" i="13"/>
  <c r="D86" i="21"/>
  <c r="D155" i="21"/>
  <c r="D206" i="21" s="1"/>
  <c r="AL156" i="3"/>
  <c r="G15" i="22" l="1"/>
  <c r="D22" i="19"/>
  <c r="E19" i="21"/>
  <c r="E21" i="21" s="1"/>
  <c r="AI12" i="21"/>
  <c r="AI19" i="21" s="1"/>
  <c r="E51" i="21"/>
  <c r="AI51" i="21" s="1"/>
  <c r="AK51" i="21" s="1"/>
  <c r="AN51" i="21" s="1"/>
  <c r="AI49" i="21"/>
  <c r="AK49" i="21" s="1"/>
  <c r="AN49" i="21" s="1"/>
  <c r="E137" i="21"/>
  <c r="AI135" i="21"/>
  <c r="AI214" i="21"/>
  <c r="E16" i="58"/>
  <c r="L10" i="58"/>
  <c r="L16" i="58" s="1"/>
  <c r="J10" i="58"/>
  <c r="J16" i="58" s="1"/>
  <c r="N10" i="58"/>
  <c r="N16" i="58" s="1"/>
  <c r="K10" i="58"/>
  <c r="K16" i="58" s="1"/>
  <c r="F10" i="58"/>
  <c r="I10" i="58"/>
  <c r="I16" i="58" s="1"/>
  <c r="G10" i="58"/>
  <c r="G16" i="58" s="1"/>
  <c r="H10" i="58"/>
  <c r="H16" i="58" s="1"/>
  <c r="M10" i="58"/>
  <c r="M16" i="58" s="1"/>
  <c r="AK22" i="19"/>
  <c r="F15" i="22"/>
  <c r="J15" i="22"/>
  <c r="N15" i="22"/>
  <c r="E67" i="22"/>
  <c r="K15" i="22"/>
  <c r="K67" i="22" s="1"/>
  <c r="H15" i="22"/>
  <c r="L15" i="22"/>
  <c r="M15" i="22"/>
  <c r="F17" i="22"/>
  <c r="F67" i="22" s="1"/>
  <c r="E104" i="21"/>
  <c r="M17" i="22"/>
  <c r="L17" i="22"/>
  <c r="N17" i="22"/>
  <c r="H17" i="22"/>
  <c r="H67" i="22" s="1"/>
  <c r="J17" i="22"/>
  <c r="G17" i="22"/>
  <c r="I17" i="22"/>
  <c r="F159" i="20"/>
  <c r="E155" i="20"/>
  <c r="F206" i="20"/>
  <c r="G18" i="26"/>
  <c r="G62" i="26" s="1"/>
  <c r="K18" i="26"/>
  <c r="K62" i="26" s="1"/>
  <c r="L18" i="26"/>
  <c r="L62" i="26" s="1"/>
  <c r="E182" i="21"/>
  <c r="E10" i="27"/>
  <c r="E16" i="27" s="1"/>
  <c r="K17" i="27"/>
  <c r="M17" i="27"/>
  <c r="I17" i="27"/>
  <c r="G17" i="27"/>
  <c r="L17" i="27"/>
  <c r="J17" i="27"/>
  <c r="N17" i="27"/>
  <c r="F17" i="27"/>
  <c r="H17" i="27"/>
  <c r="Q13" i="31"/>
  <c r="AK65" i="21"/>
  <c r="AN65" i="21" s="1"/>
  <c r="AL193" i="3"/>
  <c r="F87" i="20"/>
  <c r="E87" i="20" s="1"/>
  <c r="C87" i="20" s="1"/>
  <c r="AM87" i="21" s="1"/>
  <c r="F161" i="20"/>
  <c r="H18" i="26"/>
  <c r="H62" i="26" s="1"/>
  <c r="N18" i="26"/>
  <c r="N62" i="26" s="1"/>
  <c r="E18" i="26"/>
  <c r="K20" i="22"/>
  <c r="G20" i="22"/>
  <c r="I20" i="22"/>
  <c r="H20" i="22"/>
  <c r="N20" i="22"/>
  <c r="J20" i="22"/>
  <c r="M20" i="22"/>
  <c r="F20" i="22"/>
  <c r="L20" i="22"/>
  <c r="D214" i="21"/>
  <c r="AK130" i="21"/>
  <c r="AN130" i="21" s="1"/>
  <c r="Q13" i="58"/>
  <c r="I18" i="26"/>
  <c r="I62" i="26" s="1"/>
  <c r="AL279" i="6"/>
  <c r="D135" i="21"/>
  <c r="D137" i="21" s="1"/>
  <c r="D139" i="21" s="1"/>
  <c r="D177" i="21"/>
  <c r="D182" i="21" s="1"/>
  <c r="D184" i="21" s="1"/>
  <c r="D186" i="21" s="1"/>
  <c r="Q12" i="31"/>
  <c r="D161" i="21"/>
  <c r="D87" i="21"/>
  <c r="Q12" i="58"/>
  <c r="E86" i="20"/>
  <c r="E161" i="20" s="1"/>
  <c r="C76" i="20"/>
  <c r="J18" i="26"/>
  <c r="J62" i="26" s="1"/>
  <c r="M18" i="26"/>
  <c r="M62" i="26" s="1"/>
  <c r="M15" i="27"/>
  <c r="N15" i="27"/>
  <c r="H15" i="27"/>
  <c r="L15" i="27"/>
  <c r="J15" i="27"/>
  <c r="F15" i="27"/>
  <c r="K15" i="27"/>
  <c r="G15" i="27"/>
  <c r="I15" i="27"/>
  <c r="G17" i="58"/>
  <c r="N17" i="58"/>
  <c r="F17" i="58"/>
  <c r="L17" i="58"/>
  <c r="I17" i="58"/>
  <c r="J17" i="58"/>
  <c r="M17" i="58"/>
  <c r="H17" i="58"/>
  <c r="K17" i="58"/>
  <c r="G67" i="22" l="1"/>
  <c r="F16" i="58"/>
  <c r="P10" i="58"/>
  <c r="E139" i="21"/>
  <c r="AI139" i="21" s="1"/>
  <c r="AI137" i="21"/>
  <c r="D104" i="21"/>
  <c r="D111" i="21" s="1"/>
  <c r="D113" i="21" s="1"/>
  <c r="AI104" i="21"/>
  <c r="AK104" i="21" s="1"/>
  <c r="AN104" i="21" s="1"/>
  <c r="AK12" i="21"/>
  <c r="AN12" i="21" s="1"/>
  <c r="E184" i="21"/>
  <c r="AI182" i="21"/>
  <c r="N67" i="22"/>
  <c r="L67" i="22"/>
  <c r="M67" i="22"/>
  <c r="P15" i="22"/>
  <c r="Q15" i="22" s="1"/>
  <c r="E111" i="21"/>
  <c r="J67" i="22"/>
  <c r="P17" i="22"/>
  <c r="Q17" i="22" s="1"/>
  <c r="I67" i="22"/>
  <c r="P15" i="27"/>
  <c r="Q15" i="27" s="1"/>
  <c r="F15" i="62"/>
  <c r="F15" i="28"/>
  <c r="G15" i="28"/>
  <c r="G15" i="62"/>
  <c r="L15" i="28"/>
  <c r="L15" i="62"/>
  <c r="AM76" i="21"/>
  <c r="AN76" i="21" s="1"/>
  <c r="C86" i="20"/>
  <c r="Q16" i="26"/>
  <c r="F18" i="26"/>
  <c r="AK155" i="21"/>
  <c r="N17" i="28"/>
  <c r="N17" i="62"/>
  <c r="G17" i="62"/>
  <c r="G17" i="28"/>
  <c r="I10" i="27"/>
  <c r="I16" i="27" s="1"/>
  <c r="G10" i="27"/>
  <c r="G16" i="27" s="1"/>
  <c r="H10" i="27"/>
  <c r="H16" i="27" s="1"/>
  <c r="M10" i="27"/>
  <c r="M16" i="27" s="1"/>
  <c r="F10" i="27"/>
  <c r="F16" i="27" s="1"/>
  <c r="N10" i="27"/>
  <c r="N16" i="27" s="1"/>
  <c r="K10" i="27"/>
  <c r="K16" i="27" s="1"/>
  <c r="L10" i="27"/>
  <c r="L16" i="27" s="1"/>
  <c r="J10" i="27"/>
  <c r="J16" i="27" s="1"/>
  <c r="E159" i="20"/>
  <c r="C155" i="20"/>
  <c r="E206" i="20"/>
  <c r="K15" i="62"/>
  <c r="K15" i="28"/>
  <c r="H15" i="28"/>
  <c r="H15" i="62"/>
  <c r="AL283" i="9"/>
  <c r="AL285" i="9"/>
  <c r="J17" i="62"/>
  <c r="J17" i="28"/>
  <c r="I17" i="62"/>
  <c r="I17" i="28"/>
  <c r="AK103" i="21"/>
  <c r="N15" i="28"/>
  <c r="N15" i="62"/>
  <c r="AL32" i="13"/>
  <c r="AL195" i="3"/>
  <c r="H17" i="62"/>
  <c r="H17" i="28"/>
  <c r="M17" i="28"/>
  <c r="M17" i="62"/>
  <c r="P17" i="58"/>
  <c r="Q17" i="58" s="1"/>
  <c r="I15" i="28"/>
  <c r="I15" i="62"/>
  <c r="J15" i="62"/>
  <c r="J15" i="28"/>
  <c r="M15" i="62"/>
  <c r="M15" i="28"/>
  <c r="AK177" i="21"/>
  <c r="AN177" i="21" s="1"/>
  <c r="P20" i="22"/>
  <c r="Q20" i="22" s="1"/>
  <c r="E62" i="26"/>
  <c r="F17" i="62"/>
  <c r="P17" i="27"/>
  <c r="Q17" i="27" s="1"/>
  <c r="F17" i="28"/>
  <c r="L17" i="28"/>
  <c r="L17" i="62"/>
  <c r="K17" i="28"/>
  <c r="K17" i="62"/>
  <c r="F209" i="20"/>
  <c r="F214" i="20"/>
  <c r="F217" i="20" s="1"/>
  <c r="F221" i="20" s="1"/>
  <c r="F222" i="20" s="1"/>
  <c r="F194" i="20" s="1"/>
  <c r="AK11" i="21"/>
  <c r="AI21" i="21"/>
  <c r="AK21" i="21" s="1"/>
  <c r="AN21" i="21" s="1"/>
  <c r="E186" i="21" l="1"/>
  <c r="AI186" i="21" s="1"/>
  <c r="AI184" i="21"/>
  <c r="E113" i="21"/>
  <c r="AI111" i="21"/>
  <c r="Q10" i="58"/>
  <c r="P16" i="58"/>
  <c r="N67" i="62"/>
  <c r="P67" i="22"/>
  <c r="Q67" i="22" s="1"/>
  <c r="M67" i="62"/>
  <c r="I67" i="62"/>
  <c r="H67" i="62"/>
  <c r="E209" i="20"/>
  <c r="E214" i="20"/>
  <c r="E217" i="20" s="1"/>
  <c r="E221" i="20" s="1"/>
  <c r="E222" i="20" s="1"/>
  <c r="L10" i="28"/>
  <c r="L16" i="28" s="1"/>
  <c r="L10" i="62"/>
  <c r="F10" i="28"/>
  <c r="F16" i="28" s="1"/>
  <c r="F10" i="62"/>
  <c r="F16" i="62" s="1"/>
  <c r="P10" i="27"/>
  <c r="I10" i="28"/>
  <c r="I16" i="28" s="1"/>
  <c r="I10" i="62"/>
  <c r="AN11" i="21"/>
  <c r="AK19" i="21"/>
  <c r="AN19" i="21" s="1"/>
  <c r="P17" i="28"/>
  <c r="E17" i="28"/>
  <c r="AL197" i="3"/>
  <c r="AM155" i="21"/>
  <c r="AN155" i="21" s="1"/>
  <c r="C159" i="20"/>
  <c r="AM159" i="21" s="1"/>
  <c r="C206" i="20"/>
  <c r="K10" i="28"/>
  <c r="K16" i="28" s="1"/>
  <c r="K10" i="62"/>
  <c r="M10" i="28"/>
  <c r="M16" i="28" s="1"/>
  <c r="M10" i="62"/>
  <c r="AK206" i="21"/>
  <c r="L67" i="62"/>
  <c r="E15" i="28"/>
  <c r="P15" i="28"/>
  <c r="N10" i="28"/>
  <c r="N16" i="28" s="1"/>
  <c r="N10" i="62"/>
  <c r="H10" i="62"/>
  <c r="H10" i="28"/>
  <c r="H16" i="28" s="1"/>
  <c r="P15" i="62"/>
  <c r="E15" i="62"/>
  <c r="F67" i="62"/>
  <c r="F197" i="20"/>
  <c r="E194" i="20"/>
  <c r="C194" i="20" s="1"/>
  <c r="AM194" i="21" s="1"/>
  <c r="E17" i="62"/>
  <c r="P17" i="62"/>
  <c r="J67" i="62"/>
  <c r="AL34" i="13"/>
  <c r="AN103" i="21"/>
  <c r="AK111" i="21"/>
  <c r="AN111" i="21" s="1"/>
  <c r="K67" i="62"/>
  <c r="J10" i="28"/>
  <c r="J16" i="28" s="1"/>
  <c r="J10" i="62"/>
  <c r="G10" i="28"/>
  <c r="G16" i="28" s="1"/>
  <c r="G10" i="62"/>
  <c r="P18" i="26"/>
  <c r="Q18" i="26" s="1"/>
  <c r="F62" i="26"/>
  <c r="P62" i="26" s="1"/>
  <c r="Q62" i="26" s="1"/>
  <c r="AM86" i="21"/>
  <c r="C161" i="20"/>
  <c r="AM161" i="21" s="1"/>
  <c r="G67" i="62"/>
  <c r="H66" i="62" l="1"/>
  <c r="H69" i="62" s="1"/>
  <c r="H16" i="62"/>
  <c r="I66" i="62"/>
  <c r="I69" i="62" s="1"/>
  <c r="I16" i="62"/>
  <c r="K66" i="62"/>
  <c r="K69" i="62" s="1"/>
  <c r="K16" i="62"/>
  <c r="L66" i="62"/>
  <c r="L69" i="62" s="1"/>
  <c r="L16" i="62"/>
  <c r="N66" i="62"/>
  <c r="N69" i="62" s="1"/>
  <c r="N16" i="62"/>
  <c r="Q10" i="27"/>
  <c r="P16" i="27"/>
  <c r="G66" i="62"/>
  <c r="G69" i="62" s="1"/>
  <c r="G16" i="62"/>
  <c r="J66" i="62"/>
  <c r="J69" i="62" s="1"/>
  <c r="J16" i="62"/>
  <c r="E10" i="22"/>
  <c r="AI113" i="21"/>
  <c r="AK113" i="21" s="1"/>
  <c r="AN113" i="21" s="1"/>
  <c r="M66" i="62"/>
  <c r="M69" i="62" s="1"/>
  <c r="M16" i="62"/>
  <c r="Q17" i="62"/>
  <c r="Q15" i="28"/>
  <c r="E197" i="20"/>
  <c r="C197" i="20" s="1"/>
  <c r="AM197" i="21" s="1"/>
  <c r="F198" i="20"/>
  <c r="E198" i="20" s="1"/>
  <c r="C198" i="20" s="1"/>
  <c r="AM198" i="21" s="1"/>
  <c r="K18" i="27"/>
  <c r="K62" i="27" s="1"/>
  <c r="K18" i="28"/>
  <c r="K62" i="28" s="1"/>
  <c r="AK214" i="21"/>
  <c r="P10" i="62"/>
  <c r="P16" i="62" s="1"/>
  <c r="F66" i="62"/>
  <c r="E10" i="62"/>
  <c r="E16" i="62" s="1"/>
  <c r="AL36" i="13"/>
  <c r="P67" i="62"/>
  <c r="G18" i="27"/>
  <c r="G62" i="27" s="1"/>
  <c r="G18" i="28"/>
  <c r="G62" i="28" s="1"/>
  <c r="J18" i="27"/>
  <c r="J62" i="27" s="1"/>
  <c r="J18" i="28"/>
  <c r="J62" i="28" s="1"/>
  <c r="M18" i="27"/>
  <c r="M62" i="27" s="1"/>
  <c r="M18" i="28"/>
  <c r="M62" i="28" s="1"/>
  <c r="AL22" i="19"/>
  <c r="Q17" i="28"/>
  <c r="P10" i="28"/>
  <c r="P16" i="28" s="1"/>
  <c r="E10" i="28"/>
  <c r="E16" i="28" s="1"/>
  <c r="Q15" i="62"/>
  <c r="E67" i="62"/>
  <c r="H18" i="27"/>
  <c r="H62" i="27" s="1"/>
  <c r="H18" i="28"/>
  <c r="H62" i="28" s="1"/>
  <c r="I18" i="27"/>
  <c r="I62" i="27" s="1"/>
  <c r="I18" i="28"/>
  <c r="I62" i="28" s="1"/>
  <c r="L18" i="27"/>
  <c r="L62" i="27" s="1"/>
  <c r="L18" i="28"/>
  <c r="L62" i="28" s="1"/>
  <c r="AM206" i="21"/>
  <c r="AN206" i="21" s="1"/>
  <c r="C214" i="20"/>
  <c r="C209" i="20"/>
  <c r="AM209" i="21" s="1"/>
  <c r="E18" i="27"/>
  <c r="N18" i="27"/>
  <c r="N62" i="27" s="1"/>
  <c r="N18" i="28"/>
  <c r="N62" i="28" s="1"/>
  <c r="L18" i="58"/>
  <c r="L62" i="58" s="1"/>
  <c r="L16" i="60" s="1"/>
  <c r="I18" i="58"/>
  <c r="I62" i="58" s="1"/>
  <c r="I16" i="60" s="1"/>
  <c r="G18" i="58"/>
  <c r="G62" i="58" s="1"/>
  <c r="G16" i="60" s="1"/>
  <c r="N18" i="58"/>
  <c r="N62" i="58" s="1"/>
  <c r="N16" i="60" s="1"/>
  <c r="M18" i="58"/>
  <c r="M62" i="58" s="1"/>
  <c r="M16" i="60" s="1"/>
  <c r="K18" i="58"/>
  <c r="K62" i="58" s="1"/>
  <c r="K16" i="60" s="1"/>
  <c r="H18" i="58"/>
  <c r="H62" i="58" s="1"/>
  <c r="H16" i="60" s="1"/>
  <c r="J18" i="58"/>
  <c r="J62" i="58" s="1"/>
  <c r="J16" i="60" s="1"/>
  <c r="J10" i="22" l="1"/>
  <c r="E16" i="22"/>
  <c r="M10" i="22"/>
  <c r="N10" i="22"/>
  <c r="G10" i="22"/>
  <c r="F10" i="22"/>
  <c r="I10" i="22"/>
  <c r="H10" i="22"/>
  <c r="K10" i="22"/>
  <c r="L10" i="22"/>
  <c r="E66" i="22"/>
  <c r="E69" i="22" s="1"/>
  <c r="Q12" i="28"/>
  <c r="Q12" i="62"/>
  <c r="Q67" i="62"/>
  <c r="Q11" i="58"/>
  <c r="P66" i="62"/>
  <c r="F69" i="62"/>
  <c r="P69" i="62" s="1"/>
  <c r="E18" i="58"/>
  <c r="Q13" i="62"/>
  <c r="AL47" i="13"/>
  <c r="F199" i="20"/>
  <c r="E199" i="20" s="1"/>
  <c r="C199" i="20" s="1"/>
  <c r="AM199" i="21" s="1"/>
  <c r="U16" i="60"/>
  <c r="E62" i="27"/>
  <c r="Q16" i="27"/>
  <c r="F18" i="27"/>
  <c r="AM214" i="21"/>
  <c r="AN214" i="21" s="1"/>
  <c r="C217" i="20"/>
  <c r="Q10" i="28"/>
  <c r="J15" i="19"/>
  <c r="J17" i="19"/>
  <c r="J59" i="21" s="1"/>
  <c r="J13" i="19"/>
  <c r="J54" i="21" s="1"/>
  <c r="J142" i="21" s="1"/>
  <c r="J189" i="21" s="1"/>
  <c r="J11" i="19"/>
  <c r="J53" i="21" s="1"/>
  <c r="E15" i="19"/>
  <c r="E19" i="19"/>
  <c r="I15" i="19"/>
  <c r="E11" i="19"/>
  <c r="I17" i="19"/>
  <c r="I59" i="21" s="1"/>
  <c r="E17" i="19"/>
  <c r="I13" i="19"/>
  <c r="I54" i="21" s="1"/>
  <c r="E13" i="19"/>
  <c r="I11" i="19"/>
  <c r="I53" i="21" s="1"/>
  <c r="E66" i="62"/>
  <c r="Q10" i="62"/>
  <c r="Q13" i="28"/>
  <c r="L66" i="22" l="1"/>
  <c r="L69" i="22" s="1"/>
  <c r="L16" i="22"/>
  <c r="L18" i="22" s="1"/>
  <c r="L62" i="22" s="1"/>
  <c r="L9" i="60" s="1"/>
  <c r="L35" i="60" s="1"/>
  <c r="H66" i="22"/>
  <c r="H69" i="22" s="1"/>
  <c r="H16" i="22"/>
  <c r="H18" i="22" s="1"/>
  <c r="H62" i="22" s="1"/>
  <c r="H9" i="60" s="1"/>
  <c r="I66" i="22"/>
  <c r="I69" i="22" s="1"/>
  <c r="I16" i="22"/>
  <c r="I18" i="22" s="1"/>
  <c r="I62" i="22" s="1"/>
  <c r="I9" i="60" s="1"/>
  <c r="I35" i="60" s="1"/>
  <c r="F16" i="22"/>
  <c r="P10" i="22"/>
  <c r="F66" i="22"/>
  <c r="K66" i="22"/>
  <c r="K69" i="22" s="1"/>
  <c r="K16" i="22"/>
  <c r="K18" i="22" s="1"/>
  <c r="K62" i="22" s="1"/>
  <c r="K9" i="60" s="1"/>
  <c r="K35" i="60" s="1"/>
  <c r="G66" i="22"/>
  <c r="G69" i="22" s="1"/>
  <c r="G16" i="22"/>
  <c r="G18" i="22" s="1"/>
  <c r="G62" i="22" s="1"/>
  <c r="G9" i="60" s="1"/>
  <c r="G35" i="60" s="1"/>
  <c r="J66" i="22"/>
  <c r="J69" i="22" s="1"/>
  <c r="J16" i="22"/>
  <c r="J18" i="22" s="1"/>
  <c r="J62" i="22" s="1"/>
  <c r="J9" i="60" s="1"/>
  <c r="J35" i="60" s="1"/>
  <c r="N66" i="22"/>
  <c r="N69" i="22" s="1"/>
  <c r="N16" i="22"/>
  <c r="N18" i="22" s="1"/>
  <c r="N62" i="22" s="1"/>
  <c r="N9" i="60" s="1"/>
  <c r="N35" i="60" s="1"/>
  <c r="M66" i="22"/>
  <c r="M69" i="22" s="1"/>
  <c r="M16" i="22"/>
  <c r="M18" i="22" s="1"/>
  <c r="M62" i="22" s="1"/>
  <c r="M9" i="60" s="1"/>
  <c r="M35" i="60" s="1"/>
  <c r="E54" i="21"/>
  <c r="AK13" i="19"/>
  <c r="AL13" i="19" s="1"/>
  <c r="E57" i="21"/>
  <c r="AK15" i="19"/>
  <c r="AL15" i="19" s="1"/>
  <c r="E59" i="21"/>
  <c r="AI59" i="21" s="1"/>
  <c r="AK59" i="21" s="1"/>
  <c r="AN59" i="21" s="1"/>
  <c r="AK17" i="19"/>
  <c r="AL17" i="19" s="1"/>
  <c r="E53" i="21"/>
  <c r="AI53" i="21" s="1"/>
  <c r="AK53" i="21" s="1"/>
  <c r="AK11" i="19"/>
  <c r="AL11" i="19" s="1"/>
  <c r="I57" i="21"/>
  <c r="J55" i="21"/>
  <c r="J141" i="21"/>
  <c r="E18" i="22"/>
  <c r="E62" i="58"/>
  <c r="I147" i="21"/>
  <c r="AK45" i="21"/>
  <c r="AN45" i="21" s="1"/>
  <c r="Q66" i="62"/>
  <c r="E69" i="62"/>
  <c r="Q69" i="62" s="1"/>
  <c r="I142" i="21"/>
  <c r="I189" i="21" s="1"/>
  <c r="I19" i="19"/>
  <c r="E66" i="21"/>
  <c r="J147" i="21"/>
  <c r="H35" i="60"/>
  <c r="F18" i="28"/>
  <c r="Q16" i="58"/>
  <c r="F18" i="58"/>
  <c r="I55" i="21"/>
  <c r="I141" i="21"/>
  <c r="J57" i="21"/>
  <c r="J71" i="21" s="1"/>
  <c r="J72" i="21" s="1"/>
  <c r="C221" i="20"/>
  <c r="AM217" i="21"/>
  <c r="P18" i="27"/>
  <c r="Q18" i="27" s="1"/>
  <c r="F62" i="27"/>
  <c r="P62" i="27" s="1"/>
  <c r="Q62" i="27" s="1"/>
  <c r="Q11" i="28"/>
  <c r="U9" i="60" l="1"/>
  <c r="Q10" i="22"/>
  <c r="P16" i="22"/>
  <c r="Q16" i="22" s="1"/>
  <c r="P66" i="22"/>
  <c r="Q66" i="22" s="1"/>
  <c r="F69" i="22"/>
  <c r="P69" i="22" s="1"/>
  <c r="Q69" i="22" s="1"/>
  <c r="E55" i="21"/>
  <c r="E60" i="21" s="1"/>
  <c r="E61" i="21" s="1"/>
  <c r="E141" i="21"/>
  <c r="AI141" i="21" s="1"/>
  <c r="AK141" i="21" s="1"/>
  <c r="AN141" i="21" s="1"/>
  <c r="E156" i="21"/>
  <c r="E207" i="21" s="1"/>
  <c r="E71" i="21"/>
  <c r="AI57" i="21"/>
  <c r="AK57" i="21" s="1"/>
  <c r="AN57" i="21" s="1"/>
  <c r="E147" i="21"/>
  <c r="AI147" i="21" s="1"/>
  <c r="AK147" i="21" s="1"/>
  <c r="AN147" i="21" s="1"/>
  <c r="E142" i="21"/>
  <c r="D142" i="21" s="1"/>
  <c r="D189" i="21" s="1"/>
  <c r="AI54" i="21"/>
  <c r="AK54" i="21" s="1"/>
  <c r="AN54" i="21" s="1"/>
  <c r="I60" i="21"/>
  <c r="I61" i="21" s="1"/>
  <c r="I62" i="21" s="1"/>
  <c r="C222" i="20"/>
  <c r="AM222" i="21" s="1"/>
  <c r="AM221" i="21"/>
  <c r="P18" i="58"/>
  <c r="Q18" i="58" s="1"/>
  <c r="F62" i="58"/>
  <c r="U35" i="60"/>
  <c r="AK133" i="21"/>
  <c r="AN133" i="21" s="1"/>
  <c r="J143" i="21"/>
  <c r="J150" i="21" s="1"/>
  <c r="J188" i="21"/>
  <c r="J190" i="21" s="1"/>
  <c r="E17" i="23" s="1"/>
  <c r="I143" i="21"/>
  <c r="I150" i="21" s="1"/>
  <c r="I188" i="21"/>
  <c r="I190" i="21" s="1"/>
  <c r="E15" i="23" s="1"/>
  <c r="F18" i="22"/>
  <c r="AN53" i="21"/>
  <c r="F62" i="28"/>
  <c r="P62" i="28" s="1"/>
  <c r="P18" i="28"/>
  <c r="J220" i="21"/>
  <c r="J19" i="19"/>
  <c r="J66" i="21" s="1"/>
  <c r="J156" i="21" s="1"/>
  <c r="J207" i="21" s="1"/>
  <c r="I66" i="21"/>
  <c r="I156" i="21" s="1"/>
  <c r="I207" i="21" s="1"/>
  <c r="I71" i="21"/>
  <c r="I72" i="21" s="1"/>
  <c r="E18" i="28"/>
  <c r="Q16" i="28"/>
  <c r="J60" i="21"/>
  <c r="AK47" i="21"/>
  <c r="AN47" i="21" s="1"/>
  <c r="I220" i="21"/>
  <c r="E16" i="60"/>
  <c r="E62" i="22"/>
  <c r="D141" i="21" l="1"/>
  <c r="D188" i="21" s="1"/>
  <c r="D190" i="21" s="1"/>
  <c r="E188" i="21"/>
  <c r="AI188" i="21" s="1"/>
  <c r="AK188" i="21" s="1"/>
  <c r="AN188" i="21" s="1"/>
  <c r="E143" i="21"/>
  <c r="E150" i="21" s="1"/>
  <c r="AI150" i="21" s="1"/>
  <c r="AI55" i="21"/>
  <c r="AK55" i="21"/>
  <c r="AN55" i="21" s="1"/>
  <c r="E220" i="21"/>
  <c r="AI220" i="21" s="1"/>
  <c r="AK220" i="21" s="1"/>
  <c r="AN220" i="21" s="1"/>
  <c r="D147" i="21"/>
  <c r="D220" i="21" s="1"/>
  <c r="AI60" i="21"/>
  <c r="AK60" i="21" s="1"/>
  <c r="E62" i="21"/>
  <c r="E72" i="21"/>
  <c r="AI72" i="21" s="1"/>
  <c r="AK72" i="21" s="1"/>
  <c r="AN72" i="21" s="1"/>
  <c r="AI71" i="21"/>
  <c r="AK71" i="21" s="1"/>
  <c r="AN71" i="21" s="1"/>
  <c r="AI207" i="21"/>
  <c r="AI66" i="21"/>
  <c r="AI156" i="21"/>
  <c r="AI142" i="21"/>
  <c r="AK142" i="21" s="1"/>
  <c r="AN142" i="21" s="1"/>
  <c r="E189" i="21"/>
  <c r="AI189" i="21" s="1"/>
  <c r="AK189" i="21" s="1"/>
  <c r="AN189" i="21" s="1"/>
  <c r="AK19" i="19"/>
  <c r="I67" i="21"/>
  <c r="I86" i="21" s="1"/>
  <c r="I87" i="21" s="1"/>
  <c r="E62" i="28"/>
  <c r="Q62" i="28" s="1"/>
  <c r="Q18" i="28"/>
  <c r="P18" i="22"/>
  <c r="Q18" i="22" s="1"/>
  <c r="F62" i="22"/>
  <c r="L15" i="23"/>
  <c r="G15" i="23"/>
  <c r="J15" i="23"/>
  <c r="K15" i="23"/>
  <c r="M15" i="23"/>
  <c r="I15" i="23"/>
  <c r="H15" i="23"/>
  <c r="N15" i="23"/>
  <c r="F15" i="23"/>
  <c r="AK180" i="21"/>
  <c r="AN180" i="21" s="1"/>
  <c r="I151" i="21"/>
  <c r="I152" i="21" s="1"/>
  <c r="I159" i="21" s="1"/>
  <c r="K17" i="23"/>
  <c r="J17" i="23"/>
  <c r="H17" i="23"/>
  <c r="G17" i="23"/>
  <c r="N17" i="23"/>
  <c r="I17" i="23"/>
  <c r="M17" i="23"/>
  <c r="F17" i="23"/>
  <c r="L17" i="23"/>
  <c r="J215" i="21"/>
  <c r="J217" i="21" s="1"/>
  <c r="J221" i="21" s="1"/>
  <c r="J222" i="21" s="1"/>
  <c r="J194" i="21" s="1"/>
  <c r="E17" i="59"/>
  <c r="J209" i="21"/>
  <c r="E9" i="60"/>
  <c r="J61" i="21"/>
  <c r="J62" i="21" s="1"/>
  <c r="J67" i="21" s="1"/>
  <c r="J86" i="21" s="1"/>
  <c r="J151" i="21"/>
  <c r="J152" i="21" s="1"/>
  <c r="J159" i="21" s="1"/>
  <c r="E215" i="21"/>
  <c r="E10" i="59"/>
  <c r="E209" i="21"/>
  <c r="P62" i="58"/>
  <c r="Q62" i="58" s="1"/>
  <c r="F16" i="60"/>
  <c r="I215" i="21"/>
  <c r="I217" i="21" s="1"/>
  <c r="I221" i="21" s="1"/>
  <c r="I222" i="21" s="1"/>
  <c r="I194" i="21" s="1"/>
  <c r="E15" i="59"/>
  <c r="I209" i="21"/>
  <c r="D156" i="21"/>
  <c r="D207" i="21" s="1"/>
  <c r="AK135" i="21"/>
  <c r="AN135" i="21" s="1"/>
  <c r="D143" i="21" l="1"/>
  <c r="E16" i="59"/>
  <c r="AI143" i="21"/>
  <c r="AK143" i="21" s="1"/>
  <c r="AN143" i="21" s="1"/>
  <c r="E151" i="21"/>
  <c r="E152" i="21" s="1"/>
  <c r="AI209" i="21"/>
  <c r="AI61" i="21"/>
  <c r="AK61" i="21" s="1"/>
  <c r="AN61" i="21" s="1"/>
  <c r="E217" i="21"/>
  <c r="AI215" i="21"/>
  <c r="D150" i="21"/>
  <c r="E190" i="21"/>
  <c r="E67" i="21"/>
  <c r="E86" i="21" s="1"/>
  <c r="AI62" i="21"/>
  <c r="I161" i="21"/>
  <c r="I197" i="21"/>
  <c r="E15" i="24"/>
  <c r="D215" i="21"/>
  <c r="D217" i="21" s="1"/>
  <c r="D221" i="21" s="1"/>
  <c r="D222" i="21" s="1"/>
  <c r="D194" i="21" s="1"/>
  <c r="D197" i="21" s="1"/>
  <c r="D209" i="21"/>
  <c r="K17" i="66"/>
  <c r="J197" i="21"/>
  <c r="E17" i="24"/>
  <c r="AK66" i="21"/>
  <c r="AN66" i="21" s="1"/>
  <c r="AL19" i="19"/>
  <c r="AN60" i="21"/>
  <c r="AK182" i="21"/>
  <c r="AN182" i="21" s="1"/>
  <c r="P15" i="23"/>
  <c r="Q15" i="23" s="1"/>
  <c r="H15" i="59"/>
  <c r="G15" i="59"/>
  <c r="M15" i="59"/>
  <c r="J15" i="59"/>
  <c r="I15" i="59"/>
  <c r="L15" i="59"/>
  <c r="F15" i="59"/>
  <c r="N15" i="59"/>
  <c r="K15" i="59"/>
  <c r="P16" i="60"/>
  <c r="Q16" i="60" s="1"/>
  <c r="S16" i="60"/>
  <c r="J161" i="21"/>
  <c r="J87" i="21"/>
  <c r="L17" i="59"/>
  <c r="M17" i="59"/>
  <c r="I17" i="59"/>
  <c r="N17" i="59"/>
  <c r="J17" i="59"/>
  <c r="F17" i="59"/>
  <c r="K17" i="59"/>
  <c r="H17" i="59"/>
  <c r="G17" i="59"/>
  <c r="AK137" i="21"/>
  <c r="AN137" i="21" s="1"/>
  <c r="J10" i="59"/>
  <c r="L10" i="59"/>
  <c r="G10" i="59"/>
  <c r="G16" i="59" s="1"/>
  <c r="M10" i="59"/>
  <c r="K10" i="59"/>
  <c r="N10" i="59"/>
  <c r="F10" i="59"/>
  <c r="I10" i="59"/>
  <c r="H10" i="59"/>
  <c r="P17" i="23"/>
  <c r="Q17" i="23" s="1"/>
  <c r="P62" i="22"/>
  <c r="Q62" i="22" s="1"/>
  <c r="F9" i="60"/>
  <c r="F16" i="59" l="1"/>
  <c r="H16" i="59"/>
  <c r="D151" i="21"/>
  <c r="M16" i="59"/>
  <c r="AI152" i="21"/>
  <c r="E159" i="21"/>
  <c r="AI159" i="21" s="1"/>
  <c r="AI151" i="21"/>
  <c r="L16" i="59"/>
  <c r="I16" i="59"/>
  <c r="AI86" i="21"/>
  <c r="E87" i="21"/>
  <c r="AI87" i="21" s="1"/>
  <c r="E161" i="21"/>
  <c r="AI161" i="21" s="1"/>
  <c r="E10" i="23"/>
  <c r="AI190" i="21"/>
  <c r="AK190" i="21" s="1"/>
  <c r="AN190" i="21" s="1"/>
  <c r="E221" i="21"/>
  <c r="AI217" i="21"/>
  <c r="J16" i="59"/>
  <c r="N16" i="59"/>
  <c r="K16" i="59"/>
  <c r="AK62" i="21"/>
  <c r="AN62" i="21" s="1"/>
  <c r="M18" i="31"/>
  <c r="M62" i="31" s="1"/>
  <c r="M18" i="62"/>
  <c r="M62" i="62" s="1"/>
  <c r="M22" i="60" s="1"/>
  <c r="I17" i="66"/>
  <c r="I19" i="66" s="1"/>
  <c r="K19" i="66"/>
  <c r="D198" i="21"/>
  <c r="D199" i="21" s="1"/>
  <c r="G15" i="24"/>
  <c r="J15" i="24"/>
  <c r="H15" i="24"/>
  <c r="I15" i="24"/>
  <c r="K15" i="24"/>
  <c r="N15" i="24"/>
  <c r="F15" i="24"/>
  <c r="M15" i="24"/>
  <c r="L15" i="24"/>
  <c r="E18" i="31"/>
  <c r="P15" i="59"/>
  <c r="Q15" i="59" s="1"/>
  <c r="AK184" i="21"/>
  <c r="AN184" i="21" s="1"/>
  <c r="AK186" i="21"/>
  <c r="AN186" i="21" s="1"/>
  <c r="L17" i="24"/>
  <c r="H17" i="24"/>
  <c r="M17" i="24"/>
  <c r="I17" i="24"/>
  <c r="K17" i="24"/>
  <c r="J17" i="24"/>
  <c r="F17" i="24"/>
  <c r="G17" i="24"/>
  <c r="N17" i="24"/>
  <c r="I198" i="21"/>
  <c r="E15" i="32" s="1"/>
  <c r="S9" i="60"/>
  <c r="S35" i="60" s="1"/>
  <c r="P9" i="60"/>
  <c r="Q9" i="60" s="1"/>
  <c r="F35" i="60"/>
  <c r="L18" i="31"/>
  <c r="L62" i="31" s="1"/>
  <c r="L18" i="62"/>
  <c r="L62" i="62" s="1"/>
  <c r="L22" i="60" s="1"/>
  <c r="Q11" i="31"/>
  <c r="AI67" i="21"/>
  <c r="J18" i="31"/>
  <c r="J62" i="31" s="1"/>
  <c r="J18" i="62"/>
  <c r="J62" i="62" s="1"/>
  <c r="J22" i="60" s="1"/>
  <c r="K18" i="31"/>
  <c r="K62" i="31" s="1"/>
  <c r="K18" i="62"/>
  <c r="K62" i="62" s="1"/>
  <c r="K22" i="60" s="1"/>
  <c r="N18" i="31"/>
  <c r="N62" i="31" s="1"/>
  <c r="N18" i="62"/>
  <c r="N62" i="62" s="1"/>
  <c r="N22" i="60" s="1"/>
  <c r="P17" i="59"/>
  <c r="Q17" i="59" s="1"/>
  <c r="J198" i="21"/>
  <c r="E17" i="32" s="1"/>
  <c r="I18" i="31"/>
  <c r="I62" i="31" s="1"/>
  <c r="I18" i="62"/>
  <c r="I62" i="62" s="1"/>
  <c r="I22" i="60" s="1"/>
  <c r="G18" i="31"/>
  <c r="G62" i="31" s="1"/>
  <c r="G18" i="62"/>
  <c r="G62" i="62" s="1"/>
  <c r="G22" i="60" s="1"/>
  <c r="H18" i="31"/>
  <c r="H62" i="31" s="1"/>
  <c r="H18" i="62"/>
  <c r="H62" i="62" s="1"/>
  <c r="H22" i="60" s="1"/>
  <c r="P10" i="59"/>
  <c r="AK139" i="21"/>
  <c r="AN139" i="21" s="1"/>
  <c r="E222" i="21" l="1"/>
  <c r="AI221" i="21"/>
  <c r="Q10" i="59"/>
  <c r="P16" i="59"/>
  <c r="E16" i="23"/>
  <c r="E18" i="23" s="1"/>
  <c r="L10" i="23"/>
  <c r="L16" i="23" s="1"/>
  <c r="L18" i="23" s="1"/>
  <c r="L62" i="23" s="1"/>
  <c r="G10" i="23"/>
  <c r="G16" i="23" s="1"/>
  <c r="G18" i="23" s="1"/>
  <c r="G62" i="23" s="1"/>
  <c r="K10" i="23"/>
  <c r="K16" i="23" s="1"/>
  <c r="K18" i="23" s="1"/>
  <c r="K62" i="23" s="1"/>
  <c r="F10" i="23"/>
  <c r="M10" i="23"/>
  <c r="M16" i="23" s="1"/>
  <c r="M18" i="23" s="1"/>
  <c r="M62" i="23" s="1"/>
  <c r="H10" i="23"/>
  <c r="H16" i="23" s="1"/>
  <c r="H18" i="23" s="1"/>
  <c r="H62" i="23" s="1"/>
  <c r="N10" i="23"/>
  <c r="N16" i="23" s="1"/>
  <c r="N18" i="23" s="1"/>
  <c r="N62" i="23" s="1"/>
  <c r="J10" i="23"/>
  <c r="J16" i="23" s="1"/>
  <c r="J18" i="23" s="1"/>
  <c r="J62" i="23" s="1"/>
  <c r="I10" i="23"/>
  <c r="I16" i="23" s="1"/>
  <c r="I18" i="23" s="1"/>
  <c r="I62" i="23" s="1"/>
  <c r="AK67" i="21"/>
  <c r="AK86" i="21" s="1"/>
  <c r="I199" i="21"/>
  <c r="E15" i="36" s="1"/>
  <c r="J15" i="36" s="1"/>
  <c r="AK151" i="21"/>
  <c r="AN151" i="21" s="1"/>
  <c r="AK150" i="21"/>
  <c r="AN150" i="21" s="1"/>
  <c r="K38" i="60"/>
  <c r="Q16" i="31"/>
  <c r="F18" i="31"/>
  <c r="H38" i="60"/>
  <c r="U22" i="60"/>
  <c r="U38" i="60" s="1"/>
  <c r="I38" i="60"/>
  <c r="Q12" i="59"/>
  <c r="J199" i="21"/>
  <c r="E17" i="36" s="1"/>
  <c r="L38" i="60"/>
  <c r="J17" i="32"/>
  <c r="H17" i="32"/>
  <c r="F17" i="32"/>
  <c r="G17" i="32"/>
  <c r="N17" i="32"/>
  <c r="L17" i="32"/>
  <c r="I17" i="32"/>
  <c r="K17" i="32"/>
  <c r="M17" i="32"/>
  <c r="N38" i="60"/>
  <c r="J38" i="60"/>
  <c r="P17" i="24"/>
  <c r="Q17" i="24" s="1"/>
  <c r="E62" i="31"/>
  <c r="P15" i="24"/>
  <c r="Q15" i="24" s="1"/>
  <c r="M38" i="60"/>
  <c r="G38" i="60"/>
  <c r="E35" i="60"/>
  <c r="L15" i="32"/>
  <c r="I15" i="32"/>
  <c r="H15" i="32"/>
  <c r="F15" i="32"/>
  <c r="M15" i="32"/>
  <c r="N15" i="32"/>
  <c r="G15" i="32"/>
  <c r="J15" i="32"/>
  <c r="K15" i="32"/>
  <c r="AK156" i="21"/>
  <c r="AN156" i="21" s="1"/>
  <c r="F16" i="23" l="1"/>
  <c r="F18" i="23" s="1"/>
  <c r="P10" i="23"/>
  <c r="E194" i="21"/>
  <c r="AI222" i="21"/>
  <c r="AN67" i="21"/>
  <c r="M15" i="36"/>
  <c r="M85" i="36" s="1"/>
  <c r="F15" i="36"/>
  <c r="F85" i="36" s="1"/>
  <c r="E85" i="36"/>
  <c r="G15" i="36"/>
  <c r="G85" i="36" s="1"/>
  <c r="N15" i="36"/>
  <c r="N85" i="36" s="1"/>
  <c r="H15" i="36"/>
  <c r="H85" i="36" s="1"/>
  <c r="I15" i="36"/>
  <c r="I85" i="36" s="1"/>
  <c r="K15" i="36"/>
  <c r="K85" i="36" s="1"/>
  <c r="L15" i="36"/>
  <c r="L85" i="36" s="1"/>
  <c r="AK159" i="21"/>
  <c r="AN159" i="21" s="1"/>
  <c r="AK209" i="21"/>
  <c r="AN209" i="21" s="1"/>
  <c r="AK207" i="21"/>
  <c r="AN207" i="21" s="1"/>
  <c r="J85" i="36"/>
  <c r="F18" i="62"/>
  <c r="P17" i="32"/>
  <c r="Q17" i="32" s="1"/>
  <c r="E62" i="23"/>
  <c r="P18" i="31"/>
  <c r="Q18" i="31" s="1"/>
  <c r="F62" i="31"/>
  <c r="P62" i="31" s="1"/>
  <c r="Q62" i="31" s="1"/>
  <c r="P15" i="32"/>
  <c r="Q15" i="32" s="1"/>
  <c r="AK161" i="21"/>
  <c r="AN161" i="21" s="1"/>
  <c r="AN86" i="21"/>
  <c r="E87" i="36"/>
  <c r="F17" i="36"/>
  <c r="J17" i="36"/>
  <c r="J87" i="36" s="1"/>
  <c r="N17" i="36"/>
  <c r="N87" i="36" s="1"/>
  <c r="L17" i="36"/>
  <c r="L87" i="36" s="1"/>
  <c r="K17" i="36"/>
  <c r="K87" i="36" s="1"/>
  <c r="H17" i="36"/>
  <c r="H87" i="36" s="1"/>
  <c r="I17" i="36"/>
  <c r="I87" i="36" s="1"/>
  <c r="M17" i="36"/>
  <c r="M87" i="36" s="1"/>
  <c r="G17" i="36"/>
  <c r="G87" i="36" s="1"/>
  <c r="Q11" i="59"/>
  <c r="Q11" i="62"/>
  <c r="AK87" i="21"/>
  <c r="AN87" i="21" s="1"/>
  <c r="AI194" i="21" l="1"/>
  <c r="E10" i="24"/>
  <c r="E197" i="21"/>
  <c r="Q10" i="23"/>
  <c r="P16" i="23"/>
  <c r="Q16" i="23" s="1"/>
  <c r="F152" i="36"/>
  <c r="F169" i="36" s="1"/>
  <c r="P15" i="36"/>
  <c r="Q15" i="36" s="1"/>
  <c r="AK152" i="21"/>
  <c r="AN152" i="21" s="1"/>
  <c r="D152" i="21"/>
  <c r="D159" i="21" s="1"/>
  <c r="I152" i="36"/>
  <c r="I169" i="36" s="1"/>
  <c r="J152" i="36"/>
  <c r="J169" i="36" s="1"/>
  <c r="K152" i="36"/>
  <c r="K169" i="36" s="1"/>
  <c r="Q12" i="32"/>
  <c r="G152" i="36"/>
  <c r="G169" i="36" s="1"/>
  <c r="L152" i="36"/>
  <c r="L169" i="36" s="1"/>
  <c r="P17" i="36"/>
  <c r="Q17" i="36" s="1"/>
  <c r="F87" i="36"/>
  <c r="F62" i="23"/>
  <c r="P62" i="23" s="1"/>
  <c r="Q62" i="23" s="1"/>
  <c r="P18" i="23"/>
  <c r="Q18" i="23" s="1"/>
  <c r="H152" i="36"/>
  <c r="G18" i="59"/>
  <c r="G62" i="59" s="1"/>
  <c r="G17" i="60" s="1"/>
  <c r="G19" i="60" s="1"/>
  <c r="J18" i="59"/>
  <c r="J62" i="59" s="1"/>
  <c r="J17" i="60" s="1"/>
  <c r="J19" i="60" s="1"/>
  <c r="I18" i="59"/>
  <c r="I62" i="59" s="1"/>
  <c r="I17" i="60" s="1"/>
  <c r="I19" i="60" s="1"/>
  <c r="H18" i="59"/>
  <c r="H62" i="59" s="1"/>
  <c r="H17" i="60" s="1"/>
  <c r="L18" i="59"/>
  <c r="L62" i="59" s="1"/>
  <c r="L17" i="60" s="1"/>
  <c r="L19" i="60" s="1"/>
  <c r="N18" i="59"/>
  <c r="N62" i="59" s="1"/>
  <c r="N17" i="60" s="1"/>
  <c r="N19" i="60" s="1"/>
  <c r="K18" i="59"/>
  <c r="K62" i="59" s="1"/>
  <c r="K17" i="60" s="1"/>
  <c r="K19" i="60" s="1"/>
  <c r="M18" i="59"/>
  <c r="M62" i="59" s="1"/>
  <c r="M17" i="60" s="1"/>
  <c r="M19" i="60" s="1"/>
  <c r="N152" i="36"/>
  <c r="AK215" i="21"/>
  <c r="AN215" i="21" s="1"/>
  <c r="E18" i="62"/>
  <c r="Q16" i="62"/>
  <c r="M152" i="36"/>
  <c r="P18" i="62"/>
  <c r="F62" i="62"/>
  <c r="AI197" i="21" l="1"/>
  <c r="E198" i="21"/>
  <c r="E199" i="21" s="1"/>
  <c r="E16" i="24"/>
  <c r="I10" i="24"/>
  <c r="I16" i="24" s="1"/>
  <c r="G10" i="24"/>
  <c r="G16" i="24" s="1"/>
  <c r="M10" i="24"/>
  <c r="M16" i="24" s="1"/>
  <c r="N10" i="24"/>
  <c r="N16" i="24" s="1"/>
  <c r="L10" i="24"/>
  <c r="L16" i="24" s="1"/>
  <c r="K10" i="24"/>
  <c r="K16" i="24" s="1"/>
  <c r="F10" i="24"/>
  <c r="J10" i="24"/>
  <c r="J16" i="24" s="1"/>
  <c r="H10" i="24"/>
  <c r="H16" i="24" s="1"/>
  <c r="P152" i="36"/>
  <c r="N169" i="36"/>
  <c r="E152" i="36"/>
  <c r="I24" i="60"/>
  <c r="I26" i="60" s="1"/>
  <c r="I28" i="60" s="1"/>
  <c r="I30" i="60" s="1"/>
  <c r="I50" i="60"/>
  <c r="M169" i="36"/>
  <c r="AK217" i="21"/>
  <c r="AN217" i="21" s="1"/>
  <c r="E18" i="59"/>
  <c r="N24" i="60"/>
  <c r="N26" i="60" s="1"/>
  <c r="N28" i="60" s="1"/>
  <c r="N30" i="60" s="1"/>
  <c r="N50" i="60"/>
  <c r="J24" i="60"/>
  <c r="J26" i="60" s="1"/>
  <c r="J28" i="60" s="1"/>
  <c r="J30" i="60" s="1"/>
  <c r="J50" i="60"/>
  <c r="K50" i="60"/>
  <c r="K24" i="60"/>
  <c r="K26" i="60" s="1"/>
  <c r="K28" i="60" s="1"/>
  <c r="K30" i="60" s="1"/>
  <c r="Q13" i="59"/>
  <c r="L50" i="60"/>
  <c r="L24" i="60"/>
  <c r="L26" i="60" s="1"/>
  <c r="L28" i="60" s="1"/>
  <c r="L30" i="60" s="1"/>
  <c r="H169" i="36"/>
  <c r="P62" i="62"/>
  <c r="F22" i="60"/>
  <c r="Q18" i="62"/>
  <c r="E62" i="62"/>
  <c r="M24" i="60"/>
  <c r="M26" i="60" s="1"/>
  <c r="M28" i="60" s="1"/>
  <c r="M30" i="60" s="1"/>
  <c r="M50" i="60"/>
  <c r="U17" i="60"/>
  <c r="H19" i="60"/>
  <c r="G24" i="60"/>
  <c r="G26" i="60" s="1"/>
  <c r="G28" i="60" s="1"/>
  <c r="G30" i="60" s="1"/>
  <c r="G50" i="60"/>
  <c r="F16" i="24" l="1"/>
  <c r="P10" i="24"/>
  <c r="E10" i="36"/>
  <c r="AI199" i="21"/>
  <c r="E10" i="32"/>
  <c r="AI198" i="21"/>
  <c r="P22" i="60"/>
  <c r="F38" i="60"/>
  <c r="E38" i="60" s="1"/>
  <c r="S22" i="60"/>
  <c r="S38" i="60" s="1"/>
  <c r="Q62" i="62"/>
  <c r="E22" i="60"/>
  <c r="Q16" i="59"/>
  <c r="F18" i="59"/>
  <c r="E62" i="59"/>
  <c r="AK221" i="21"/>
  <c r="AN221" i="21" s="1"/>
  <c r="U19" i="60"/>
  <c r="U50" i="60" s="1"/>
  <c r="H50" i="60"/>
  <c r="H24" i="60"/>
  <c r="E16" i="32" l="1"/>
  <c r="L10" i="32"/>
  <c r="L16" i="32" s="1"/>
  <c r="M10" i="32"/>
  <c r="M16" i="32" s="1"/>
  <c r="K10" i="32"/>
  <c r="K16" i="32" s="1"/>
  <c r="F10" i="32"/>
  <c r="I10" i="32"/>
  <c r="I16" i="32" s="1"/>
  <c r="J10" i="32"/>
  <c r="J16" i="32" s="1"/>
  <c r="N10" i="32"/>
  <c r="N16" i="32" s="1"/>
  <c r="H10" i="32"/>
  <c r="H16" i="32" s="1"/>
  <c r="G10" i="32"/>
  <c r="G16" i="32" s="1"/>
  <c r="E16" i="36"/>
  <c r="E84" i="36"/>
  <c r="N10" i="36"/>
  <c r="I10" i="36"/>
  <c r="F10" i="36"/>
  <c r="K10" i="36"/>
  <c r="M10" i="36"/>
  <c r="H10" i="36"/>
  <c r="G10" i="36"/>
  <c r="L10" i="36"/>
  <c r="J10" i="36"/>
  <c r="Q10" i="24"/>
  <c r="P16" i="24"/>
  <c r="AK222" i="21"/>
  <c r="AN222" i="21" s="1"/>
  <c r="E17" i="60"/>
  <c r="Q22" i="60"/>
  <c r="K42" i="66"/>
  <c r="P18" i="59"/>
  <c r="Q18" i="59" s="1"/>
  <c r="F62" i="59"/>
  <c r="U24" i="60"/>
  <c r="H26" i="60"/>
  <c r="K16" i="36" l="1"/>
  <c r="K84" i="36"/>
  <c r="K151" i="36"/>
  <c r="N16" i="36"/>
  <c r="N151" i="36"/>
  <c r="N84" i="36"/>
  <c r="F16" i="32"/>
  <c r="P10" i="32"/>
  <c r="F16" i="36"/>
  <c r="F84" i="36"/>
  <c r="F151" i="36"/>
  <c r="P10" i="36"/>
  <c r="G16" i="36"/>
  <c r="G151" i="36"/>
  <c r="G84" i="36"/>
  <c r="J16" i="36"/>
  <c r="J84" i="36"/>
  <c r="J151" i="36"/>
  <c r="H16" i="36"/>
  <c r="H84" i="36"/>
  <c r="H151" i="36"/>
  <c r="I16" i="36"/>
  <c r="I84" i="36"/>
  <c r="I151" i="36"/>
  <c r="L16" i="36"/>
  <c r="L84" i="36"/>
  <c r="L151" i="36"/>
  <c r="M16" i="36"/>
  <c r="M84" i="36"/>
  <c r="M151" i="36"/>
  <c r="U26" i="60"/>
  <c r="H28" i="60"/>
  <c r="F17" i="60"/>
  <c r="P62" i="59"/>
  <c r="Q62" i="59" s="1"/>
  <c r="K44" i="66"/>
  <c r="I42" i="66"/>
  <c r="I44" i="66" s="1"/>
  <c r="E19" i="60"/>
  <c r="AK194" i="21"/>
  <c r="AN194" i="21" s="1"/>
  <c r="I168" i="36" l="1"/>
  <c r="I153" i="36"/>
  <c r="I159" i="36" s="1"/>
  <c r="Q10" i="32"/>
  <c r="P16" i="32"/>
  <c r="M167" i="36"/>
  <c r="M153" i="36"/>
  <c r="M159" i="36" s="1"/>
  <c r="G153" i="36"/>
  <c r="G167" i="36"/>
  <c r="N153" i="36"/>
  <c r="N159" i="36" s="1"/>
  <c r="N167" i="36"/>
  <c r="H167" i="36"/>
  <c r="H153" i="36"/>
  <c r="H159" i="36" s="1"/>
  <c r="Q10" i="36"/>
  <c r="Q16" i="36" s="1"/>
  <c r="P16" i="36"/>
  <c r="K168" i="36"/>
  <c r="K153" i="36"/>
  <c r="K159" i="36" s="1"/>
  <c r="L153" i="36"/>
  <c r="L168" i="36"/>
  <c r="J153" i="36"/>
  <c r="J168" i="36"/>
  <c r="F153" i="36"/>
  <c r="F159" i="36" s="1"/>
  <c r="F167" i="36"/>
  <c r="P151" i="36"/>
  <c r="E151" i="36"/>
  <c r="L18" i="24"/>
  <c r="L62" i="24" s="1"/>
  <c r="H18" i="24"/>
  <c r="H62" i="24" s="1"/>
  <c r="I18" i="24"/>
  <c r="I62" i="24" s="1"/>
  <c r="J18" i="24"/>
  <c r="J62" i="24" s="1"/>
  <c r="G18" i="24"/>
  <c r="G62" i="24" s="1"/>
  <c r="K18" i="24"/>
  <c r="K62" i="24" s="1"/>
  <c r="M18" i="24"/>
  <c r="M62" i="24" s="1"/>
  <c r="N18" i="24"/>
  <c r="N62" i="24" s="1"/>
  <c r="E24" i="60"/>
  <c r="E50" i="60"/>
  <c r="H30" i="60"/>
  <c r="U28" i="60"/>
  <c r="U30" i="60" s="1"/>
  <c r="AK197" i="21"/>
  <c r="AN197" i="21" s="1"/>
  <c r="S17" i="60"/>
  <c r="P17" i="60"/>
  <c r="Q17" i="60" s="1"/>
  <c r="F19" i="60"/>
  <c r="J158" i="36" l="1"/>
  <c r="J160" i="36"/>
  <c r="H158" i="36"/>
  <c r="H160" i="36"/>
  <c r="M158" i="36"/>
  <c r="M160" i="36"/>
  <c r="E153" i="36"/>
  <c r="E159" i="36" s="1"/>
  <c r="L159" i="36"/>
  <c r="L160" i="36"/>
  <c r="L158" i="36"/>
  <c r="P167" i="36"/>
  <c r="P153" i="36"/>
  <c r="P159" i="36" s="1"/>
  <c r="K158" i="36"/>
  <c r="K160" i="36"/>
  <c r="F158" i="36"/>
  <c r="F160" i="36"/>
  <c r="N158" i="36"/>
  <c r="N160" i="36"/>
  <c r="J159" i="36"/>
  <c r="I160" i="36"/>
  <c r="I158" i="36"/>
  <c r="G159" i="36"/>
  <c r="G158" i="36"/>
  <c r="G160" i="36"/>
  <c r="P19" i="60"/>
  <c r="Q19" i="60" s="1"/>
  <c r="F50" i="60"/>
  <c r="S19" i="60"/>
  <c r="S50" i="60" s="1"/>
  <c r="F24" i="60"/>
  <c r="Q11" i="32"/>
  <c r="E26" i="60"/>
  <c r="E18" i="24"/>
  <c r="AK199" i="21"/>
  <c r="AN199" i="21" s="1"/>
  <c r="AK198" i="21"/>
  <c r="AN198" i="21" s="1"/>
  <c r="I161" i="36" l="1"/>
  <c r="N161" i="36"/>
  <c r="L161" i="36"/>
  <c r="M161" i="36"/>
  <c r="K161" i="36"/>
  <c r="H161" i="36"/>
  <c r="E158" i="36"/>
  <c r="E160" i="36"/>
  <c r="P158" i="36"/>
  <c r="P169" i="36"/>
  <c r="P160" i="36"/>
  <c r="G161" i="36"/>
  <c r="F161" i="36"/>
  <c r="J161" i="36"/>
  <c r="E28" i="60"/>
  <c r="N18" i="32"/>
  <c r="N62" i="32" s="1"/>
  <c r="L18" i="32"/>
  <c r="L62" i="32" s="1"/>
  <c r="M18" i="32"/>
  <c r="M62" i="32" s="1"/>
  <c r="G18" i="32"/>
  <c r="G62" i="32" s="1"/>
  <c r="J18" i="32"/>
  <c r="J62" i="32" s="1"/>
  <c r="K18" i="32"/>
  <c r="K62" i="32" s="1"/>
  <c r="I18" i="32"/>
  <c r="I62" i="32" s="1"/>
  <c r="H18" i="32"/>
  <c r="H62" i="32" s="1"/>
  <c r="E62" i="24"/>
  <c r="Q16" i="24"/>
  <c r="F18" i="24"/>
  <c r="S24" i="60"/>
  <c r="P24" i="60"/>
  <c r="Q24" i="60" s="1"/>
  <c r="F26" i="60"/>
  <c r="P161" i="36" l="1"/>
  <c r="E161" i="36"/>
  <c r="M18" i="36"/>
  <c r="M86" i="36"/>
  <c r="I86" i="36"/>
  <c r="I18" i="36"/>
  <c r="E86" i="36"/>
  <c r="E18" i="36"/>
  <c r="L86" i="36"/>
  <c r="L18" i="36"/>
  <c r="H18" i="36"/>
  <c r="H86" i="36"/>
  <c r="F62" i="24"/>
  <c r="P62" i="24" s="1"/>
  <c r="Q62" i="24" s="1"/>
  <c r="P18" i="24"/>
  <c r="Q18" i="24" s="1"/>
  <c r="E18" i="32"/>
  <c r="Q13" i="32"/>
  <c r="E30" i="60"/>
  <c r="E36" i="60"/>
  <c r="K86" i="36"/>
  <c r="K18" i="36"/>
  <c r="J86" i="36"/>
  <c r="J18" i="36"/>
  <c r="N86" i="36"/>
  <c r="N18" i="36"/>
  <c r="P26" i="60"/>
  <c r="Q26" i="60" s="1"/>
  <c r="S26" i="60"/>
  <c r="F28" i="60"/>
  <c r="G86" i="36"/>
  <c r="G18" i="36"/>
  <c r="E32" i="60" l="1"/>
  <c r="N32" i="60"/>
  <c r="M32" i="60"/>
  <c r="J32" i="60"/>
  <c r="K32" i="60"/>
  <c r="G32" i="60"/>
  <c r="I32" i="60"/>
  <c r="L32" i="60"/>
  <c r="U32" i="60"/>
  <c r="H32" i="60"/>
  <c r="H88" i="36"/>
  <c r="H62" i="36"/>
  <c r="F86" i="36"/>
  <c r="F18" i="36"/>
  <c r="H36" i="60"/>
  <c r="H37" i="60" s="1"/>
  <c r="S36" i="60"/>
  <c r="S37" i="60" s="1"/>
  <c r="U36" i="60"/>
  <c r="U37" i="60" s="1"/>
  <c r="L36" i="60"/>
  <c r="L37" i="60" s="1"/>
  <c r="F36" i="60"/>
  <c r="F37" i="60" s="1"/>
  <c r="K36" i="60"/>
  <c r="K37" i="60" s="1"/>
  <c r="I36" i="60"/>
  <c r="I37" i="60" s="1"/>
  <c r="N36" i="60"/>
  <c r="N37" i="60" s="1"/>
  <c r="M36" i="60"/>
  <c r="M37" i="60" s="1"/>
  <c r="G36" i="60"/>
  <c r="G37" i="60" s="1"/>
  <c r="J36" i="60"/>
  <c r="J37" i="60" s="1"/>
  <c r="E62" i="32"/>
  <c r="E88" i="36"/>
  <c r="E62" i="36"/>
  <c r="N88" i="36"/>
  <c r="N62" i="36"/>
  <c r="K88" i="36"/>
  <c r="K62" i="36"/>
  <c r="G88" i="36"/>
  <c r="G62" i="36"/>
  <c r="F30" i="60"/>
  <c r="F32" i="60" s="1"/>
  <c r="P28" i="60"/>
  <c r="S28" i="60"/>
  <c r="S30" i="60" s="1"/>
  <c r="S32" i="60" s="1"/>
  <c r="Q16" i="32"/>
  <c r="F18" i="32"/>
  <c r="L88" i="36"/>
  <c r="L62" i="36"/>
  <c r="M88" i="36"/>
  <c r="M62" i="36"/>
  <c r="J88" i="36"/>
  <c r="J62" i="36"/>
  <c r="I88" i="36"/>
  <c r="I62" i="36"/>
  <c r="M64" i="36" l="1"/>
  <c r="M65" i="36" s="1"/>
  <c r="M67" i="36"/>
  <c r="M69" i="36" s="1"/>
  <c r="M132" i="36"/>
  <c r="P18" i="32"/>
  <c r="Q18" i="32" s="1"/>
  <c r="F62" i="32"/>
  <c r="P62" i="32" s="1"/>
  <c r="Q62" i="32" s="1"/>
  <c r="J39" i="60"/>
  <c r="J40" i="60" s="1"/>
  <c r="U39" i="60"/>
  <c r="U40" i="60" s="1"/>
  <c r="U49" i="60" s="1"/>
  <c r="U53" i="60" s="1"/>
  <c r="N132" i="36"/>
  <c r="N67" i="36"/>
  <c r="N69" i="36" s="1"/>
  <c r="N64" i="36"/>
  <c r="N65" i="36" s="1"/>
  <c r="G39" i="60"/>
  <c r="G40" i="60" s="1"/>
  <c r="S39" i="60"/>
  <c r="S40" i="60" s="1"/>
  <c r="S49" i="60" s="1"/>
  <c r="S53" i="60" s="1"/>
  <c r="P30" i="60"/>
  <c r="Q28" i="60"/>
  <c r="K132" i="36"/>
  <c r="K64" i="36"/>
  <c r="K65" i="36" s="1"/>
  <c r="K67" i="36"/>
  <c r="K69" i="36" s="1"/>
  <c r="E132" i="36"/>
  <c r="E64" i="36"/>
  <c r="E67" i="36"/>
  <c r="E69" i="36" s="1"/>
  <c r="N39" i="60"/>
  <c r="N40" i="60" s="1"/>
  <c r="L39" i="60"/>
  <c r="L40" i="60" s="1"/>
  <c r="P18" i="36"/>
  <c r="Q18" i="36" s="1"/>
  <c r="F88" i="36"/>
  <c r="F62" i="36"/>
  <c r="I132" i="36"/>
  <c r="I67" i="36"/>
  <c r="I69" i="36" s="1"/>
  <c r="I64" i="36"/>
  <c r="I65" i="36" s="1"/>
  <c r="I39" i="60"/>
  <c r="I40" i="60" s="1"/>
  <c r="G132" i="36"/>
  <c r="G67" i="36"/>
  <c r="G69" i="36" s="1"/>
  <c r="G64" i="36"/>
  <c r="G65" i="36" s="1"/>
  <c r="K39" i="60"/>
  <c r="K40" i="60" s="1"/>
  <c r="J64" i="36"/>
  <c r="J65" i="36" s="1"/>
  <c r="J132" i="36"/>
  <c r="J67" i="36"/>
  <c r="J69" i="36" s="1"/>
  <c r="L132" i="36"/>
  <c r="L64" i="36"/>
  <c r="L65" i="36" s="1"/>
  <c r="L67" i="36"/>
  <c r="L69" i="36" s="1"/>
  <c r="M39" i="60"/>
  <c r="M40" i="60" s="1"/>
  <c r="F39" i="60"/>
  <c r="F40" i="60" s="1"/>
  <c r="F44" i="60" s="1" a="1"/>
  <c r="E37" i="60"/>
  <c r="H39" i="60"/>
  <c r="H40" i="60" s="1"/>
  <c r="H132" i="36"/>
  <c r="H64" i="36"/>
  <c r="H65" i="36" s="1"/>
  <c r="H67" i="36"/>
  <c r="H69" i="36" s="1"/>
  <c r="H41" i="60" l="1"/>
  <c r="H49" i="60"/>
  <c r="H43" i="60"/>
  <c r="K41" i="60"/>
  <c r="K49" i="60"/>
  <c r="K43" i="60"/>
  <c r="L41" i="60"/>
  <c r="L49" i="60"/>
  <c r="L43" i="60"/>
  <c r="G41" i="60"/>
  <c r="G49" i="60"/>
  <c r="G43" i="60"/>
  <c r="N41" i="60"/>
  <c r="N49" i="60"/>
  <c r="N43" i="60"/>
  <c r="J49" i="60"/>
  <c r="J41" i="60"/>
  <c r="J43" i="60"/>
  <c r="E39" i="60"/>
  <c r="I41" i="60"/>
  <c r="I49" i="60"/>
  <c r="I43" i="60"/>
  <c r="F132" i="36"/>
  <c r="P62" i="36"/>
  <c r="Q62" i="36" s="1"/>
  <c r="F64" i="36"/>
  <c r="F67" i="36"/>
  <c r="F69" i="36" s="1"/>
  <c r="E65" i="36"/>
  <c r="M41" i="60"/>
  <c r="M49" i="60"/>
  <c r="M43" i="60"/>
  <c r="E40" i="60"/>
  <c r="F41" i="60"/>
  <c r="F49" i="60"/>
  <c r="F43" i="60"/>
  <c r="F44" i="60"/>
  <c r="P32" i="60"/>
  <c r="Q30" i="60"/>
  <c r="E41" i="60" l="1"/>
  <c r="E49" i="60"/>
  <c r="E43" i="60"/>
  <c r="G51" i="60"/>
  <c r="G53" i="60"/>
  <c r="J51" i="60"/>
  <c r="J53" i="60"/>
  <c r="L51" i="60"/>
  <c r="L53" i="60"/>
  <c r="F51" i="60"/>
  <c r="F53" i="60"/>
  <c r="M51" i="60"/>
  <c r="M53" i="60"/>
  <c r="N51" i="60"/>
  <c r="N53" i="60"/>
  <c r="H51" i="60"/>
  <c r="H53" i="60"/>
  <c r="F65" i="36"/>
  <c r="P64" i="36"/>
  <c r="Q64" i="36" s="1"/>
  <c r="I51" i="60"/>
  <c r="I53" i="60"/>
  <c r="K51" i="60"/>
  <c r="K53" i="60"/>
  <c r="E51" i="60" l="1"/>
  <c r="E53" i="60"/>
</calcChain>
</file>

<file path=xl/sharedStrings.xml><?xml version="1.0" encoding="utf-8"?>
<sst xmlns="http://schemas.openxmlformats.org/spreadsheetml/2006/main" count="8699" uniqueCount="1370">
  <si>
    <t xml:space="preserve">   Bad Debt Expense (net of city payment)</t>
  </si>
  <si>
    <t>Sources of Cash other than rates</t>
  </si>
  <si>
    <t>Total Sources of Cash other than rates</t>
  </si>
  <si>
    <t>Sources of Cash other than rates (net of City Payment)</t>
  </si>
  <si>
    <t>Total Sources of Cash other than rates (net of City Payment)</t>
  </si>
  <si>
    <t>Less:  Total Sources of Cash other than rates (net of City Payment)</t>
  </si>
  <si>
    <t>Internally Generated Funds from rates</t>
  </si>
  <si>
    <t>Total Internally Generated Funds</t>
  </si>
  <si>
    <t>System Load Factor</t>
  </si>
  <si>
    <t>System Peak</t>
  </si>
  <si>
    <t>Alloc to</t>
  </si>
  <si>
    <t>average &amp; excess</t>
  </si>
  <si>
    <t>KWH @ generator</t>
  </si>
  <si>
    <t>KWH sales @ meter</t>
  </si>
  <si>
    <t>Class NCP</t>
  </si>
  <si>
    <t>Sum NCP thru sec lines</t>
  </si>
  <si>
    <t>Avg of Class NCP &amp; Sum NCP thru sec lines</t>
  </si>
  <si>
    <t># of customers served thru pri lines</t>
  </si>
  <si>
    <t># of customers served thru sec lines</t>
  </si>
  <si>
    <t>Direct</t>
  </si>
  <si>
    <t># of cust, weighted</t>
  </si>
  <si>
    <t>KWH @ generator excluding MU</t>
  </si>
  <si>
    <t>Test Year kWh</t>
  </si>
  <si>
    <t>Cents per KWH</t>
  </si>
  <si>
    <t>UCOS Billed revenue rqmnt</t>
  </si>
  <si>
    <t>Less: Test year fuel</t>
  </si>
  <si>
    <t>kWh sales</t>
  </si>
  <si>
    <t>Plus : City payment on Base rate fuel</t>
  </si>
  <si>
    <t>UCOS Billed revenue exc other</t>
  </si>
  <si>
    <t>Plus: Bad Debt Expense</t>
  </si>
  <si>
    <t>Adjustments for CPS UCOS:</t>
  </si>
  <si>
    <t>Eligible Fuel &amp; Pur. Power (base rate)</t>
  </si>
  <si>
    <t>UCOS</t>
  </si>
  <si>
    <t>Bad Debt</t>
  </si>
  <si>
    <t>Cost of Service(UCOS)</t>
  </si>
  <si>
    <t>ck figure from above</t>
  </si>
  <si>
    <t>increase/(decrease)</t>
  </si>
  <si>
    <t>increase %/(decrease %)</t>
  </si>
  <si>
    <t>OTHER (Cust Deposits, int on Cust Dep, Bad Debt)</t>
  </si>
  <si>
    <t>Test Year net revenue</t>
  </si>
  <si>
    <t>Total Cash</t>
  </si>
  <si>
    <t>Total Revenue requirements(Basic)</t>
  </si>
  <si>
    <t>Avg Class CPs with 4 ERCOT CP</t>
  </si>
  <si>
    <t>Average of class NCP and sum NCP</t>
  </si>
  <si>
    <t>system</t>
  </si>
  <si>
    <t>primary</t>
  </si>
  <si>
    <t>substation</t>
  </si>
  <si>
    <t>secondary</t>
  </si>
  <si>
    <t>DISTOPX</t>
  </si>
  <si>
    <t>DISTMAX</t>
  </si>
  <si>
    <t># of sec cust, weighted exc st. lights</t>
  </si>
  <si>
    <t>Allocation Factors</t>
  </si>
  <si>
    <t>Land and Land Rights-direct</t>
  </si>
  <si>
    <t>Stores Equipment-direct</t>
  </si>
  <si>
    <t xml:space="preserve">    /396</t>
  </si>
  <si>
    <t>Total Common Labor</t>
  </si>
  <si>
    <t>Total Labor Expense</t>
  </si>
  <si>
    <t>A920-800</t>
  </si>
  <si>
    <t>Admin. &amp; General Salaries-STP</t>
  </si>
  <si>
    <t>A921-800</t>
  </si>
  <si>
    <t>Office Supplies-STP</t>
  </si>
  <si>
    <t>A923-800</t>
  </si>
  <si>
    <t>Outside Services-STP</t>
  </si>
  <si>
    <t>A925-800</t>
  </si>
  <si>
    <t>Injuries &amp; Damages-STP</t>
  </si>
  <si>
    <t>A926-800</t>
  </si>
  <si>
    <t>Pensions &amp; Benefits-STP</t>
  </si>
  <si>
    <t>A930-800</t>
  </si>
  <si>
    <t>Misc. General Expense-STP</t>
  </si>
  <si>
    <t>A932-800</t>
  </si>
  <si>
    <t>Maint. of General Plant-STP</t>
  </si>
  <si>
    <t>Customers -Average</t>
  </si>
  <si>
    <t>Sum NCP</t>
  </si>
  <si>
    <t>Average &amp; excess</t>
  </si>
  <si>
    <t>Class Load Factor</t>
  </si>
  <si>
    <t>Class NCP X 8760 hrs</t>
  </si>
  <si>
    <t>RE/RA</t>
  </si>
  <si>
    <t>Sum NCP X 8760 hrs</t>
  </si>
  <si>
    <t>Average Customer Load Factor</t>
  </si>
  <si>
    <t>Decommission-</t>
  </si>
  <si>
    <t>ing</t>
  </si>
  <si>
    <t>Phone/Office Contact</t>
  </si>
  <si>
    <t>CS</t>
  </si>
  <si>
    <t>Subtotal CS</t>
  </si>
  <si>
    <t>Billing</t>
  </si>
  <si>
    <t>Customer Service</t>
  </si>
  <si>
    <t>Phone/Office</t>
  </si>
  <si>
    <t>Contact</t>
  </si>
  <si>
    <t>Decommissioning Expense</t>
  </si>
  <si>
    <t>Payroll Taxes</t>
  </si>
  <si>
    <t>Miscellaneous</t>
  </si>
  <si>
    <t>Nuclear Fuel</t>
  </si>
  <si>
    <t>Structures and Improvements-direct</t>
  </si>
  <si>
    <t>Furniture and Equipment-direct</t>
  </si>
  <si>
    <t>Transportation Equipment-direct</t>
  </si>
  <si>
    <t>Garage, Shop, Tools &amp; Work Equip.-direct</t>
  </si>
  <si>
    <t>Laboratory Equipment-direct</t>
  </si>
  <si>
    <t>Power Operated Equipment-direct</t>
  </si>
  <si>
    <t>Communication Equipment-direct</t>
  </si>
  <si>
    <t>Miscellaneous Equipment-direct</t>
  </si>
  <si>
    <t>Property-common</t>
  </si>
  <si>
    <t>Property-direct</t>
  </si>
  <si>
    <t>Unclassified-Plant In Service-Common</t>
  </si>
  <si>
    <t>Unclassified-Plant In Service-Direct</t>
  </si>
  <si>
    <t>A548</t>
  </si>
  <si>
    <t>DA</t>
  </si>
  <si>
    <t>Prepaid Postage</t>
  </si>
  <si>
    <t>Vendor/Miscellaneous Prepayments</t>
  </si>
  <si>
    <t>Other Prepayments</t>
  </si>
  <si>
    <t>Dec 1998 (settlement in Docket 22532)</t>
  </si>
  <si>
    <t>Bond Def. August 2002</t>
  </si>
  <si>
    <t>Bond Def. August 2006</t>
  </si>
  <si>
    <t>A413</t>
  </si>
  <si>
    <t>Royalties</t>
  </si>
  <si>
    <t>A414</t>
  </si>
  <si>
    <t>Gains and Allowances</t>
  </si>
  <si>
    <t>Jobbing and Contraction</t>
  </si>
  <si>
    <t>Other Non-Operating Income</t>
  </si>
  <si>
    <t>Lease-Leaseback Net Proceeds</t>
  </si>
  <si>
    <t>Lignite Royalties</t>
  </si>
  <si>
    <t>COSA Billing Fees</t>
  </si>
  <si>
    <t>Billing Income</t>
  </si>
  <si>
    <t>Sales Tax Collection Fees</t>
  </si>
  <si>
    <t>SAWS Investment Income</t>
  </si>
  <si>
    <t>Change in Investment on Fair Value</t>
  </si>
  <si>
    <t>Excludable (Non-Cash)</t>
  </si>
  <si>
    <t>Stock Materials Sold w/out City Payment</t>
  </si>
  <si>
    <t>Total Other Income</t>
  </si>
  <si>
    <t>TOTAL RB EXCLUDING PHFU</t>
  </si>
  <si>
    <t>RB Excluding PHFU</t>
  </si>
  <si>
    <t>subtotal A502-A506</t>
  </si>
  <si>
    <t>subtotal A511-A514</t>
  </si>
  <si>
    <t>demand-labor</t>
  </si>
  <si>
    <t>plt A364-365</t>
  </si>
  <si>
    <t>plt A36366-367</t>
  </si>
  <si>
    <t>plt A366-367</t>
  </si>
  <si>
    <t>plt A368</t>
  </si>
  <si>
    <t>Less: city payment on test year fuel</t>
  </si>
  <si>
    <t>Billing Expenses</t>
  </si>
  <si>
    <t>Less:  Fuel Other Revenue (wind premium)</t>
  </si>
  <si>
    <t>Other Revenue (credit) plus wind adjustment</t>
  </si>
  <si>
    <t>Plus: Base Rate Fuel @ 1.416 cents</t>
  </si>
  <si>
    <t>ck fig</t>
  </si>
  <si>
    <t>from summary</t>
  </si>
  <si>
    <t>9a</t>
  </si>
  <si>
    <t>diff</t>
  </si>
  <si>
    <t>Amortization of Bond Defeasance (zero out)</t>
  </si>
  <si>
    <t>Less: Transmission Rev Req (excluding Bond defeasance)</t>
  </si>
  <si>
    <t>Plus: Base Rate Fuel @ $2.20 per MCF</t>
  </si>
  <si>
    <t>Plus: Base Rate Transmission Charge(incl cp)</t>
  </si>
  <si>
    <t>Base rate transmission charge (w/o city pmt)</t>
  </si>
  <si>
    <t>Net Plant - Common</t>
  </si>
  <si>
    <t>Net Plant - Distribution</t>
  </si>
  <si>
    <t>4 CP average</t>
  </si>
  <si>
    <t>CPS Energy</t>
  </si>
  <si>
    <t>Property Ins.- Gas</t>
  </si>
  <si>
    <t>Property Ins.-Gas</t>
  </si>
  <si>
    <t>NPIS</t>
  </si>
  <si>
    <t>NPIS-Nuclear</t>
  </si>
  <si>
    <t>metering costs</t>
  </si>
  <si>
    <t>metering cost (mtrs in service report)</t>
  </si>
  <si>
    <t>MCF/kWh sales at meter</t>
  </si>
  <si>
    <t>Test Year Basic Revenue</t>
  </si>
  <si>
    <t>test year net revenue(basic)</t>
  </si>
  <si>
    <t>Expenses</t>
  </si>
  <si>
    <t>Other Revenue</t>
  </si>
  <si>
    <t>F&amp;C Income</t>
  </si>
  <si>
    <t>Interest Income</t>
  </si>
  <si>
    <t>transmission [st lite equiv = (Class NCP/4kw)]</t>
  </si>
  <si>
    <t>substation [st lite equiv = (Class NCP/4kw)]</t>
  </si>
  <si>
    <t># of primary customers[st lite equiv = (Class NCP/4kw)]</t>
  </si>
  <si>
    <t># of secondary customers[st lite equiv = (Class NCP/4kw)]</t>
  </si>
  <si>
    <t xml:space="preserve">  subtotal</t>
  </si>
  <si>
    <t>Late Payment Charge</t>
  </si>
  <si>
    <t>Total Other Income excluding Late Payments</t>
  </si>
  <si>
    <t>Late Payment(credit)</t>
  </si>
  <si>
    <t>Other Revenue excluding late payment(credit)</t>
  </si>
  <si>
    <t>Other Revenue exc late pmt (credit) plus wind adjustment</t>
  </si>
  <si>
    <t xml:space="preserve">   Late Payment</t>
  </si>
  <si>
    <t xml:space="preserve">   Late Payment(net of city payment)</t>
  </si>
  <si>
    <t>Allocation factors by class</t>
  </si>
  <si>
    <t>NPIS-Common</t>
  </si>
  <si>
    <t>NPIS-Dist</t>
  </si>
  <si>
    <t>NPIS-Gas</t>
  </si>
  <si>
    <t>NPIS-Production</t>
  </si>
  <si>
    <t>NPIS-Transmission</t>
  </si>
  <si>
    <t>Nuclear O&amp;M Expenses</t>
  </si>
  <si>
    <t>Base rate revenue</t>
  </si>
  <si>
    <t>Test Year F&amp;C Ratio</t>
  </si>
  <si>
    <t>$</t>
  </si>
  <si>
    <t>I.</t>
  </si>
  <si>
    <t>II.</t>
  </si>
  <si>
    <t>B.</t>
  </si>
  <si>
    <t>C.</t>
  </si>
  <si>
    <t>D.</t>
  </si>
  <si>
    <t>PL/LLP</t>
  </si>
  <si>
    <t>transmission</t>
  </si>
  <si>
    <t>Test Year Basic Revenue exc MU, SL, TS</t>
  </si>
  <si>
    <t>KWH @ generator excluding MU, SL, TS</t>
  </si>
  <si>
    <t>UCOS Index</t>
  </si>
  <si>
    <t>1.</t>
  </si>
  <si>
    <t>Rate Base-Inputs</t>
  </si>
  <si>
    <t>1. RB-I</t>
  </si>
  <si>
    <t>Plt-in-serv, Accum. Dep., Other Rate base Items</t>
  </si>
  <si>
    <t>split to gas &amp; electric systems/breakdown major functions (prod, trans,dist, etc)</t>
  </si>
  <si>
    <t>2.</t>
  </si>
  <si>
    <t>Rate Base-Net Plant</t>
  </si>
  <si>
    <t>2a. RB-np</t>
  </si>
  <si>
    <t>Net Plant $</t>
  </si>
  <si>
    <t>2b. RB-sf</t>
  </si>
  <si>
    <t>subfunctionalized $</t>
  </si>
  <si>
    <t>alloc to substations, primary lines, transformers, meters, etc.</t>
  </si>
  <si>
    <t>2c. RB-sfaf</t>
  </si>
  <si>
    <t>Subfunctionalization allocation factors</t>
  </si>
  <si>
    <t>3.</t>
  </si>
  <si>
    <t>Operating &amp; Maintenance Expenses</t>
  </si>
  <si>
    <t>including Admin &amp; General</t>
  </si>
  <si>
    <t>3a. OM_AG-i</t>
  </si>
  <si>
    <t>input page</t>
  </si>
  <si>
    <t>3b. OM_AG-sf</t>
  </si>
  <si>
    <t>3c. OM_AG-sfaf</t>
  </si>
  <si>
    <t>4.</t>
  </si>
  <si>
    <t>less Material &amp; Supplies</t>
  </si>
  <si>
    <t>Not used as a component of cost build-up, only</t>
  </si>
  <si>
    <t>used to calculate working capital cash by major function</t>
  </si>
  <si>
    <t>4b. OM less M&amp;S-sf</t>
  </si>
  <si>
    <t>used to calculate working capital cash by sub-function</t>
  </si>
  <si>
    <t>5.</t>
  </si>
  <si>
    <t>Depreciation Expense</t>
  </si>
  <si>
    <t>5a. DE-i</t>
  </si>
  <si>
    <t>not used</t>
  </si>
  <si>
    <t>5b. DE-sf</t>
  </si>
  <si>
    <t>6.</t>
  </si>
  <si>
    <t>Other Expenses/Other Revenue</t>
  </si>
  <si>
    <t>6a. OE_OR-i</t>
  </si>
  <si>
    <t>6b. OE_OR-sf</t>
  </si>
  <si>
    <t>6c. OE_OR-sfaf</t>
  </si>
  <si>
    <t>7.</t>
  </si>
  <si>
    <t>Labor</t>
  </si>
  <si>
    <t>Labor expense is included in O&amp;M expenses, only</t>
  </si>
  <si>
    <t>7a. LX_AG-i</t>
  </si>
  <si>
    <t>used to functionalize other costs</t>
  </si>
  <si>
    <t>7b. LX_AG-sf</t>
  </si>
  <si>
    <t>used to sub-functionalize other costs</t>
  </si>
  <si>
    <t>7c. LX_AG-sfaf</t>
  </si>
  <si>
    <t>8.</t>
  </si>
  <si>
    <t>8b. DS-cash-sf</t>
  </si>
  <si>
    <t>9.</t>
  </si>
  <si>
    <t>Summary</t>
  </si>
  <si>
    <t>9a. Summary Schedules</t>
  </si>
  <si>
    <t>cost of service by major function</t>
  </si>
  <si>
    <t>includes adj of fuel and transmission costs to base rate level</t>
  </si>
  <si>
    <t>9b. Summary Schedules-sf</t>
  </si>
  <si>
    <t>cost of service by subfunction</t>
  </si>
  <si>
    <t>10.</t>
  </si>
  <si>
    <t>Rate Class Summaries by subfunction</t>
  </si>
  <si>
    <t>10a. RB by class</t>
  </si>
  <si>
    <t>Rate Base</t>
  </si>
  <si>
    <t>10c. Cash by class</t>
  </si>
  <si>
    <t>Cash for construction</t>
  </si>
  <si>
    <t>does not represent total repair &amp; replacement cash</t>
  </si>
  <si>
    <t>10d-1. Fuel by class</t>
  </si>
  <si>
    <t>Base rate fuel level</t>
  </si>
  <si>
    <t>10d-2. Trans by class</t>
  </si>
  <si>
    <t>Base rate transmission costs</t>
  </si>
  <si>
    <t>Oper/Maint excl fuel &amp; transmission exp</t>
  </si>
  <si>
    <t>10f. AG by class</t>
  </si>
  <si>
    <t>Administrative &amp; General expenses</t>
  </si>
  <si>
    <t>10d-1, 10e &amp; 10f (going to add 10d-2)</t>
  </si>
  <si>
    <t>Interest paid on customer deposits</t>
  </si>
  <si>
    <t>this is already in test year expenses</t>
  </si>
  <si>
    <t>10i. STP-DC by class</t>
  </si>
  <si>
    <t>Customer Services</t>
  </si>
  <si>
    <t>Subtotal Customer Services</t>
  </si>
  <si>
    <t>Competitive Energy Svcs</t>
  </si>
  <si>
    <t>Subtotal Competitive Energy Svcs</t>
  </si>
  <si>
    <t>decommissioning expense</t>
  </si>
  <si>
    <t>10j. PAYTAX by class</t>
  </si>
  <si>
    <t>payroll taxes (this is incl in exp in test year)</t>
  </si>
  <si>
    <t>10k. G-Total Exp by class</t>
  </si>
  <si>
    <t>10l. CP by class</t>
  </si>
  <si>
    <t>city payment by class</t>
  </si>
  <si>
    <t>does not reflect total cp since cash on 10c is not total cash</t>
  </si>
  <si>
    <t>10m. Bad debt by class</t>
  </si>
  <si>
    <t>10n. Late payment by class</t>
  </si>
  <si>
    <t>Late payment charges</t>
  </si>
  <si>
    <t>10o. Other revenue by class</t>
  </si>
  <si>
    <t>Revenue other than Base Rate Revenue</t>
  </si>
  <si>
    <t>exc. late payment charges on 10n and interest income 10o</t>
  </si>
  <si>
    <t>10p. Interest income by class</t>
  </si>
  <si>
    <t>Interest income</t>
  </si>
  <si>
    <t>10q. TY summary by class</t>
  </si>
  <si>
    <t>Test Year Cost Allocation Summary</t>
  </si>
  <si>
    <t>summary of rate base, revenue, and expenses for test year</t>
  </si>
  <si>
    <t>11.</t>
  </si>
  <si>
    <t>Rate Class Allocation Factors</t>
  </si>
  <si>
    <t>11a. AF by class</t>
  </si>
  <si>
    <t>allocation factors used to allocate costs to class</t>
  </si>
  <si>
    <t>reference page for 11a.</t>
  </si>
  <si>
    <t>Note:</t>
  </si>
  <si>
    <t>Adjustments</t>
  </si>
  <si>
    <t>Adj Total</t>
  </si>
  <si>
    <t>Net</t>
  </si>
  <si>
    <t>less:</t>
  </si>
  <si>
    <t>Transmission rate base</t>
  </si>
  <si>
    <t>Plt held for future use (PHFU)</t>
  </si>
  <si>
    <t>Rate Base excluding PHFU</t>
  </si>
  <si>
    <t>Cost of Service rate base</t>
  </si>
  <si>
    <t>Rate Base (1. RB-I)</t>
  </si>
  <si>
    <t>Difference</t>
  </si>
  <si>
    <t>ln 9</t>
  </si>
  <si>
    <t>Interest on Customer Deposits</t>
  </si>
  <si>
    <t>ln 82</t>
  </si>
  <si>
    <t>ln 32</t>
  </si>
  <si>
    <t>test year actual fuel</t>
  </si>
  <si>
    <t>Transmission expenses</t>
  </si>
  <si>
    <t>ln 21</t>
  </si>
  <si>
    <t>ln 39</t>
  </si>
  <si>
    <t>ln 47</t>
  </si>
  <si>
    <t>ln 77</t>
  </si>
  <si>
    <t>ln 78</t>
  </si>
  <si>
    <t>Cost of Service expenses</t>
  </si>
  <si>
    <t>Plus:</t>
  </si>
  <si>
    <t>Base Rate Transmission Charge (exc cty pmt)</t>
  </si>
  <si>
    <t>Electric Financing &amp; Construction Summary by Class</t>
  </si>
  <si>
    <t>A. Inputs</t>
  </si>
  <si>
    <t>Inputs</t>
  </si>
  <si>
    <t>Test Year Summary</t>
  </si>
  <si>
    <t>Reconciliation of Data Input to 10q. Test Year Summary</t>
  </si>
  <si>
    <t>Tab</t>
  </si>
  <si>
    <t>line #</t>
  </si>
  <si>
    <t>input from gas model</t>
  </si>
  <si>
    <t>A415/416</t>
  </si>
  <si>
    <t>D</t>
  </si>
  <si>
    <t>E</t>
  </si>
  <si>
    <t>C</t>
  </si>
  <si>
    <t xml:space="preserve">Demand </t>
  </si>
  <si>
    <t>10d-1, 10d-2, 10e, 10f, 10i, 10j</t>
  </si>
  <si>
    <t>STP payroll taxes portion is included here</t>
  </si>
  <si>
    <t>.</t>
  </si>
  <si>
    <t># of customers-yr end</t>
  </si>
  <si>
    <t>Total Expenses</t>
  </si>
  <si>
    <t>RES</t>
  </si>
  <si>
    <t>System F&amp;C%</t>
  </si>
  <si>
    <t>Fuel Adjustment</t>
  </si>
  <si>
    <t>Reg Adjustment</t>
  </si>
  <si>
    <t>kwh sales</t>
  </si>
  <si>
    <t>F&amp;C income assuming equal %</t>
  </si>
  <si>
    <t>City Payment assuming equal F&amp;C%</t>
  </si>
  <si>
    <t>Rev Req equal F&amp;C% including fuel/reg adj</t>
  </si>
  <si>
    <t>Test Year Grand Total including fuel/reg adj</t>
  </si>
  <si>
    <t>Rate Base Accounts</t>
  </si>
  <si>
    <t>Reference</t>
  </si>
  <si>
    <t xml:space="preserve">Total </t>
  </si>
  <si>
    <t xml:space="preserve">Account </t>
  </si>
  <si>
    <t>Total</t>
  </si>
  <si>
    <t>Non-Regulated</t>
  </si>
  <si>
    <t>Allocation to</t>
  </si>
  <si>
    <t>Account # /</t>
  </si>
  <si>
    <t>Description</t>
  </si>
  <si>
    <t>Schedule</t>
  </si>
  <si>
    <t>Company</t>
  </si>
  <si>
    <t>Transfer</t>
  </si>
  <si>
    <t>or Non-Electric</t>
  </si>
  <si>
    <t>Electric</t>
  </si>
  <si>
    <t>Texas</t>
  </si>
  <si>
    <t>Transmission</t>
  </si>
  <si>
    <t>Distribution</t>
  </si>
  <si>
    <t>CPS Acct. #</t>
  </si>
  <si>
    <t>ELECTRIC PLANT IN SERVICE:</t>
  </si>
  <si>
    <t>Steam Production</t>
  </si>
  <si>
    <t>A310/110</t>
  </si>
  <si>
    <t>Land &amp; Land Rights</t>
  </si>
  <si>
    <t>A311/111</t>
  </si>
  <si>
    <t>Structures and Improvements</t>
  </si>
  <si>
    <t>A312/112</t>
  </si>
  <si>
    <t xml:space="preserve">Boiler Plant Equipment </t>
  </si>
  <si>
    <t>A313/</t>
  </si>
  <si>
    <t>Engines/Engine Driven Gen.</t>
  </si>
  <si>
    <t>A314/114</t>
  </si>
  <si>
    <t>Turbogenerator Units</t>
  </si>
  <si>
    <t>A315/115</t>
  </si>
  <si>
    <t>Accessory Electric Equip.</t>
  </si>
  <si>
    <t>A316/116</t>
  </si>
  <si>
    <t>Misc. Power Plant Equip.</t>
  </si>
  <si>
    <t>Total Steam Production</t>
  </si>
  <si>
    <t>Nuclear Production</t>
  </si>
  <si>
    <t>A320/120</t>
  </si>
  <si>
    <t>A321/121</t>
  </si>
  <si>
    <t>A322/122</t>
  </si>
  <si>
    <t xml:space="preserve">Reactor Plant Equipment </t>
  </si>
  <si>
    <t>A323/123</t>
  </si>
  <si>
    <t>A324/124</t>
  </si>
  <si>
    <t>A325/125</t>
  </si>
  <si>
    <t>Total Nuclear Production</t>
  </si>
  <si>
    <t>Hydraulic Production</t>
  </si>
  <si>
    <t>A330</t>
  </si>
  <si>
    <t>A331</t>
  </si>
  <si>
    <t>A332</t>
  </si>
  <si>
    <t>A333</t>
  </si>
  <si>
    <t>Water Wheels, Turbines, &amp; Generators</t>
  </si>
  <si>
    <t>A334</t>
  </si>
  <si>
    <t>Accessory Electric Equipment</t>
  </si>
  <si>
    <t>A335</t>
  </si>
  <si>
    <t>Miscellaneous Power Plant Equip.</t>
  </si>
  <si>
    <t>A336</t>
  </si>
  <si>
    <t>Roads, Railroads, and Bridges</t>
  </si>
  <si>
    <t>Total Hydraulic Production</t>
  </si>
  <si>
    <t>Other Production</t>
  </si>
  <si>
    <t>A340</t>
  </si>
  <si>
    <t>A341</t>
  </si>
  <si>
    <t>A342</t>
  </si>
  <si>
    <t>Fuel Holder, Producer &amp; Acc</t>
  </si>
  <si>
    <t>A343</t>
  </si>
  <si>
    <t>Prime Movers</t>
  </si>
  <si>
    <t>A344</t>
  </si>
  <si>
    <t>Generators</t>
  </si>
  <si>
    <t>A345</t>
  </si>
  <si>
    <t>Accessory Plant Equipment</t>
  </si>
  <si>
    <t>A346</t>
  </si>
  <si>
    <t>Misc. Power Plant Equipment</t>
  </si>
  <si>
    <t>Total Other Production</t>
  </si>
  <si>
    <t>Total Production Plant</t>
  </si>
  <si>
    <t>Electric Transmission Plant</t>
  </si>
  <si>
    <t>A350/150</t>
  </si>
  <si>
    <t>Land and Land Rights</t>
  </si>
  <si>
    <t>A352</t>
  </si>
  <si>
    <t>A353/153</t>
  </si>
  <si>
    <t>Station Equipment</t>
  </si>
  <si>
    <t>A354</t>
  </si>
  <si>
    <t>Towers and Fixtures</t>
  </si>
  <si>
    <t>A355/155</t>
  </si>
  <si>
    <t>Poles and Fixtures</t>
  </si>
  <si>
    <t>A356/156</t>
  </si>
  <si>
    <t>O.H. Conductors &amp; Devices</t>
  </si>
  <si>
    <t>A357/157</t>
  </si>
  <si>
    <t>A358</t>
  </si>
  <si>
    <t>Underground Conductors</t>
  </si>
  <si>
    <t>A359</t>
  </si>
  <si>
    <t>Roads and Trails</t>
  </si>
  <si>
    <t>Total Electric Transmission Plant</t>
  </si>
  <si>
    <t>Electric Distribution Plant</t>
  </si>
  <si>
    <t>A360/160</t>
  </si>
  <si>
    <t>A361/161</t>
  </si>
  <si>
    <t>A362/162</t>
  </si>
  <si>
    <t>A363</t>
  </si>
  <si>
    <t>Storage Battery Equipment</t>
  </si>
  <si>
    <t>A364/164</t>
  </si>
  <si>
    <t>A365/165</t>
  </si>
  <si>
    <t>A366/166</t>
  </si>
  <si>
    <t>Underground Conduits</t>
  </si>
  <si>
    <t>A367/167</t>
  </si>
  <si>
    <t>U.G. Conductors &amp; Devices</t>
  </si>
  <si>
    <t>A368/168</t>
  </si>
  <si>
    <t>Line Transformers</t>
  </si>
  <si>
    <t>A369/169</t>
  </si>
  <si>
    <t>Services</t>
  </si>
  <si>
    <t>A370/170</t>
  </si>
  <si>
    <t>Meters</t>
  </si>
  <si>
    <t>A371</t>
  </si>
  <si>
    <t>Install. on Customer Prem.</t>
  </si>
  <si>
    <t>A372</t>
  </si>
  <si>
    <t>Leased Prop. on Cust. Premises</t>
  </si>
  <si>
    <t>A373/173</t>
  </si>
  <si>
    <t>Street Lights</t>
  </si>
  <si>
    <t>Total Electric Distribution Plant</t>
  </si>
  <si>
    <t>Total Production, Transmission, &amp; Distribution</t>
  </si>
  <si>
    <t>TOTAL ELECTRIC PLANT IN SERVICE</t>
  </si>
  <si>
    <t>GAS PLANT IN SERVICE:</t>
  </si>
  <si>
    <t>Gas Distribution Plant</t>
  </si>
  <si>
    <t>Land &amp; Rights, Right of Way</t>
  </si>
  <si>
    <t>Gas Mains</t>
  </si>
  <si>
    <t>Compressor Station Equipment</t>
  </si>
  <si>
    <t>Meas &amp; Reg Station Equip, General</t>
  </si>
  <si>
    <t>Meas &amp; Reg Station Equip, Gate Sta</t>
  </si>
  <si>
    <t>Meters &amp; Installation</t>
  </si>
  <si>
    <t>House Regulators &amp; Install.</t>
  </si>
  <si>
    <t>Ind Meas &amp; Reg Station Equipment</t>
  </si>
  <si>
    <t>Gas Lighting for City Parks</t>
  </si>
  <si>
    <t>Total Gas Distribution Plant</t>
  </si>
  <si>
    <t>TOTAL GAS PLANT IN SERVICE</t>
  </si>
  <si>
    <t>COMMON PLANT IN SERVICE:</t>
  </si>
  <si>
    <t xml:space="preserve">    /389</t>
  </si>
  <si>
    <t xml:space="preserve">    /390</t>
  </si>
  <si>
    <t xml:space="preserve">    /391</t>
  </si>
  <si>
    <t xml:space="preserve">    /392</t>
  </si>
  <si>
    <t xml:space="preserve">    /393</t>
  </si>
  <si>
    <t xml:space="preserve">    /394</t>
  </si>
  <si>
    <t xml:space="preserve">    /395</t>
  </si>
  <si>
    <t xml:space="preserve">    /397</t>
  </si>
  <si>
    <t xml:space="preserve">    /398</t>
  </si>
  <si>
    <t>TOTAL COMMON PLANT IN SERVICE</t>
  </si>
  <si>
    <t>UNCLASSIFIED PLANT</t>
  </si>
  <si>
    <t xml:space="preserve">    /666</t>
  </si>
  <si>
    <t>TOTAL UNCLASSIFIED PLANT IN SERVICE</t>
  </si>
  <si>
    <t>TOTAL PLANT IN SERVICE</t>
  </si>
  <si>
    <t>ACCUMULATED DEPRECIATION &amp; AMORTIZATION</t>
  </si>
  <si>
    <t>Water Wheels, Turbines, and Generators</t>
  </si>
  <si>
    <t>TOTAL ELECTRIC ACCUMULATED DEPRECIATION</t>
  </si>
  <si>
    <t>TOTAL GAS PLANT ACCUMULATED DEPRECIATION</t>
  </si>
  <si>
    <t>TOTAL ACCUMULATED DEP. AND AMORT.</t>
  </si>
  <si>
    <t>NET PLANT IN SERVICE</t>
  </si>
  <si>
    <t>Other Rate Base Items</t>
  </si>
  <si>
    <t>Plant Held for Future Use</t>
  </si>
  <si>
    <t>Customer Deposits</t>
  </si>
  <si>
    <t>Reserve for Insurance</t>
  </si>
  <si>
    <t>STP Property Insurance Reserve</t>
  </si>
  <si>
    <t>CPS Property Insurance Reserve</t>
  </si>
  <si>
    <t>Subtotal Insurance Reserves</t>
  </si>
  <si>
    <t>Reserve for Injuries and Damages</t>
  </si>
  <si>
    <t xml:space="preserve">CWIP  </t>
  </si>
  <si>
    <t>ADIT &amp; FAS 109 Accounts</t>
  </si>
  <si>
    <t>A281</t>
  </si>
  <si>
    <t>ADIT-Accelerated Amortization</t>
  </si>
  <si>
    <t>A282</t>
  </si>
  <si>
    <t>ADIT-Other Property</t>
  </si>
  <si>
    <t>A283</t>
  </si>
  <si>
    <t>ADIT-Other</t>
  </si>
  <si>
    <t>A190</t>
  </si>
  <si>
    <t>ADIT</t>
  </si>
  <si>
    <t>A</t>
  </si>
  <si>
    <t>FAS 109 Regulatory Assets</t>
  </si>
  <si>
    <t>FAS 109 Regulatory Liabilities</t>
  </si>
  <si>
    <t>ADIT-FAS 109 Related Accts</t>
  </si>
  <si>
    <t>Subtotal</t>
  </si>
  <si>
    <t>Working Capital</t>
  </si>
  <si>
    <t>Cash from Operations</t>
  </si>
  <si>
    <t>Fuel Inventory</t>
  </si>
  <si>
    <t>Material and Supplies</t>
  </si>
  <si>
    <t>Prepayments</t>
  </si>
  <si>
    <t>CPS Prepaid Insurance</t>
  </si>
  <si>
    <t>STP Prepaid Insurance</t>
  </si>
  <si>
    <t>Sales Tax</t>
  </si>
  <si>
    <t>TECP Expense</t>
  </si>
  <si>
    <t>Insurance</t>
  </si>
  <si>
    <t>Texas Franchise Tax</t>
  </si>
  <si>
    <t>Texas Misc. City/County Taxes</t>
  </si>
  <si>
    <t>Computer Software</t>
  </si>
  <si>
    <t>TOTAL RATE BASE</t>
  </si>
  <si>
    <t>Account</t>
  </si>
  <si>
    <t>General</t>
  </si>
  <si>
    <t>Total Transmission Expenses</t>
  </si>
  <si>
    <t>Total Distribution Expenses</t>
  </si>
  <si>
    <t>Total Distribution</t>
  </si>
  <si>
    <t>Production</t>
  </si>
  <si>
    <t>No.</t>
  </si>
  <si>
    <t xml:space="preserve"> </t>
  </si>
  <si>
    <t>Power Production Expenses</t>
  </si>
  <si>
    <t>Steam Power Generation</t>
  </si>
  <si>
    <t>Operation</t>
  </si>
  <si>
    <t>A500</t>
  </si>
  <si>
    <t>Operation Super. &amp; Eng.</t>
  </si>
  <si>
    <t>A501</t>
  </si>
  <si>
    <t>Eligible Fuel</t>
  </si>
  <si>
    <t>Non Eligible Fuel</t>
  </si>
  <si>
    <t>A502</t>
  </si>
  <si>
    <t>Steam Expenses</t>
  </si>
  <si>
    <t>A503</t>
  </si>
  <si>
    <t>Lake &amp; Pumping Equipment</t>
  </si>
  <si>
    <t>A505</t>
  </si>
  <si>
    <t>Electric Expenses</t>
  </si>
  <si>
    <t>A506</t>
  </si>
  <si>
    <t>Misc. Steam power Expenses</t>
  </si>
  <si>
    <t>A507</t>
  </si>
  <si>
    <t>Rents</t>
  </si>
  <si>
    <t>Maintenance</t>
  </si>
  <si>
    <t>A510</t>
  </si>
  <si>
    <t>Maint. Super. &amp; Eng.</t>
  </si>
  <si>
    <t>A511</t>
  </si>
  <si>
    <t>Maint. of Structures</t>
  </si>
  <si>
    <t>A512</t>
  </si>
  <si>
    <t>Maint. of Boiler Plant</t>
  </si>
  <si>
    <t>A513</t>
  </si>
  <si>
    <t>Maint. of Electric Plant</t>
  </si>
  <si>
    <t>A514</t>
  </si>
  <si>
    <t>Maint. of Misc. Steam Plant</t>
  </si>
  <si>
    <t>A515</t>
  </si>
  <si>
    <t>Electricity Used by Gas Dept.</t>
  </si>
  <si>
    <t>Nuclear Power Generation</t>
  </si>
  <si>
    <t>A517</t>
  </si>
  <si>
    <t>Operation Supervision</t>
  </si>
  <si>
    <t>A518</t>
  </si>
  <si>
    <t>Nuclear Fuel-Direct</t>
  </si>
  <si>
    <t>A519</t>
  </si>
  <si>
    <t>Coolants and Water</t>
  </si>
  <si>
    <t>A520</t>
  </si>
  <si>
    <t>A523</t>
  </si>
  <si>
    <t>Electric expenses</t>
  </si>
  <si>
    <t>A524</t>
  </si>
  <si>
    <t>Misc. Nuclear Power Expenses</t>
  </si>
  <si>
    <t>A525</t>
  </si>
  <si>
    <t>Rents-Allocable</t>
  </si>
  <si>
    <t>A528</t>
  </si>
  <si>
    <t>Maint. Supervision</t>
  </si>
  <si>
    <t>A529</t>
  </si>
  <si>
    <t>A530</t>
  </si>
  <si>
    <t>Maint. of Reactor Plant</t>
  </si>
  <si>
    <t>A531</t>
  </si>
  <si>
    <t>A532</t>
  </si>
  <si>
    <t>Maint. of Misc. Nuclear Plant</t>
  </si>
  <si>
    <t>A535</t>
  </si>
  <si>
    <t>A536</t>
  </si>
  <si>
    <t>Water for Power</t>
  </si>
  <si>
    <t>A537</t>
  </si>
  <si>
    <t>A538</t>
  </si>
  <si>
    <t>A539</t>
  </si>
  <si>
    <t>A540</t>
  </si>
  <si>
    <t>A541</t>
  </si>
  <si>
    <t>A542</t>
  </si>
  <si>
    <t>A543</t>
  </si>
  <si>
    <t>Maint. of Reservoirs, Dams, &amp; Waterways</t>
  </si>
  <si>
    <t>A544</t>
  </si>
  <si>
    <t>A545</t>
  </si>
  <si>
    <t>Other Power Generation</t>
  </si>
  <si>
    <t>A546</t>
  </si>
  <si>
    <t>Operation Super. &amp; Engin.</t>
  </si>
  <si>
    <t>A547</t>
  </si>
  <si>
    <t>Fuel</t>
  </si>
  <si>
    <t xml:space="preserve">A549 </t>
  </si>
  <si>
    <t>Misc. Other Power Generation</t>
  </si>
  <si>
    <t>A550</t>
  </si>
  <si>
    <t>A551</t>
  </si>
  <si>
    <t>Maintenance Super. &amp; Engin.</t>
  </si>
  <si>
    <t>A552</t>
  </si>
  <si>
    <t>Maintenance of Structures</t>
  </si>
  <si>
    <t>A553</t>
  </si>
  <si>
    <t>Maint. Gener. &amp; Elect. Plt.</t>
  </si>
  <si>
    <t>A554</t>
  </si>
  <si>
    <t>Maint. Misc. Other power</t>
  </si>
  <si>
    <t>Other Power Supply</t>
  </si>
  <si>
    <t>A555</t>
  </si>
  <si>
    <t>Purchased Power Demand</t>
  </si>
  <si>
    <t>Purchased Power Direct</t>
  </si>
  <si>
    <t>Net Trans. Expense-Recon. Fuel</t>
  </si>
  <si>
    <t>Off System Sales Credit</t>
  </si>
  <si>
    <t>A556</t>
  </si>
  <si>
    <t>System Control &amp; Load Dispatch</t>
  </si>
  <si>
    <t>A557</t>
  </si>
  <si>
    <t>Other</t>
  </si>
  <si>
    <t>Subtotal(Other Power Supply)</t>
  </si>
  <si>
    <t>Total Power Production Expense</t>
  </si>
  <si>
    <t>Transmission Expense</t>
  </si>
  <si>
    <t>A560</t>
  </si>
  <si>
    <t>A561</t>
  </si>
  <si>
    <t>Load Dispatching</t>
  </si>
  <si>
    <t>A562</t>
  </si>
  <si>
    <t>A563</t>
  </si>
  <si>
    <t>Overhead Line Expense</t>
  </si>
  <si>
    <t>A564</t>
  </si>
  <si>
    <t>Underground Line Expense</t>
  </si>
  <si>
    <t>A565</t>
  </si>
  <si>
    <t>Wheeling Expense</t>
  </si>
  <si>
    <t>A566</t>
  </si>
  <si>
    <t>Misc. Transmission Expense</t>
  </si>
  <si>
    <t>A567</t>
  </si>
  <si>
    <t>A568</t>
  </si>
  <si>
    <t>A569</t>
  </si>
  <si>
    <t>A570</t>
  </si>
  <si>
    <t>Maint. of Station Equipment</t>
  </si>
  <si>
    <t>A571</t>
  </si>
  <si>
    <t>Maint. of Overhead Lines</t>
  </si>
  <si>
    <t>A572</t>
  </si>
  <si>
    <t>Maint. of Underground Lines</t>
  </si>
  <si>
    <t>A573</t>
  </si>
  <si>
    <t>Maint. of Misc. Trans.Plant</t>
  </si>
  <si>
    <t>A580</t>
  </si>
  <si>
    <t>A581</t>
  </si>
  <si>
    <t>A582</t>
  </si>
  <si>
    <t>Station Expense</t>
  </si>
  <si>
    <t>A583</t>
  </si>
  <si>
    <t xml:space="preserve">Overhead Line Expense </t>
  </si>
  <si>
    <t>A584</t>
  </si>
  <si>
    <t>A585</t>
  </si>
  <si>
    <t>Street Light &amp; Signal Systems</t>
  </si>
  <si>
    <t>A586</t>
  </si>
  <si>
    <t>Meter Expenses</t>
  </si>
  <si>
    <t>A587</t>
  </si>
  <si>
    <t>Customer Installation Expense</t>
  </si>
  <si>
    <t>A588</t>
  </si>
  <si>
    <t>Misc. Distribution Expenses</t>
  </si>
  <si>
    <t>A589</t>
  </si>
  <si>
    <t>A590</t>
  </si>
  <si>
    <t>Maintenance Super.&amp; Engin.</t>
  </si>
  <si>
    <t>A591</t>
  </si>
  <si>
    <t>A592</t>
  </si>
  <si>
    <t>A593</t>
  </si>
  <si>
    <t>A594</t>
  </si>
  <si>
    <t>A595</t>
  </si>
  <si>
    <t>Maint. of Line Transformers</t>
  </si>
  <si>
    <t>A596</t>
  </si>
  <si>
    <t>Maint. of Street Lights</t>
  </si>
  <si>
    <t>A597</t>
  </si>
  <si>
    <t>Maint. of Meters</t>
  </si>
  <si>
    <t>A598</t>
  </si>
  <si>
    <t>Maint. of Misc. Dist. Plant.</t>
  </si>
  <si>
    <t>Total Prod., Trans., &amp; Dist. Expenses</t>
  </si>
  <si>
    <t>Customer and Information Expenses</t>
  </si>
  <si>
    <t>Customer Accounts Expenses</t>
  </si>
  <si>
    <t>A901</t>
  </si>
  <si>
    <t>Supervision</t>
  </si>
  <si>
    <t>A902</t>
  </si>
  <si>
    <t>Meter Reading Expense</t>
  </si>
  <si>
    <t>A903</t>
  </si>
  <si>
    <t>Customer Records &amp; Collect.</t>
  </si>
  <si>
    <t>A904</t>
  </si>
  <si>
    <t>Uncollectible Accounts</t>
  </si>
  <si>
    <t>A905</t>
  </si>
  <si>
    <t>Misc. Customer Account Exp.</t>
  </si>
  <si>
    <t>Cust. Service &amp; Information Expense</t>
  </si>
  <si>
    <t>A906</t>
  </si>
  <si>
    <t>Customer Svc. &amp; Infor.</t>
  </si>
  <si>
    <t>A907</t>
  </si>
  <si>
    <t>A908</t>
  </si>
  <si>
    <t>Customer Assistance</t>
  </si>
  <si>
    <t>A909</t>
  </si>
  <si>
    <t>Inform. &amp; Instruct. Adv. Exp.</t>
  </si>
  <si>
    <t>A910</t>
  </si>
  <si>
    <t>Misc. Cust. Service &amp; Inform.</t>
  </si>
  <si>
    <t>Sales Expense</t>
  </si>
  <si>
    <t>Demonstrating &amp; Selling Exp.</t>
  </si>
  <si>
    <t>A913</t>
  </si>
  <si>
    <t>A916</t>
  </si>
  <si>
    <t>Misc. Sales Exp.</t>
  </si>
  <si>
    <t>A917</t>
  </si>
  <si>
    <t>A920</t>
  </si>
  <si>
    <t>Admin. &amp; General Salaries</t>
  </si>
  <si>
    <t>A921</t>
  </si>
  <si>
    <t>Office Supplies</t>
  </si>
  <si>
    <t>A922</t>
  </si>
  <si>
    <t>Admin. Exp. Transferred</t>
  </si>
  <si>
    <t>A923</t>
  </si>
  <si>
    <t>Outside Services</t>
  </si>
  <si>
    <t>A924</t>
  </si>
  <si>
    <t>Property Insurance Exp.</t>
  </si>
  <si>
    <t>Property Ins.-Prod. Plant</t>
  </si>
  <si>
    <t>Property Ins.-Transmission Plant</t>
  </si>
  <si>
    <t>Property Ins.-Distribution</t>
  </si>
  <si>
    <t>Property Ins.-STP</t>
  </si>
  <si>
    <t>Subtotal (A924)</t>
  </si>
  <si>
    <t>A925</t>
  </si>
  <si>
    <t>Injuries &amp; Damages</t>
  </si>
  <si>
    <t>A926</t>
  </si>
  <si>
    <t>Pensions &amp; Benefits</t>
  </si>
  <si>
    <t>A927</t>
  </si>
  <si>
    <t>Franchise Requirements</t>
  </si>
  <si>
    <t>A928</t>
  </si>
  <si>
    <t xml:space="preserve">Regulatory Commission </t>
  </si>
  <si>
    <t>A929</t>
  </si>
  <si>
    <t>Duplicate Charges</t>
  </si>
  <si>
    <t>A930</t>
  </si>
  <si>
    <t>Misc. General Expense</t>
  </si>
  <si>
    <t>A931</t>
  </si>
  <si>
    <t>A932</t>
  </si>
  <si>
    <t>Maint. of General Plant</t>
  </si>
  <si>
    <t>Total Admin. &amp; General Expense</t>
  </si>
  <si>
    <t>Total Common Operation &amp; Maintenance</t>
  </si>
  <si>
    <t>Total Operation &amp; Maintenance Expense</t>
  </si>
  <si>
    <t>Taxes Other than Income Taxes</t>
  </si>
  <si>
    <t>Non Revenue Related</t>
  </si>
  <si>
    <t>FICA</t>
  </si>
  <si>
    <t>FUTA</t>
  </si>
  <si>
    <t>Total Federal</t>
  </si>
  <si>
    <t>Property</t>
  </si>
  <si>
    <t>Total Property</t>
  </si>
  <si>
    <t>Unemployment</t>
  </si>
  <si>
    <t>Franchise</t>
  </si>
  <si>
    <t>Use Tax</t>
  </si>
  <si>
    <t>Other Non Revenue</t>
  </si>
  <si>
    <t>Payroll</t>
  </si>
  <si>
    <t>Total Other Non Revenue</t>
  </si>
  <si>
    <t>Total Non Revenue Related</t>
  </si>
  <si>
    <t>Revenue Related</t>
  </si>
  <si>
    <t>Taxes</t>
  </si>
  <si>
    <t>Sales</t>
  </si>
  <si>
    <t xml:space="preserve">Public Utility Commission </t>
  </si>
  <si>
    <t>Occupational Street Rental</t>
  </si>
  <si>
    <t>Total Revenue Related</t>
  </si>
  <si>
    <t>Total Taxes Other Than Income Taxes</t>
  </si>
  <si>
    <t>Federal Income Taxes</t>
  </si>
  <si>
    <t>Return on Rate Base</t>
  </si>
  <si>
    <t>Deduct:</t>
  </si>
  <si>
    <t>Synchronized Interest</t>
  </si>
  <si>
    <t>ITC Amortization</t>
  </si>
  <si>
    <t>Amort. of Excess(Deficient) Taxes</t>
  </si>
  <si>
    <t>Other Deduction 1</t>
  </si>
  <si>
    <t>Other Deduction 2</t>
  </si>
  <si>
    <t>Other Deduction 3</t>
  </si>
  <si>
    <t>Add:</t>
  </si>
  <si>
    <t>Depreciation Addback</t>
  </si>
  <si>
    <t>Meals and Entertainment</t>
  </si>
  <si>
    <t>Other Addition 1</t>
  </si>
  <si>
    <t>Other Addition 2</t>
  </si>
  <si>
    <t>Other Addition 3</t>
  </si>
  <si>
    <t>Taxable Component of Return</t>
  </si>
  <si>
    <t>Tax Factor</t>
  </si>
  <si>
    <t>Federal Income Taxes Before Adjust.</t>
  </si>
  <si>
    <t>Other Items</t>
  </si>
  <si>
    <t>Interest On Customer Deposits</t>
  </si>
  <si>
    <t>Other Revenues</t>
  </si>
  <si>
    <t>A447</t>
  </si>
  <si>
    <t>Interruptible Service</t>
  </si>
  <si>
    <t>A450</t>
  </si>
  <si>
    <t>Late Payments</t>
  </si>
  <si>
    <t>A451</t>
  </si>
  <si>
    <t>Misc. Service Revenue</t>
  </si>
  <si>
    <t>A453</t>
  </si>
  <si>
    <t>Water and Water Power</t>
  </si>
  <si>
    <t>A454</t>
  </si>
  <si>
    <t xml:space="preserve">Rent from Property </t>
  </si>
  <si>
    <t>A456</t>
  </si>
  <si>
    <t>Operation &amp; Maintenance</t>
  </si>
  <si>
    <t>NET ELECTRIC PLANT IN SERVICE:</t>
  </si>
  <si>
    <t>TOTAL NET ELECTRIC PLANT IN SERVICE</t>
  </si>
  <si>
    <t>TOTAL NET COMMON PLANT IN SERVICE</t>
  </si>
  <si>
    <t>TOTAL NET GAS PLANT IN SERVICE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</si>
  <si>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</si>
  <si>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</si>
  <si>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</si>
  <si>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</si>
  <si>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</si>
  <si>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</si>
  <si>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</si>
  <si>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</si>
  <si>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</si>
  <si>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difference</t>
  </si>
  <si>
    <t xml:space="preserve"> (DISTMAX)</t>
  </si>
  <si>
    <t xml:space="preserve"> A591-598.1</t>
  </si>
  <si>
    <t>A581-587,589</t>
  </si>
  <si>
    <t>(DISTOPX)</t>
  </si>
  <si>
    <t>(C906-9)</t>
  </si>
  <si>
    <t>(C902-3)</t>
  </si>
  <si>
    <t>(C912-7)</t>
  </si>
  <si>
    <t>ck</t>
  </si>
  <si>
    <t>figure</t>
  </si>
  <si>
    <t>Total Cust. Acct., Inform. &amp; Sale Exp.</t>
  </si>
  <si>
    <t>PAYXAG</t>
  </si>
  <si>
    <t>OMXAG</t>
  </si>
  <si>
    <t>Depreciation Expenses</t>
  </si>
  <si>
    <t>by function</t>
  </si>
  <si>
    <t>Purchased Gas</t>
  </si>
  <si>
    <t>Gas Operating Expenses</t>
  </si>
  <si>
    <t>A804</t>
  </si>
  <si>
    <t>Purchased Gas Expense</t>
  </si>
  <si>
    <t>Transmitting Charge (electric department)</t>
  </si>
  <si>
    <t>A807</t>
  </si>
  <si>
    <t>A812</t>
  </si>
  <si>
    <t>Distribution Expenses</t>
  </si>
  <si>
    <t>Supervision &amp; Engineering</t>
  </si>
  <si>
    <t>Operation - Compressed Natural Gas</t>
  </si>
  <si>
    <t>Fuel Power - Compressed Natural Gas</t>
  </si>
  <si>
    <t>Mains &amp; Service</t>
  </si>
  <si>
    <t>Measuring &amp; Regulator Stations - General</t>
  </si>
  <si>
    <t>Measuring &amp; Regulator Stations - Industrial</t>
  </si>
  <si>
    <t>Measuring &amp; Regulator Stations - City Gate</t>
  </si>
  <si>
    <t>Meters &amp; House Regulators</t>
  </si>
  <si>
    <t>Customer Installations</t>
  </si>
  <si>
    <t>Other Distribution Expense</t>
  </si>
  <si>
    <t>Structures &amp; Improvements</t>
  </si>
  <si>
    <t>Mains</t>
  </si>
  <si>
    <t>Compression Station Equipment</t>
  </si>
  <si>
    <t>Other Equipment</t>
  </si>
  <si>
    <t>Total Purchased Gas</t>
  </si>
  <si>
    <t>Total Gas Expenses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</si>
  <si>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</si>
  <si>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</si>
  <si>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</si>
  <si>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</si>
  <si>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</si>
  <si>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</si>
  <si>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</si>
  <si>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</si>
  <si>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</si>
  <si>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</si>
  <si>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</si>
  <si>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</si>
  <si>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</si>
  <si>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</si>
  <si>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</si>
  <si>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</si>
  <si>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</si>
  <si>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</si>
  <si>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</si>
  <si>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</si>
  <si>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</si>
  <si>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Total P,T,D,Gas,CA,CI,Sales</t>
  </si>
  <si>
    <t>A516</t>
  </si>
  <si>
    <t>Maint. Of Joint ops--credit</t>
  </si>
  <si>
    <t>A508</t>
  </si>
  <si>
    <t>Operation of Joint ops-credit</t>
  </si>
  <si>
    <t>A915</t>
  </si>
  <si>
    <t>A918</t>
  </si>
  <si>
    <t>Maint. Of Joint Ops--Credit</t>
  </si>
  <si>
    <t>Supervision-Marketing &amp; Sales</t>
  </si>
  <si>
    <t>Operation of Joint Ops--Credit</t>
  </si>
  <si>
    <t>A358/158</t>
  </si>
  <si>
    <t>Coal-Deferred debits and adjustments</t>
  </si>
  <si>
    <t>Total O&amp;M Expense less M&amp;S and Fuel</t>
  </si>
  <si>
    <t>O&amp;M less M&amp;S-Excluding Fuel (accts. 501 and 518)</t>
  </si>
  <si>
    <t>Less Prepayments</t>
  </si>
  <si>
    <t>B-10</t>
  </si>
  <si>
    <t>Working Capital Cash</t>
  </si>
  <si>
    <t>1/8 Total</t>
  </si>
  <si>
    <t>Purchased Power-Wholesale</t>
  </si>
  <si>
    <t>Purchased Power-Cogenerator</t>
  </si>
  <si>
    <t>Purchased Power-Economy Energy</t>
  </si>
  <si>
    <t>Purchased Power-Economy Energy Losses</t>
  </si>
  <si>
    <t>PLTXGEN-N</t>
  </si>
  <si>
    <t>Metering</t>
  </si>
  <si>
    <t>(M)</t>
  </si>
  <si>
    <t>TD-BILL</t>
  </si>
  <si>
    <t>TDCS</t>
  </si>
  <si>
    <t xml:space="preserve">Allocation to </t>
  </si>
  <si>
    <t>CES</t>
  </si>
  <si>
    <t>OTH</t>
  </si>
  <si>
    <t>(N)</t>
  </si>
  <si>
    <t>(O)</t>
  </si>
  <si>
    <t>(P)</t>
  </si>
  <si>
    <t>(Q)</t>
  </si>
  <si>
    <t>(R)</t>
  </si>
  <si>
    <t>TOMXFP</t>
  </si>
  <si>
    <t>GNLPLT-N</t>
  </si>
  <si>
    <t>by subfunction</t>
  </si>
  <si>
    <t>Demand related Distribution</t>
  </si>
  <si>
    <t>Customer Related</t>
  </si>
  <si>
    <t>non-fuel</t>
  </si>
  <si>
    <t>Primary</t>
  </si>
  <si>
    <t>Secondary</t>
  </si>
  <si>
    <t>Energy</t>
  </si>
  <si>
    <t>Demand</t>
  </si>
  <si>
    <t>Substation</t>
  </si>
  <si>
    <t>lines</t>
  </si>
  <si>
    <t>Transformers</t>
  </si>
  <si>
    <t>Streetlights</t>
  </si>
  <si>
    <t>ck figure</t>
  </si>
  <si>
    <t>(S)</t>
  </si>
  <si>
    <t>(T)</t>
  </si>
  <si>
    <t>(U)</t>
  </si>
  <si>
    <t>(V)</t>
  </si>
  <si>
    <t>(W)</t>
  </si>
  <si>
    <t>(X)</t>
  </si>
  <si>
    <t>Total Cust. Serv., Inform. &amp; Sale Exp.</t>
  </si>
  <si>
    <t>subtotal A902-905</t>
  </si>
  <si>
    <t>subtotal A906,908-910</t>
  </si>
  <si>
    <t>subtotal A912-917</t>
  </si>
  <si>
    <t>Total P,T,D,Gas,CA,CI</t>
  </si>
  <si>
    <t>Summary of Rate Base Allocation</t>
  </si>
  <si>
    <t>Function</t>
  </si>
  <si>
    <t>Gas</t>
  </si>
  <si>
    <t>System</t>
  </si>
  <si>
    <t>(C)</t>
  </si>
  <si>
    <t>Net Plant In Service</t>
  </si>
  <si>
    <t>CWIP</t>
  </si>
  <si>
    <t xml:space="preserve">Working Capital </t>
  </si>
  <si>
    <t>Total Rate Base</t>
  </si>
  <si>
    <t xml:space="preserve">Reference </t>
  </si>
  <si>
    <t>Eligible Fuel &amp; Pur. Power</t>
  </si>
  <si>
    <t>Administrative &amp; General</t>
  </si>
  <si>
    <t>Interest  on Customer Deposits</t>
  </si>
  <si>
    <t>Depreciation and Amortization</t>
  </si>
  <si>
    <t>Taxes Other Than Income Taxes</t>
  </si>
  <si>
    <t>Federal Income Tax</t>
  </si>
  <si>
    <t>RE</t>
  </si>
  <si>
    <t>RA</t>
  </si>
  <si>
    <t>PL</t>
  </si>
  <si>
    <t>LLP</t>
  </si>
  <si>
    <t>ELP</t>
  </si>
  <si>
    <t>SLP</t>
  </si>
  <si>
    <t>MU</t>
  </si>
  <si>
    <t>TS</t>
  </si>
  <si>
    <t>Non-fuel demand related</t>
  </si>
  <si>
    <t>Non-fuel energy related</t>
  </si>
  <si>
    <t>Subtotal non-fuel</t>
  </si>
  <si>
    <t>Total production</t>
  </si>
  <si>
    <t>Demand related</t>
  </si>
  <si>
    <t>Substations</t>
  </si>
  <si>
    <t>Primary lines</t>
  </si>
  <si>
    <t>Secondary lines</t>
  </si>
  <si>
    <t>Subtotal distribution demand related</t>
  </si>
  <si>
    <t>Customer related</t>
  </si>
  <si>
    <t>Subtotal distribution customer related</t>
  </si>
  <si>
    <t>base rate</t>
  </si>
  <si>
    <t>Total O&amp;M</t>
  </si>
  <si>
    <t>Total A&amp;G</t>
  </si>
  <si>
    <t>Total Revenue requirements</t>
  </si>
  <si>
    <t>Decommissioning</t>
  </si>
  <si>
    <t>(Y)</t>
  </si>
  <si>
    <t>(Z)</t>
  </si>
  <si>
    <t>(AA)</t>
  </si>
  <si>
    <t>(AB)</t>
  </si>
  <si>
    <t>(AC)</t>
  </si>
  <si>
    <t>(AD)</t>
  </si>
  <si>
    <t>(AE)</t>
  </si>
  <si>
    <t>(AF)</t>
  </si>
  <si>
    <t>(AG)</t>
  </si>
  <si>
    <t xml:space="preserve">Meter </t>
  </si>
  <si>
    <t>Reading</t>
  </si>
  <si>
    <t>Meter Reading</t>
  </si>
  <si>
    <t>Subtotal Metering</t>
  </si>
  <si>
    <t>Total STP Decommissioning Expense</t>
  </si>
  <si>
    <t>Total Interest on Customer Deposits</t>
  </si>
  <si>
    <t xml:space="preserve">Total Payroll Taxes </t>
  </si>
  <si>
    <t>Total Other Revenue</t>
  </si>
  <si>
    <t>(AH)</t>
  </si>
  <si>
    <t>Public</t>
  </si>
  <si>
    <t>Awareness</t>
  </si>
  <si>
    <t>Gen. Syst.</t>
  </si>
  <si>
    <t>Marketing</t>
  </si>
  <si>
    <t>Public Awareness</t>
  </si>
  <si>
    <t>General Services-General Services</t>
  </si>
  <si>
    <t>Promotional Advertising</t>
  </si>
  <si>
    <t>Customer</t>
  </si>
  <si>
    <t>Installation</t>
  </si>
  <si>
    <t>Customer installation</t>
  </si>
  <si>
    <t>Customer Installation</t>
  </si>
  <si>
    <t>Subtotal CES</t>
  </si>
  <si>
    <t>Total Fuel Expense</t>
  </si>
  <si>
    <t>Total O&amp;M, Fuel, A&amp;G Expense</t>
  </si>
  <si>
    <t>Funded by internally generated cash</t>
  </si>
  <si>
    <t xml:space="preserve">  Common plant in Service</t>
  </si>
  <si>
    <t>Total operating expenses</t>
  </si>
  <si>
    <t>Total non-fuel expenses</t>
  </si>
  <si>
    <t>total expenses</t>
  </si>
  <si>
    <t>Bond P&amp;I</t>
  </si>
  <si>
    <t>Commercial Paper P&amp;I</t>
  </si>
  <si>
    <t>Total Debt Service</t>
  </si>
  <si>
    <t>Amortization of Bond Defeasance</t>
  </si>
  <si>
    <t>Funded by Internally Generated Cash</t>
  </si>
  <si>
    <t>Subtotal Revenue Requirements</t>
  </si>
  <si>
    <t>City Payment</t>
  </si>
  <si>
    <t>Interest Income (credit)</t>
  </si>
  <si>
    <t># of customers</t>
  </si>
  <si>
    <t>Customer data</t>
  </si>
  <si>
    <t># of primary customers</t>
  </si>
  <si>
    <t># of secondary customers</t>
  </si>
  <si>
    <t xml:space="preserve">Services </t>
  </si>
  <si>
    <t>weighting</t>
  </si>
  <si>
    <t>weighted factor</t>
  </si>
  <si>
    <t>Weighted factor</t>
  </si>
  <si>
    <t>Meter reading</t>
  </si>
  <si>
    <t>TD-Bill</t>
  </si>
  <si>
    <t>times</t>
  </si>
  <si>
    <t>For Reconciliation Purposes</t>
  </si>
  <si>
    <t>Cash Flow Method</t>
  </si>
  <si>
    <t>UCOS Billed Revenue Requirements</t>
  </si>
  <si>
    <t>Unbundled Cost of Service(UCOS)</t>
  </si>
  <si>
    <t>Cost of Service(TCOS)</t>
  </si>
  <si>
    <t>TCOS Billed Revenue Requirements</t>
  </si>
  <si>
    <t xml:space="preserve">   Interest Income</t>
  </si>
  <si>
    <t xml:space="preserve">   Other Revenue</t>
  </si>
  <si>
    <t xml:space="preserve">   Bad Debt Expense</t>
  </si>
  <si>
    <t xml:space="preserve">   Interest Income (net of city payment)</t>
  </si>
  <si>
    <t xml:space="preserve">   Other Revenue (net of city payment)</t>
  </si>
  <si>
    <t>E-4</t>
  </si>
  <si>
    <t>STP Prepayments and Other</t>
  </si>
  <si>
    <t>check</t>
  </si>
  <si>
    <t>STP</t>
  </si>
  <si>
    <t>A850</t>
  </si>
  <si>
    <t>A853</t>
  </si>
  <si>
    <t>A857</t>
  </si>
  <si>
    <t>A863</t>
  </si>
  <si>
    <t>A865</t>
  </si>
  <si>
    <t>Transmission - Compressor Station Labor</t>
  </si>
  <si>
    <t xml:space="preserve">Transmission - Measuring and regulating </t>
  </si>
  <si>
    <t>Transmission - Maint of Mains</t>
  </si>
  <si>
    <t>Transmission - maint of Measuring</t>
  </si>
  <si>
    <t>Transmission - Operation Supervision</t>
  </si>
  <si>
    <t>Total Gas Transmission</t>
  </si>
  <si>
    <t>A911</t>
  </si>
  <si>
    <t>Informational Advertising</t>
  </si>
  <si>
    <t>Gross payroll (PAYXAG)</t>
  </si>
  <si>
    <t>LABEXPXAG</t>
  </si>
  <si>
    <t>LABEXPXAGSTP</t>
  </si>
  <si>
    <t>Generation</t>
  </si>
  <si>
    <t>Utility-Elec</t>
  </si>
  <si>
    <t>Utility-Gas</t>
  </si>
  <si>
    <t>TD-Billing</t>
  </si>
  <si>
    <t>TD-CS</t>
  </si>
  <si>
    <t>Comp Retail</t>
  </si>
  <si>
    <t xml:space="preserve">% </t>
  </si>
  <si>
    <t>O&amp;M Less Fuel</t>
  </si>
  <si>
    <t>Elec Only</t>
  </si>
  <si>
    <t>MCF</t>
  </si>
  <si>
    <t>kwh</t>
  </si>
  <si>
    <t>ln 22</t>
  </si>
  <si>
    <t>(with Pk Saver/Dmd Resp added back)</t>
  </si>
  <si>
    <t>Functionalization</t>
  </si>
  <si>
    <t>Method</t>
  </si>
  <si>
    <t>UG Conduit $</t>
  </si>
  <si>
    <t>OH Conductor $</t>
  </si>
  <si>
    <t>Pole Costs $</t>
  </si>
  <si>
    <t>UG conductor $</t>
  </si>
  <si>
    <t xml:space="preserve">Type Of </t>
  </si>
  <si>
    <t>Allocation</t>
  </si>
  <si>
    <t>Source Data</t>
  </si>
  <si>
    <t>Weightings</t>
  </si>
  <si>
    <t>payxag $</t>
  </si>
  <si>
    <t>Allocation Factor</t>
  </si>
  <si>
    <t>x</t>
  </si>
  <si>
    <t>A.  Calculation of Base Rate Revenue assuming equal F&amp;C%</t>
  </si>
  <si>
    <t>B.  Calculation of Total Revenue with equal F&amp;C%</t>
  </si>
  <si>
    <t>F&amp;C Ratio to System</t>
  </si>
  <si>
    <t>Gains (Losses) Sale of Utility Plant</t>
  </si>
  <si>
    <t xml:space="preserve"> DISTMAX</t>
  </si>
  <si>
    <t>DISTOPX-no M&amp;S</t>
  </si>
  <si>
    <t xml:space="preserve"> DISTMAX-no M&amp;S</t>
  </si>
  <si>
    <t>C902-3-no M&amp;S</t>
  </si>
  <si>
    <t>TOMXFP-no M&amp;S</t>
  </si>
  <si>
    <t>Net Common Plant-per 1. RB-i</t>
  </si>
  <si>
    <t>C902-3-Labor</t>
  </si>
  <si>
    <t>DISTOPX-Labor</t>
  </si>
  <si>
    <t xml:space="preserve"> DISTMAX-Labor</t>
  </si>
  <si>
    <t>(DISTOPX-Labor)</t>
  </si>
  <si>
    <t xml:space="preserve"> (DISTMAX-Labor)</t>
  </si>
  <si>
    <t>Labor excluding admin and general</t>
  </si>
  <si>
    <t>Rate Base Excluding Plant held for future use</t>
  </si>
  <si>
    <t>Labor total for accts 902-903</t>
  </si>
  <si>
    <t xml:space="preserve">Dist Ops expense allocator-Accts </t>
  </si>
  <si>
    <t>O&amp;M total for accts 902-903, exc Materials &amp; Supplies</t>
  </si>
  <si>
    <t>Total O&amp;M excluding Fuel and Purch Power</t>
  </si>
  <si>
    <t>Payroll excluding Admin &amp; General</t>
  </si>
  <si>
    <t>Elec/Gas; All functions</t>
  </si>
  <si>
    <t>Net Plant Excluding General/Common Plant</t>
  </si>
  <si>
    <t>Dist Ops Composite Allocator, comprised of FERC accts 581-587 and 589</t>
  </si>
  <si>
    <t>Composite Allocator, comprised of FERC accts 902 and 903</t>
  </si>
  <si>
    <t>Functionalization Factor Summary</t>
  </si>
  <si>
    <t>DISTMAX-no M&amp;S</t>
  </si>
  <si>
    <t>Metering, Billing, CS</t>
  </si>
  <si>
    <t>Acct 903 O&amp;M Allocator-Cust Records &amp; Collections Breakdown</t>
  </si>
  <si>
    <t>Acct 903 Labor Allocator-Cust Records &amp; Collections Breakdown</t>
  </si>
  <si>
    <t>Elec-Billing, Cust Svc</t>
  </si>
  <si>
    <t>C902-3</t>
  </si>
  <si>
    <t>Dist Maint Composite Allocator, comprised of FERC accts 591-597</t>
  </si>
  <si>
    <t>Dist Maint Composite Allocator, comprised of FERC accts 591-597; Labor only</t>
  </si>
  <si>
    <t>Dist Maint Composite Allocator, comprised of FERC accts 591-597; less M&amp;S</t>
  </si>
  <si>
    <t>Labor excluding admin and general and STP</t>
  </si>
  <si>
    <t>Reg Adjustment Factors</t>
  </si>
  <si>
    <t>$ per KWH</t>
  </si>
  <si>
    <t>1a. Funct Factors</t>
  </si>
  <si>
    <t>Steam</t>
  </si>
  <si>
    <t>Nuclear</t>
  </si>
  <si>
    <t>Coal</t>
  </si>
  <si>
    <t>Cost of Service(COS)</t>
  </si>
  <si>
    <t>Intangible Plant</t>
  </si>
  <si>
    <t>A301</t>
  </si>
  <si>
    <t>Organization</t>
  </si>
  <si>
    <t>A302</t>
  </si>
  <si>
    <t>Franchise and Consents</t>
  </si>
  <si>
    <t xml:space="preserve">A303 </t>
  </si>
  <si>
    <t>Miscellaneous Intangible Plant</t>
  </si>
  <si>
    <t>Total Intangible Plant</t>
  </si>
  <si>
    <t>A326</t>
  </si>
  <si>
    <t>A374</t>
  </si>
  <si>
    <t>A375</t>
  </si>
  <si>
    <t>A376</t>
  </si>
  <si>
    <t>A377</t>
  </si>
  <si>
    <t>A378</t>
  </si>
  <si>
    <t>A379</t>
  </si>
  <si>
    <t>A380</t>
  </si>
  <si>
    <t>A381</t>
  </si>
  <si>
    <t>A383</t>
  </si>
  <si>
    <t>A385</t>
  </si>
  <si>
    <t>A387</t>
  </si>
  <si>
    <t>Furniture and Equipment</t>
  </si>
  <si>
    <t>Transportation Equipment</t>
  </si>
  <si>
    <t>Stores Equipment</t>
  </si>
  <si>
    <t>Garage, Shop, Tools &amp; Work Equip.</t>
  </si>
  <si>
    <t>Laboratory Equipment</t>
  </si>
  <si>
    <t>Power Operated Equipment</t>
  </si>
  <si>
    <t>Communication Equipment</t>
  </si>
  <si>
    <t>Miscellaneous Equipment</t>
  </si>
  <si>
    <t>A389</t>
  </si>
  <si>
    <t>A390</t>
  </si>
  <si>
    <t>A391/191</t>
  </si>
  <si>
    <t>A392/192</t>
  </si>
  <si>
    <t>A393/193</t>
  </si>
  <si>
    <t>A394/194</t>
  </si>
  <si>
    <t>A395/195</t>
  </si>
  <si>
    <t>A396/196</t>
  </si>
  <si>
    <t>A397/197</t>
  </si>
  <si>
    <t>A398/198</t>
  </si>
  <si>
    <t>Power Transfers to CPS-Fuel</t>
  </si>
  <si>
    <t>Other Production Expense-Non-fuel</t>
  </si>
  <si>
    <t>A803</t>
  </si>
  <si>
    <t>Natural Gas Transmission Line Purchase</t>
  </si>
  <si>
    <t>A810</t>
  </si>
  <si>
    <t>Gas used for compressor sta fuel - credit</t>
  </si>
  <si>
    <t>A823</t>
  </si>
  <si>
    <t>Gas Losses</t>
  </si>
  <si>
    <t>A851</t>
  </si>
  <si>
    <t>System Control and Load Dispatching</t>
  </si>
  <si>
    <t>A856</t>
  </si>
  <si>
    <t>Mains Expenses</t>
  </si>
  <si>
    <t>A867</t>
  </si>
  <si>
    <t>Maintenance of Other Equipment</t>
  </si>
  <si>
    <t>Duplicate Charges/Internal Usage</t>
  </si>
  <si>
    <t>Maintenance-Transfer Credit</t>
  </si>
  <si>
    <t xml:space="preserve">Generation Expenses </t>
  </si>
  <si>
    <t>A912</t>
  </si>
  <si>
    <t>check to 3a</t>
  </si>
  <si>
    <t>Direct-Dist/CES by LABEXPXAG</t>
  </si>
  <si>
    <t>Direct/Oth on Labor</t>
  </si>
  <si>
    <t>Direct/NPIS</t>
  </si>
  <si>
    <t>coal/gas-steam prod op exp</t>
  </si>
  <si>
    <t>Property Ins.- Elec Generation</t>
  </si>
  <si>
    <t>Property Ins.- Competitive Retailer</t>
  </si>
  <si>
    <t>581-587,589</t>
  </si>
  <si>
    <t>A591-598.1</t>
  </si>
  <si>
    <t>902-903</t>
  </si>
  <si>
    <t>906,908-909</t>
  </si>
  <si>
    <t>920-800</t>
  </si>
  <si>
    <t>921-800</t>
  </si>
  <si>
    <t>923-800</t>
  </si>
  <si>
    <t>925-800</t>
  </si>
  <si>
    <t>926-800</t>
  </si>
  <si>
    <t>930-800</t>
  </si>
  <si>
    <t>932-800</t>
  </si>
  <si>
    <t xml:space="preserve"> 591-598.1</t>
  </si>
  <si>
    <t>A313</t>
  </si>
  <si>
    <t>Variance</t>
  </si>
  <si>
    <t>NF</t>
  </si>
  <si>
    <t>TNP</t>
  </si>
  <si>
    <t>TECP Debt Expense</t>
  </si>
  <si>
    <t>FY17 Acct $</t>
  </si>
  <si>
    <t>FYE 2017</t>
  </si>
  <si>
    <r>
      <t xml:space="preserve">Annual charge for Bond Defeasance </t>
    </r>
    <r>
      <rPr>
        <vertAlign val="superscript"/>
        <sz val="10"/>
        <rFont val="Calibri"/>
        <family val="2"/>
        <scheme val="minor"/>
      </rPr>
      <t>1</t>
    </r>
  </si>
  <si>
    <r>
      <t xml:space="preserve">Interest income </t>
    </r>
    <r>
      <rPr>
        <vertAlign val="superscript"/>
        <sz val="10"/>
        <rFont val="Calibri"/>
        <family val="2"/>
        <scheme val="minor"/>
      </rPr>
      <t>1</t>
    </r>
  </si>
  <si>
    <r>
      <t xml:space="preserve">1  </t>
    </r>
    <r>
      <rPr>
        <sz val="8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Allocated on Rate Base excluding PHFU</t>
    </r>
  </si>
  <si>
    <r>
      <t xml:space="preserve">2  </t>
    </r>
    <r>
      <rPr>
        <sz val="8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Allocated on Common Plant in service</t>
    </r>
  </si>
  <si>
    <r>
      <t xml:space="preserve">Bond P&amp;I </t>
    </r>
    <r>
      <rPr>
        <vertAlign val="superscript"/>
        <sz val="10"/>
        <rFont val="Calibri"/>
        <family val="2"/>
        <scheme val="minor"/>
      </rPr>
      <t>1</t>
    </r>
  </si>
  <si>
    <r>
      <t xml:space="preserve">Commercial Paper P&amp;I </t>
    </r>
    <r>
      <rPr>
        <vertAlign val="superscript"/>
        <sz val="10"/>
        <rFont val="Calibri"/>
        <family val="2"/>
        <scheme val="minor"/>
      </rPr>
      <t>1</t>
    </r>
  </si>
  <si>
    <r>
      <rPr>
        <b/>
        <sz val="10"/>
        <rFont val="Calibri"/>
        <family val="2"/>
        <scheme val="minor"/>
      </rPr>
      <t>**</t>
    </r>
    <r>
      <rPr>
        <sz val="10"/>
        <rFont val="Calibri"/>
        <family val="2"/>
        <scheme val="minor"/>
      </rPr>
      <t>Tentative estimate</t>
    </r>
    <r>
      <rPr>
        <b/>
        <sz val="10"/>
        <rFont val="Calibri"/>
        <family val="2"/>
        <scheme val="minor"/>
      </rPr>
      <t>**</t>
    </r>
  </si>
  <si>
    <t>A903 Direct Labor</t>
  </si>
  <si>
    <t xml:space="preserve">A903 Non-Fuel O&amp;M </t>
  </si>
  <si>
    <t>Demand and Customer Array</t>
  </si>
  <si>
    <t>Avg Class CPs with 4 ERCOT CP (kW)</t>
  </si>
  <si>
    <t>902-O&amp;M</t>
  </si>
  <si>
    <t>pltxgen-n $+payxag $</t>
  </si>
  <si>
    <t>FYE 2017 UCOS</t>
  </si>
  <si>
    <t>Licensing Fees - Trans Towers</t>
  </si>
  <si>
    <t>Acct 370-Electric Meters Special Study
2017 COS</t>
  </si>
  <si>
    <t>Other Expenses</t>
  </si>
  <si>
    <t>Maintenance of Structures and Improvements</t>
  </si>
  <si>
    <t>FY2017 acct data</t>
  </si>
  <si>
    <t>Classification</t>
  </si>
  <si>
    <t>Y</t>
  </si>
  <si>
    <t>Revenue requirements - Adjusted for base rate fuel and transmission recoveries</t>
  </si>
  <si>
    <t>Billed Revenue Requirements (100% fuel/TCOS)</t>
  </si>
  <si>
    <t>UCOS Billed revenue requirement (Base recovery of fuel/TCOS)</t>
  </si>
  <si>
    <t xml:space="preserve">Summary of Rate Base Allocation-Excluding Transmission </t>
  </si>
  <si>
    <t>UCOS with Fuel, Transmission in Base Rate Only</t>
  </si>
  <si>
    <t>Electric Rate Base Allocation by Class with Transmission Set to Zero</t>
  </si>
  <si>
    <t>Total Electric Expenses by Class</t>
  </si>
  <si>
    <t>Electric Administrative &amp; General Expenses by Class (Transmission set to Zero)</t>
  </si>
  <si>
    <t>Electric Operations &amp; Maintenance Expense Allocation to classes</t>
  </si>
  <si>
    <t>Electric Transmission Expenses by Class</t>
  </si>
  <si>
    <t>Electric Fuel Expense Allocation by Class</t>
  </si>
  <si>
    <t>Electric Cash by Class (Transmission set to Zero)</t>
  </si>
  <si>
    <t>Electric Debt Service by Class (Transmission set to Zero)</t>
  </si>
  <si>
    <t>Based on FYE 2017 Test Year</t>
  </si>
  <si>
    <t>STP Decommissioning Expense by Class</t>
  </si>
  <si>
    <t>Electric City Payment by Class</t>
  </si>
  <si>
    <t>Electric Bad Debt by Class</t>
  </si>
  <si>
    <t>Electric Late Payment by Class</t>
  </si>
  <si>
    <t>Electric Other Revenue by Class</t>
  </si>
  <si>
    <t>Electric Interest Income by Class</t>
  </si>
  <si>
    <t>Total Electric Rate Base (excludes Tran)</t>
  </si>
  <si>
    <t>Expenses (with base rate fuel/TCOS)</t>
  </si>
  <si>
    <t>City Payment on Total Revenue</t>
  </si>
  <si>
    <t>Grand Total Electric Revenue</t>
  </si>
  <si>
    <t>Electric Revenue</t>
  </si>
  <si>
    <t>Total Deductions</t>
  </si>
  <si>
    <t>Revenue assuming equal F&amp;C%</t>
  </si>
  <si>
    <t>Revenue Variance (Equal less TY F&amp;C)</t>
  </si>
  <si>
    <t>Grand Total Revenue/Equalized F&amp;C% Revenue</t>
  </si>
  <si>
    <t>Development of Customer Weighted Allocation Factors</t>
  </si>
  <si>
    <t>Cents per kWh</t>
  </si>
  <si>
    <t>TOTAL RB EXCLUDING PHFU, FUEL</t>
  </si>
  <si>
    <t>RB Excluding PHFU, Fuel</t>
  </si>
  <si>
    <t>Rate Base Excluding Plant held for future use and fuel</t>
  </si>
  <si>
    <t>Plus: Base Rate Transmission Charge (incl cp)</t>
  </si>
  <si>
    <t>Billed Revenue Requirements (Adjust for Misc. Revenue)</t>
  </si>
  <si>
    <t>Debt Service, Internal Cash, City Payment by Function</t>
  </si>
  <si>
    <t>UCOS Billed revenue exc OTH Function</t>
  </si>
  <si>
    <t>Variable            --</t>
  </si>
  <si>
    <t>Fixed                  --</t>
  </si>
  <si>
    <t>Proportions</t>
  </si>
  <si>
    <t>Resi-combined</t>
  </si>
  <si>
    <t>Unit Prices</t>
  </si>
  <si>
    <t>per Customer</t>
  </si>
  <si>
    <t>per kWh Demand</t>
  </si>
  <si>
    <t>per kW Demand</t>
  </si>
  <si>
    <t>Billing units</t>
  </si>
  <si>
    <t>per kWh Energy</t>
  </si>
  <si>
    <t>by Function</t>
  </si>
  <si>
    <t>Rate Base by Account and Function</t>
  </si>
  <si>
    <t>Functionalization Factors</t>
  </si>
  <si>
    <t>Net Plant and Rate Base by Account and Function</t>
  </si>
  <si>
    <t>Operation and Maintenance Expenses by Function</t>
  </si>
  <si>
    <t>Other Expenses &amp; Other Revenue by Function</t>
  </si>
  <si>
    <t>Labor Expensed by Function</t>
  </si>
  <si>
    <t>Electric Debt Service, Internal Cash, City Payment by Subfunction</t>
  </si>
  <si>
    <t>Electric Labor Expensed Subfunction Allocation Factors</t>
  </si>
  <si>
    <t>Electric Labor Expensed by Subfunction</t>
  </si>
  <si>
    <t>Electric Other Expenses &amp; Other Revenue Subfunction Allocation Factors</t>
  </si>
  <si>
    <t>Electric Other Expenses &amp; Other Revenue by Subfunction</t>
  </si>
  <si>
    <t>Electric Operation and Maintenance Subfunction Allocation Factors</t>
  </si>
  <si>
    <t>Electric Operation and Maintenance Expenses by Subfunction</t>
  </si>
  <si>
    <t>Electric Subfunction Allocation Factors</t>
  </si>
  <si>
    <t>Electric Rate Base by Account and Subfunction</t>
  </si>
  <si>
    <t>Summary of Electric Rate Base Allocation by Subfunction</t>
  </si>
  <si>
    <t>Electric Revenue requirements - Adjusted for base rate fuel and transmission recoveries - by Subfunction</t>
  </si>
  <si>
    <t>Summary of Electric Rate Base Allocation-With Transmission set to Zero-by Subfunction</t>
  </si>
  <si>
    <t>Electric COS with Fuel, Transmission in Base Rate Only - by Subfunction</t>
  </si>
  <si>
    <t>Electric Billed Revenue Requirements (Adjust for Misc. Revenue) by Subfunction</t>
  </si>
  <si>
    <t>Electric Interest on Customer Deposits by Class</t>
  </si>
  <si>
    <t>Electric Payroll Taxes by Class</t>
  </si>
  <si>
    <t>TY Electric Revenue Requirements by Class</t>
  </si>
  <si>
    <t>Electric Revenue Requirements by Class</t>
  </si>
  <si>
    <t>Electric Revenue Requirements - Fixed and Variable</t>
  </si>
  <si>
    <t>Grand Total Base Revenue/Equalized F&amp;C% Rev Req</t>
  </si>
  <si>
    <t>combined resi</t>
  </si>
  <si>
    <t>Reservoirs, Dams, and Waterways</t>
  </si>
  <si>
    <t>Underground Conduit</t>
  </si>
  <si>
    <t>Poles, Towers &amp; Fixtures</t>
  </si>
  <si>
    <t>STP Property Ins Reserve - Deferred Debit</t>
  </si>
  <si>
    <t>Dist, Metering</t>
  </si>
  <si>
    <t>Total O&amp;M less Fuel, Purch Pwr; Excludes M&amp;S</t>
  </si>
  <si>
    <t>Hydraulic Generation</t>
  </si>
  <si>
    <t>Hydraulic Expenses</t>
  </si>
  <si>
    <t>Misc. Hydraulic Gen. Exp.</t>
  </si>
  <si>
    <t>Maint. of Misc. Hydraulic Gen. Exp.</t>
  </si>
  <si>
    <t>Advertising Exp.</t>
  </si>
  <si>
    <t>Administrative &amp; General Expenses</t>
  </si>
  <si>
    <t>Maint. of Misc. Trans. Plant</t>
  </si>
  <si>
    <t xml:space="preserve">Maint. of Misc. </t>
  </si>
  <si>
    <t>Less: Amortization of Bond Defeasance</t>
  </si>
  <si>
    <t>Less: City payment assoc w/amort of Bond Defeasance</t>
  </si>
  <si>
    <t>Include in</t>
  </si>
  <si>
    <t>Debt Service/Cash for Construction</t>
  </si>
  <si>
    <t>Only highlighted lines are used for summary page</t>
  </si>
  <si>
    <t>$ 2017 Acct Data</t>
  </si>
  <si>
    <t>annual # of bills</t>
  </si>
  <si>
    <t>normalized kW</t>
  </si>
  <si>
    <t>Depreciation expense is not applicable to CPS Energy</t>
  </si>
  <si>
    <t>Tab 4a, ln 285</t>
  </si>
  <si>
    <t>(C902-3 Labor)</t>
  </si>
  <si>
    <t>(DISTOPX-no M&amp;S)</t>
  </si>
  <si>
    <t xml:space="preserve"> (DISTMAX-no M&amp;S)</t>
  </si>
  <si>
    <t>(C902-3 no M&amp;S)</t>
  </si>
  <si>
    <t>Direct or DA</t>
  </si>
  <si>
    <t>Direct allocation or assignment, per CPS Energy accounting records</t>
  </si>
  <si>
    <t>ln 465</t>
  </si>
  <si>
    <t>ln 418</t>
  </si>
  <si>
    <t>ln 279</t>
  </si>
  <si>
    <t>ln 83</t>
  </si>
  <si>
    <t>ln 149</t>
  </si>
  <si>
    <t>4a. OM less M&amp;S</t>
  </si>
  <si>
    <t xml:space="preserve">7d.  PAYXAG </t>
  </si>
  <si>
    <t>PAYXAG allocation factor calculation</t>
  </si>
  <si>
    <t>8a. DS-Cash</t>
  </si>
  <si>
    <t>Debt Service by class</t>
  </si>
  <si>
    <t>10b. Debt Serv by Class</t>
  </si>
  <si>
    <t>10e. OM excl fuel by class</t>
  </si>
  <si>
    <t>10g. Total Op ex by class</t>
  </si>
  <si>
    <t>10h. Int-CD by class</t>
  </si>
  <si>
    <t>11b. Dev of cust wghted af</t>
  </si>
  <si>
    <t>11c. Cust &amp; Demand Array</t>
  </si>
  <si>
    <t>12a-1. RevReq by class</t>
  </si>
  <si>
    <t>12. Revenue Requirements by class</t>
  </si>
  <si>
    <t>Revenue requirements by class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</si>
</sst>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0.00000%"/>
    <numFmt numFmtId="168" formatCode="#,##0.000_);\(#,##0.000\)"/>
    <numFmt numFmtId="169" formatCode="&quot;$&quot;#,##0.00000_);\(&quot;$&quot;#,##0.00000\)"/>
    <numFmt numFmtId="170" formatCode="_(* #,##0.0_);_(* \(#,##0.0\);_(* &quot;-&quot;??_);_(@_)"/>
    <numFmt numFmtId="171" formatCode="&quot;$&quot;#,##0.000000_);\(&quot;$&quot;#,##0.000000\)"/>
    <numFmt numFmtId="172" formatCode="_(&quot;$&quot;* #,##0.000_);_(&quot;$&quot;* \(#,##0.000\);_(&quot;$&quot;* &quot;-&quot;??_);_(@_)"/>
  </numFmts>
  <fonts count="6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12"/>
      <name val="Calibri"/>
      <family val="2"/>
      <scheme val="minor"/>
    </font>
    <font>
      <sz val="10"/>
      <color indexed="17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10"/>
      <name val="Calibri"/>
      <family val="2"/>
      <scheme val="minor"/>
    </font>
    <font>
      <u/>
      <sz val="10"/>
      <name val="Calibri"/>
      <family val="2"/>
      <scheme val="minor"/>
    </font>
    <font>
      <u val="singleAccounting"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sz val="6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u val="singleAccounting"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60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</borders>
  <cellStyleXfs count="145">
    <xf numFmtId="37" fontId="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37" fontId="6" fillId="0" borderId="0"/>
    <xf numFmtId="0" fontId="6" fillId="0" borderId="0"/>
    <xf numFmtId="37" fontId="6" fillId="0" borderId="0"/>
    <xf numFmtId="37" fontId="6" fillId="0" borderId="0" applyFont="0" applyFill="0" applyBorder="0" applyAlignment="0" applyProtection="0"/>
    <xf numFmtId="37" fontId="6" fillId="0" borderId="0"/>
    <xf numFmtId="0" fontId="8" fillId="0" borderId="0"/>
    <xf numFmtId="37" fontId="6" fillId="0" borderId="0"/>
    <xf numFmtId="9" fontId="6" fillId="0" borderId="0" applyFont="0" applyFill="0" applyBorder="0" applyAlignment="0" applyProtection="0"/>
    <xf numFmtId="0" fontId="10" fillId="4" borderId="20" applyBorder="0"/>
    <xf numFmtId="4" fontId="7" fillId="5" borderId="21" applyNumberFormat="0" applyProtection="0">
      <alignment horizontal="left" vertical="center" indent="1"/>
    </xf>
    <xf numFmtId="4" fontId="7" fillId="5" borderId="21" applyNumberFormat="0" applyProtection="0">
      <alignment horizontal="left" vertical="center" indent="1"/>
    </xf>
    <xf numFmtId="0" fontId="7" fillId="6" borderId="21" applyNumberFormat="0" applyProtection="0">
      <alignment horizontal="left" vertical="center" indent="1"/>
    </xf>
    <xf numFmtId="4" fontId="7" fillId="0" borderId="21" applyNumberFormat="0" applyProtection="0">
      <alignment horizontal="right" vertical="center"/>
    </xf>
    <xf numFmtId="0" fontId="7" fillId="7" borderId="21" applyNumberFormat="0" applyProtection="0">
      <alignment horizontal="left" vertical="center" indent="1"/>
    </xf>
    <xf numFmtId="0" fontId="7" fillId="8" borderId="21" applyNumberFormat="0" applyProtection="0">
      <alignment horizontal="left" vertical="center" indent="1"/>
    </xf>
    <xf numFmtId="0" fontId="7" fillId="9" borderId="21" applyNumberFormat="0" applyProtection="0">
      <alignment horizontal="left" vertical="center" indent="1"/>
    </xf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37" fontId="6" fillId="0" borderId="0"/>
    <xf numFmtId="0" fontId="6" fillId="0" borderId="0"/>
    <xf numFmtId="37" fontId="6" fillId="0" borderId="0"/>
    <xf numFmtId="0" fontId="12" fillId="0" borderId="0" applyNumberFormat="0" applyFill="0" applyBorder="0" applyAlignment="0" applyProtection="0"/>
    <xf numFmtId="0" fontId="13" fillId="0" borderId="26" applyNumberFormat="0" applyFill="0" applyAlignment="0" applyProtection="0"/>
    <xf numFmtId="0" fontId="14" fillId="0" borderId="27" applyNumberFormat="0" applyFill="0" applyAlignment="0" applyProtection="0"/>
    <xf numFmtId="0" fontId="15" fillId="0" borderId="28" applyNumberFormat="0" applyFill="0" applyAlignment="0" applyProtection="0"/>
    <xf numFmtId="0" fontId="15" fillId="0" borderId="0" applyNumberFormat="0" applyFill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19" fillId="14" borderId="29" applyNumberFormat="0" applyAlignment="0" applyProtection="0"/>
    <xf numFmtId="0" fontId="20" fillId="15" borderId="30" applyNumberFormat="0" applyAlignment="0" applyProtection="0"/>
    <xf numFmtId="0" fontId="21" fillId="15" borderId="29" applyNumberFormat="0" applyAlignment="0" applyProtection="0"/>
    <xf numFmtId="0" fontId="22" fillId="0" borderId="31" applyNumberFormat="0" applyFill="0" applyAlignment="0" applyProtection="0"/>
    <xf numFmtId="0" fontId="23" fillId="16" borderId="32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34" applyNumberFormat="0" applyFill="0" applyAlignment="0" applyProtection="0"/>
    <xf numFmtId="0" fontId="27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27" fillId="41" borderId="0" applyNumberFormat="0" applyBorder="0" applyAlignment="0" applyProtection="0"/>
    <xf numFmtId="0" fontId="5" fillId="17" borderId="33" applyNumberFormat="0" applyFont="0" applyAlignment="0" applyProtection="0"/>
    <xf numFmtId="0" fontId="5" fillId="17" borderId="33" applyNumberFormat="0" applyFont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28" fillId="0" borderId="0"/>
    <xf numFmtId="0" fontId="29" fillId="0" borderId="26" applyNumberFormat="0" applyFill="0" applyAlignment="0" applyProtection="0"/>
    <xf numFmtId="0" fontId="30" fillId="0" borderId="27" applyNumberFormat="0" applyFill="0" applyAlignment="0" applyProtection="0"/>
    <xf numFmtId="0" fontId="31" fillId="0" borderId="28" applyNumberFormat="0" applyFill="0" applyAlignment="0" applyProtection="0"/>
    <xf numFmtId="0" fontId="31" fillId="0" borderId="0" applyNumberFormat="0" applyFill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4" fillId="13" borderId="0" applyNumberFormat="0" applyBorder="0" applyAlignment="0" applyProtection="0"/>
    <xf numFmtId="0" fontId="35" fillId="14" borderId="29" applyNumberFormat="0" applyAlignment="0" applyProtection="0"/>
    <xf numFmtId="0" fontId="36" fillId="15" borderId="30" applyNumberFormat="0" applyAlignment="0" applyProtection="0"/>
    <xf numFmtId="0" fontId="37" fillId="15" borderId="29" applyNumberFormat="0" applyAlignment="0" applyProtection="0"/>
    <xf numFmtId="0" fontId="38" fillId="0" borderId="31" applyNumberFormat="0" applyFill="0" applyAlignment="0" applyProtection="0"/>
    <xf numFmtId="0" fontId="39" fillId="16" borderId="32" applyNumberFormat="0" applyAlignment="0" applyProtection="0"/>
    <xf numFmtId="0" fontId="40" fillId="0" borderId="0" applyNumberFormat="0" applyFill="0" applyBorder="0" applyAlignment="0" applyProtection="0"/>
    <xf numFmtId="0" fontId="28" fillId="17" borderId="33" applyNumberFormat="0" applyFont="0" applyAlignment="0" applyProtection="0"/>
    <xf numFmtId="0" fontId="41" fillId="0" borderId="0" applyNumberFormat="0" applyFill="0" applyBorder="0" applyAlignment="0" applyProtection="0"/>
    <xf numFmtId="0" fontId="42" fillId="0" borderId="34" applyNumberFormat="0" applyFill="0" applyAlignment="0" applyProtection="0"/>
    <xf numFmtId="0" fontId="43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43" fillId="21" borderId="0" applyNumberFormat="0" applyBorder="0" applyAlignment="0" applyProtection="0"/>
    <xf numFmtId="0" fontId="43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43" fillId="33" borderId="0" applyNumberFormat="0" applyBorder="0" applyAlignment="0" applyProtection="0"/>
    <xf numFmtId="0" fontId="43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43" fillId="37" borderId="0" applyNumberFormat="0" applyBorder="0" applyAlignment="0" applyProtection="0"/>
    <xf numFmtId="0" fontId="43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43" fillId="41" borderId="0" applyNumberFormat="0" applyBorder="0" applyAlignment="0" applyProtection="0"/>
    <xf numFmtId="43" fontId="28" fillId="0" borderId="0" applyFont="0" applyFill="0" applyBorder="0" applyAlignment="0" applyProtection="0"/>
    <xf numFmtId="4" fontId="7" fillId="0" borderId="21" applyNumberFormat="0" applyProtection="0">
      <alignment horizontal="right" vertical="center"/>
    </xf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7" fillId="44" borderId="0"/>
    <xf numFmtId="0" fontId="60" fillId="0" borderId="0"/>
    <xf numFmtId="4" fontId="7" fillId="5" borderId="21" applyNumberFormat="0" applyProtection="0">
      <alignment horizontal="left" vertical="center" indent="1"/>
    </xf>
    <xf numFmtId="4" fontId="7" fillId="5" borderId="21" applyNumberFormat="0" applyProtection="0">
      <alignment horizontal="left" vertical="center" indent="1"/>
    </xf>
    <xf numFmtId="0" fontId="7" fillId="6" borderId="21" applyNumberFormat="0" applyProtection="0">
      <alignment horizontal="left" vertical="center" indent="1"/>
    </xf>
    <xf numFmtId="0" fontId="7" fillId="7" borderId="21" applyNumberFormat="0" applyProtection="0">
      <alignment horizontal="left" vertical="center" indent="1"/>
    </xf>
    <xf numFmtId="0" fontId="7" fillId="8" borderId="21" applyNumberFormat="0" applyProtection="0">
      <alignment horizontal="left" vertical="center" indent="1"/>
    </xf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1" fillId="0" borderId="0"/>
    <xf numFmtId="0" fontId="2" fillId="0" borderId="0"/>
    <xf numFmtId="164" fontId="39" fillId="49" borderId="0">
      <alignment horizontal="center"/>
    </xf>
  </cellStyleXfs>
  <cellXfs count="716">
    <xf numFmtId="37" fontId="0" fillId="0" borderId="0" xfId="0"/>
    <xf numFmtId="37" fontId="44" fillId="0" borderId="0" xfId="0" applyFont="1" applyFill="1"/>
    <xf numFmtId="37" fontId="44" fillId="0" borderId="0" xfId="0" applyFont="1" applyFill="1" applyAlignment="1">
      <alignment horizontal="center"/>
    </xf>
    <xf numFmtId="164" fontId="44" fillId="0" borderId="0" xfId="1" applyNumberFormat="1" applyFont="1" applyFill="1"/>
    <xf numFmtId="37" fontId="44" fillId="0" borderId="0" xfId="0" applyFont="1"/>
    <xf numFmtId="37" fontId="44" fillId="0" borderId="0" xfId="0" applyFont="1" applyBorder="1" applyAlignment="1">
      <alignment horizontal="center"/>
    </xf>
    <xf numFmtId="37" fontId="44" fillId="0" borderId="0" xfId="0" applyFont="1" applyAlignment="1">
      <alignment horizontal="center"/>
    </xf>
    <xf numFmtId="37" fontId="44" fillId="0" borderId="0" xfId="0" applyFont="1" applyFill="1" applyBorder="1" applyAlignment="1">
      <alignment horizontal="center"/>
    </xf>
    <xf numFmtId="37" fontId="44" fillId="0" borderId="0" xfId="0" quotePrefix="1" applyFont="1" applyFill="1" applyBorder="1" applyAlignment="1">
      <alignment horizontal="center"/>
    </xf>
    <xf numFmtId="37" fontId="44" fillId="0" borderId="0" xfId="0" applyFont="1" applyFill="1" applyBorder="1"/>
    <xf numFmtId="37" fontId="44" fillId="0" borderId="0" xfId="0" quotePrefix="1" applyFont="1" applyFill="1"/>
    <xf numFmtId="164" fontId="44" fillId="0" borderId="0" xfId="1" quotePrefix="1" applyNumberFormat="1" applyFont="1" applyFill="1"/>
    <xf numFmtId="37" fontId="44" fillId="0" borderId="0" xfId="0" quotePrefix="1" applyFont="1"/>
    <xf numFmtId="164" fontId="44" fillId="0" borderId="0" xfId="0" applyNumberFormat="1" applyFont="1" applyFill="1"/>
    <xf numFmtId="164" fontId="44" fillId="0" borderId="0" xfId="0" applyNumberFormat="1" applyFont="1"/>
    <xf numFmtId="37" fontId="45" fillId="0" borderId="0" xfId="0" applyFont="1" applyFill="1"/>
    <xf numFmtId="37" fontId="44" fillId="0" borderId="0" xfId="0" applyFont="1" applyFill="1" applyAlignment="1"/>
    <xf numFmtId="164" fontId="44" fillId="0" borderId="0" xfId="1" applyNumberFormat="1" applyFont="1"/>
    <xf numFmtId="37" fontId="44" fillId="0" borderId="0" xfId="22" applyFont="1" applyFill="1" applyBorder="1"/>
    <xf numFmtId="164" fontId="46" fillId="0" borderId="0" xfId="1" applyNumberFormat="1" applyFont="1" applyFill="1"/>
    <xf numFmtId="38" fontId="44" fillId="0" borderId="0" xfId="1" applyNumberFormat="1" applyFont="1"/>
    <xf numFmtId="37" fontId="48" fillId="42" borderId="0" xfId="0" applyFont="1" applyFill="1"/>
    <xf numFmtId="37" fontId="49" fillId="42" borderId="0" xfId="0" applyFont="1" applyFill="1"/>
    <xf numFmtId="37" fontId="49" fillId="42" borderId="0" xfId="0" applyFont="1" applyFill="1" applyAlignment="1">
      <alignment horizontal="center"/>
    </xf>
    <xf numFmtId="164" fontId="49" fillId="42" borderId="0" xfId="1" applyNumberFormat="1" applyFont="1" applyFill="1"/>
    <xf numFmtId="10" fontId="44" fillId="0" borderId="0" xfId="11" applyNumberFormat="1" applyFont="1" applyFill="1"/>
    <xf numFmtId="37" fontId="46" fillId="0" borderId="0" xfId="0" applyFont="1" applyFill="1"/>
    <xf numFmtId="39" fontId="44" fillId="0" borderId="0" xfId="0" applyNumberFormat="1" applyFont="1"/>
    <xf numFmtId="43" fontId="46" fillId="0" borderId="0" xfId="1" applyNumberFormat="1" applyFont="1" applyFill="1"/>
    <xf numFmtId="37" fontId="44" fillId="0" borderId="0" xfId="0" applyNumberFormat="1" applyFont="1"/>
    <xf numFmtId="39" fontId="44" fillId="0" borderId="0" xfId="0" applyNumberFormat="1" applyFont="1" applyFill="1"/>
    <xf numFmtId="37" fontId="44" fillId="0" borderId="0" xfId="0" applyFont="1" applyBorder="1"/>
    <xf numFmtId="37" fontId="44" fillId="0" borderId="0" xfId="0" applyFont="1" applyAlignment="1"/>
    <xf numFmtId="37" fontId="44" fillId="0" borderId="11" xfId="0" applyFont="1" applyBorder="1" applyAlignment="1"/>
    <xf numFmtId="37" fontId="44" fillId="0" borderId="12" xfId="0" applyFont="1" applyBorder="1" applyAlignment="1"/>
    <xf numFmtId="37" fontId="44" fillId="0" borderId="0" xfId="0" applyFont="1" applyBorder="1" applyAlignment="1"/>
    <xf numFmtId="168" fontId="44" fillId="0" borderId="0" xfId="0" applyNumberFormat="1" applyFont="1" applyBorder="1" applyAlignment="1"/>
    <xf numFmtId="0" fontId="45" fillId="0" borderId="0" xfId="5" applyFont="1" applyAlignment="1"/>
    <xf numFmtId="38" fontId="44" fillId="0" borderId="2" xfId="5" applyNumberFormat="1" applyFont="1" applyBorder="1" applyAlignment="1"/>
    <xf numFmtId="38" fontId="44" fillId="0" borderId="0" xfId="0" applyNumberFormat="1" applyFont="1" applyBorder="1" applyAlignment="1"/>
    <xf numFmtId="38" fontId="44" fillId="0" borderId="0" xfId="7" applyNumberFormat="1" applyFont="1" applyBorder="1"/>
    <xf numFmtId="37" fontId="44" fillId="0" borderId="0" xfId="0" applyFont="1" applyAlignment="1">
      <alignment horizontal="right"/>
    </xf>
    <xf numFmtId="37" fontId="44" fillId="0" borderId="4" xfId="0" applyFont="1" applyBorder="1" applyAlignment="1"/>
    <xf numFmtId="37" fontId="44" fillId="0" borderId="1" xfId="0" applyFont="1" applyBorder="1" applyAlignment="1"/>
    <xf numFmtId="37" fontId="44" fillId="0" borderId="1" xfId="0" applyFont="1" applyBorder="1"/>
    <xf numFmtId="37" fontId="44" fillId="0" borderId="0" xfId="0" quotePrefix="1" applyFont="1" applyBorder="1" applyAlignment="1">
      <alignment horizontal="center"/>
    </xf>
    <xf numFmtId="37" fontId="46" fillId="0" borderId="0" xfId="0" applyFont="1" applyAlignment="1"/>
    <xf numFmtId="37" fontId="44" fillId="0" borderId="3" xfId="0" applyFont="1" applyBorder="1"/>
    <xf numFmtId="37" fontId="44" fillId="0" borderId="4" xfId="0" applyFont="1" applyBorder="1"/>
    <xf numFmtId="37" fontId="44" fillId="0" borderId="0" xfId="0" quotePrefix="1" applyFont="1" applyBorder="1"/>
    <xf numFmtId="37" fontId="51" fillId="0" borderId="0" xfId="0" applyFont="1" applyFill="1" applyBorder="1"/>
    <xf numFmtId="37" fontId="51" fillId="0" borderId="0" xfId="0" applyFont="1" applyFill="1" applyAlignment="1"/>
    <xf numFmtId="37" fontId="45" fillId="0" borderId="0" xfId="0" applyFont="1" applyFill="1" applyBorder="1"/>
    <xf numFmtId="37" fontId="44" fillId="0" borderId="0" xfId="0" applyFont="1" applyFill="1" applyBorder="1" applyAlignment="1"/>
    <xf numFmtId="37" fontId="46" fillId="0" borderId="0" xfId="0" applyFont="1"/>
    <xf numFmtId="37" fontId="45" fillId="0" borderId="1" xfId="0" applyFont="1" applyBorder="1"/>
    <xf numFmtId="37" fontId="51" fillId="0" borderId="0" xfId="0" applyFont="1" applyBorder="1"/>
    <xf numFmtId="37" fontId="45" fillId="0" borderId="0" xfId="0" applyFont="1" applyBorder="1"/>
    <xf numFmtId="0" fontId="44" fillId="0" borderId="0" xfId="23" applyFont="1" applyFill="1" applyBorder="1"/>
    <xf numFmtId="37" fontId="53" fillId="0" borderId="23" xfId="0" applyFont="1" applyBorder="1"/>
    <xf numFmtId="37" fontId="53" fillId="0" borderId="24" xfId="0" applyFont="1" applyBorder="1"/>
    <xf numFmtId="37" fontId="53" fillId="0" borderId="25" xfId="0" applyFont="1" applyBorder="1"/>
    <xf numFmtId="37" fontId="56" fillId="0" borderId="0" xfId="0" applyFont="1" applyFill="1"/>
    <xf numFmtId="10" fontId="44" fillId="0" borderId="0" xfId="0" applyNumberFormat="1" applyFont="1" applyFill="1"/>
    <xf numFmtId="37" fontId="44" fillId="0" borderId="1" xfId="0" applyFont="1" applyBorder="1" applyAlignment="1">
      <alignment horizontal="left"/>
    </xf>
    <xf numFmtId="37" fontId="44" fillId="0" borderId="0" xfId="0" applyFont="1" applyAlignment="1">
      <alignment horizontal="left"/>
    </xf>
    <xf numFmtId="0" fontId="44" fillId="0" borderId="0" xfId="0" applyNumberFormat="1" applyFont="1"/>
    <xf numFmtId="0" fontId="44" fillId="0" borderId="0" xfId="0" applyNumberFormat="1" applyFont="1" applyAlignment="1">
      <alignment horizontal="center"/>
    </xf>
    <xf numFmtId="10" fontId="51" fillId="0" borderId="0" xfId="11" applyNumberFormat="1" applyFont="1" applyFill="1"/>
    <xf numFmtId="4" fontId="44" fillId="0" borderId="0" xfId="0" applyNumberFormat="1" applyFont="1" applyFill="1"/>
    <xf numFmtId="37" fontId="44" fillId="0" borderId="0" xfId="4" applyFont="1" applyAlignment="1"/>
    <xf numFmtId="37" fontId="44" fillId="0" borderId="0" xfId="4" applyFont="1" applyFill="1" applyAlignment="1"/>
    <xf numFmtId="37" fontId="44" fillId="0" borderId="0" xfId="4" applyFont="1" applyBorder="1" applyAlignment="1"/>
    <xf numFmtId="37" fontId="44" fillId="0" borderId="6" xfId="4" applyFont="1" applyBorder="1" applyAlignment="1"/>
    <xf numFmtId="37" fontId="44" fillId="0" borderId="2" xfId="4" applyFont="1" applyBorder="1" applyAlignment="1"/>
    <xf numFmtId="37" fontId="44" fillId="0" borderId="1" xfId="7" applyFont="1" applyBorder="1"/>
    <xf numFmtId="37" fontId="44" fillId="0" borderId="0" xfId="7" applyFont="1" applyBorder="1"/>
    <xf numFmtId="38" fontId="46" fillId="0" borderId="0" xfId="7" applyNumberFormat="1" applyFont="1" applyBorder="1"/>
    <xf numFmtId="37" fontId="44" fillId="0" borderId="1" xfId="7" applyFont="1" applyBorder="1" applyAlignment="1">
      <alignment horizontal="left"/>
    </xf>
    <xf numFmtId="38" fontId="56" fillId="0" borderId="0" xfId="7" applyNumberFormat="1" applyFont="1" applyFill="1" applyBorder="1"/>
    <xf numFmtId="37" fontId="44" fillId="0" borderId="1" xfId="7" applyFont="1" applyFill="1" applyBorder="1"/>
    <xf numFmtId="37" fontId="44" fillId="0" borderId="0" xfId="7" applyFont="1" applyFill="1" applyBorder="1" applyAlignment="1">
      <alignment horizontal="left"/>
    </xf>
    <xf numFmtId="37" fontId="44" fillId="0" borderId="0" xfId="7" applyFont="1" applyFill="1" applyBorder="1"/>
    <xf numFmtId="38" fontId="44" fillId="0" borderId="0" xfId="7" applyNumberFormat="1" applyFont="1" applyFill="1" applyBorder="1"/>
    <xf numFmtId="37" fontId="44" fillId="0" borderId="0" xfId="4" applyFont="1" applyFill="1" applyBorder="1" applyAlignment="1"/>
    <xf numFmtId="37" fontId="44" fillId="0" borderId="6" xfId="4" applyFont="1" applyFill="1" applyBorder="1" applyAlignment="1"/>
    <xf numFmtId="10" fontId="44" fillId="0" borderId="0" xfId="11" applyNumberFormat="1" applyFont="1" applyAlignment="1"/>
    <xf numFmtId="37" fontId="44" fillId="0" borderId="0" xfId="7" applyFont="1" applyBorder="1" applyAlignment="1">
      <alignment horizontal="left"/>
    </xf>
    <xf numFmtId="38" fontId="44" fillId="0" borderId="6" xfId="7" applyNumberFormat="1" applyFont="1" applyBorder="1"/>
    <xf numFmtId="38" fontId="44" fillId="0" borderId="0" xfId="2" applyNumberFormat="1" applyFont="1" applyBorder="1" applyAlignment="1"/>
    <xf numFmtId="38" fontId="44" fillId="0" borderId="6" xfId="2" applyNumberFormat="1" applyFont="1" applyBorder="1" applyAlignment="1"/>
    <xf numFmtId="37" fontId="58" fillId="0" borderId="1" xfId="7" applyFont="1" applyBorder="1" applyAlignment="1"/>
    <xf numFmtId="38" fontId="44" fillId="0" borderId="0" xfId="7" applyNumberFormat="1" applyFont="1" applyBorder="1" applyAlignment="1"/>
    <xf numFmtId="38" fontId="44" fillId="0" borderId="6" xfId="7" applyNumberFormat="1" applyFont="1" applyBorder="1" applyAlignment="1"/>
    <xf numFmtId="37" fontId="44" fillId="0" borderId="9" xfId="7" applyFont="1" applyBorder="1"/>
    <xf numFmtId="37" fontId="44" fillId="0" borderId="2" xfId="7" applyFont="1" applyBorder="1"/>
    <xf numFmtId="38" fontId="44" fillId="0" borderId="2" xfId="7" applyNumberFormat="1" applyFont="1" applyBorder="1"/>
    <xf numFmtId="38" fontId="44" fillId="0" borderId="8" xfId="7" applyNumberFormat="1" applyFont="1" applyBorder="1"/>
    <xf numFmtId="37" fontId="44" fillId="0" borderId="2" xfId="0" applyFont="1" applyBorder="1" applyAlignment="1"/>
    <xf numFmtId="38" fontId="44" fillId="0" borderId="0" xfId="1" applyNumberFormat="1" applyFont="1" applyBorder="1" applyAlignment="1"/>
    <xf numFmtId="38" fontId="44" fillId="0" borderId="0" xfId="0" applyNumberFormat="1" applyFont="1" applyFill="1" applyAlignment="1"/>
    <xf numFmtId="38" fontId="44" fillId="0" borderId="0" xfId="0" applyNumberFormat="1" applyFont="1" applyAlignment="1"/>
    <xf numFmtId="38" fontId="44" fillId="0" borderId="1" xfId="0" applyNumberFormat="1" applyFont="1" applyFill="1" applyBorder="1" applyAlignment="1"/>
    <xf numFmtId="38" fontId="44" fillId="0" borderId="0" xfId="0" applyNumberFormat="1" applyFont="1" applyFill="1" applyBorder="1" applyAlignment="1"/>
    <xf numFmtId="38" fontId="44" fillId="0" borderId="0" xfId="1" applyNumberFormat="1" applyFont="1" applyFill="1" applyBorder="1" applyAlignment="1"/>
    <xf numFmtId="38" fontId="47" fillId="0" borderId="0" xfId="1" applyNumberFormat="1" applyFont="1" applyFill="1" applyBorder="1" applyAlignment="1"/>
    <xf numFmtId="38" fontId="44" fillId="0" borderId="0" xfId="0" quotePrefix="1" applyNumberFormat="1" applyFont="1" applyBorder="1" applyAlignment="1"/>
    <xf numFmtId="38" fontId="51" fillId="0" borderId="0" xfId="1" applyNumberFormat="1" applyFont="1" applyBorder="1" applyAlignment="1"/>
    <xf numFmtId="38" fontId="51" fillId="0" borderId="0" xfId="0" applyNumberFormat="1" applyFont="1" applyBorder="1" applyAlignment="1"/>
    <xf numFmtId="38" fontId="44" fillId="0" borderId="0" xfId="11" applyNumberFormat="1" applyFont="1" applyFill="1" applyBorder="1" applyAlignment="1"/>
    <xf numFmtId="166" fontId="44" fillId="0" borderId="0" xfId="0" applyNumberFormat="1" applyFont="1" applyFill="1" applyBorder="1" applyAlignment="1"/>
    <xf numFmtId="164" fontId="44" fillId="0" borderId="0" xfId="1" applyNumberFormat="1" applyFont="1" applyBorder="1" applyAlignment="1"/>
    <xf numFmtId="164" fontId="44" fillId="0" borderId="0" xfId="1" applyNumberFormat="1" applyFont="1" applyFill="1" applyBorder="1" applyAlignment="1"/>
    <xf numFmtId="164" fontId="46" fillId="0" borderId="0" xfId="1" applyNumberFormat="1" applyFont="1" applyBorder="1" applyAlignment="1"/>
    <xf numFmtId="164" fontId="52" fillId="0" borderId="0" xfId="1" applyNumberFormat="1" applyFont="1" applyBorder="1" applyAlignment="1"/>
    <xf numFmtId="37" fontId="52" fillId="0" borderId="0" xfId="0" applyFont="1" applyBorder="1" applyAlignment="1"/>
    <xf numFmtId="38" fontId="52" fillId="0" borderId="0" xfId="0" applyNumberFormat="1" applyFont="1" applyBorder="1" applyAlignment="1"/>
    <xf numFmtId="164" fontId="52" fillId="0" borderId="0" xfId="1" applyNumberFormat="1" applyFont="1" applyFill="1" applyBorder="1" applyAlignment="1"/>
    <xf numFmtId="37" fontId="51" fillId="0" borderId="0" xfId="0" applyFont="1" applyBorder="1" applyAlignment="1"/>
    <xf numFmtId="164" fontId="51" fillId="0" borderId="0" xfId="1" applyNumberFormat="1" applyFont="1" applyBorder="1" applyAlignment="1"/>
    <xf numFmtId="37" fontId="51" fillId="0" borderId="0" xfId="0" applyFont="1" applyAlignment="1"/>
    <xf numFmtId="37" fontId="56" fillId="0" borderId="0" xfId="0" applyFont="1" applyFill="1" applyAlignment="1"/>
    <xf numFmtId="170" fontId="44" fillId="0" borderId="0" xfId="1" applyNumberFormat="1" applyFont="1" applyFill="1" applyBorder="1" applyAlignment="1"/>
    <xf numFmtId="37" fontId="44" fillId="0" borderId="6" xfId="0" applyFont="1" applyBorder="1" applyAlignment="1"/>
    <xf numFmtId="38" fontId="44" fillId="0" borderId="6" xfId="0" applyNumberFormat="1" applyFont="1" applyBorder="1" applyAlignment="1"/>
    <xf numFmtId="38" fontId="47" fillId="0" borderId="0" xfId="1" applyNumberFormat="1" applyFont="1" applyBorder="1" applyAlignment="1"/>
    <xf numFmtId="38" fontId="51" fillId="0" borderId="6" xfId="0" applyNumberFormat="1" applyFont="1" applyBorder="1" applyAlignment="1"/>
    <xf numFmtId="10" fontId="44" fillId="0" borderId="0" xfId="11" applyNumberFormat="1" applyFont="1" applyFill="1" applyBorder="1" applyAlignment="1"/>
    <xf numFmtId="169" fontId="44" fillId="0" borderId="0" xfId="0" applyNumberFormat="1" applyFont="1" applyBorder="1" applyAlignment="1"/>
    <xf numFmtId="37" fontId="52" fillId="0" borderId="0" xfId="0" applyFont="1" applyAlignment="1"/>
    <xf numFmtId="37" fontId="44" fillId="0" borderId="0" xfId="0" applyFont="1" applyAlignment="1">
      <alignment horizontal="left" indent="1"/>
    </xf>
    <xf numFmtId="166" fontId="44" fillId="0" borderId="0" xfId="11" applyNumberFormat="1" applyFont="1" applyAlignment="1"/>
    <xf numFmtId="39" fontId="44" fillId="0" borderId="0" xfId="0" applyNumberFormat="1" applyFont="1" applyAlignment="1"/>
    <xf numFmtId="166" fontId="44" fillId="0" borderId="2" xfId="11" applyNumberFormat="1" applyFont="1" applyBorder="1" applyAlignment="1"/>
    <xf numFmtId="39" fontId="44" fillId="0" borderId="0" xfId="0" applyNumberFormat="1" applyFont="1" applyFill="1" applyAlignment="1"/>
    <xf numFmtId="9" fontId="44" fillId="0" borderId="0" xfId="11" applyNumberFormat="1" applyFont="1" applyFill="1" applyAlignment="1"/>
    <xf numFmtId="0" fontId="44" fillId="0" borderId="0" xfId="5" applyFont="1" applyAlignment="1"/>
    <xf numFmtId="0" fontId="44" fillId="0" borderId="0" xfId="5" applyFont="1"/>
    <xf numFmtId="0" fontId="44" fillId="0" borderId="0" xfId="5" applyFont="1" applyAlignment="1">
      <alignment horizontal="center"/>
    </xf>
    <xf numFmtId="5" fontId="44" fillId="0" borderId="0" xfId="5" applyNumberFormat="1" applyFont="1" applyAlignment="1"/>
    <xf numFmtId="38" fontId="44" fillId="0" borderId="2" xfId="5" applyNumberFormat="1" applyFont="1" applyBorder="1"/>
    <xf numFmtId="0" fontId="44" fillId="0" borderId="2" xfId="5" applyFont="1" applyBorder="1" applyAlignment="1"/>
    <xf numFmtId="5" fontId="44" fillId="0" borderId="2" xfId="5" applyNumberFormat="1" applyFont="1" applyBorder="1" applyAlignment="1"/>
    <xf numFmtId="5" fontId="44" fillId="3" borderId="0" xfId="5" applyNumberFormat="1" applyFont="1" applyFill="1" applyAlignment="1"/>
    <xf numFmtId="38" fontId="44" fillId="0" borderId="0" xfId="5" applyNumberFormat="1" applyFont="1" applyAlignment="1"/>
    <xf numFmtId="38" fontId="44" fillId="0" borderId="0" xfId="5" applyNumberFormat="1" applyFont="1" applyBorder="1" applyAlignment="1"/>
    <xf numFmtId="0" fontId="44" fillId="0" borderId="0" xfId="5" applyFont="1" applyBorder="1" applyAlignment="1"/>
    <xf numFmtId="0" fontId="45" fillId="0" borderId="0" xfId="5" applyFont="1"/>
    <xf numFmtId="0" fontId="45" fillId="0" borderId="0" xfId="5" quotePrefix="1" applyFont="1" applyAlignment="1">
      <alignment horizontal="left"/>
    </xf>
    <xf numFmtId="0" fontId="45" fillId="0" borderId="0" xfId="5" quotePrefix="1" applyFont="1"/>
    <xf numFmtId="0" fontId="45" fillId="2" borderId="0" xfId="5" applyFont="1" applyFill="1" applyAlignment="1"/>
    <xf numFmtId="0" fontId="45" fillId="2" borderId="0" xfId="5" applyFont="1" applyFill="1"/>
    <xf numFmtId="0" fontId="45" fillId="0" borderId="0" xfId="5" applyFont="1" applyFill="1"/>
    <xf numFmtId="37" fontId="44" fillId="0" borderId="10" xfId="0" applyFont="1" applyFill="1" applyBorder="1" applyAlignment="1"/>
    <xf numFmtId="37" fontId="44" fillId="0" borderId="17" xfId="0" applyFont="1" applyFill="1" applyBorder="1" applyAlignment="1"/>
    <xf numFmtId="39" fontId="44" fillId="0" borderId="0" xfId="0" applyNumberFormat="1" applyFont="1" applyFill="1" applyBorder="1" applyAlignment="1"/>
    <xf numFmtId="9" fontId="44" fillId="0" borderId="0" xfId="11" applyFont="1" applyFill="1" applyBorder="1" applyAlignment="1"/>
    <xf numFmtId="37" fontId="44" fillId="0" borderId="10" xfId="0" applyFont="1" applyBorder="1" applyAlignment="1"/>
    <xf numFmtId="37" fontId="44" fillId="0" borderId="17" xfId="0" applyFont="1" applyBorder="1" applyAlignment="1"/>
    <xf numFmtId="37" fontId="44" fillId="0" borderId="0" xfId="0" applyFont="1" applyBorder="1" applyAlignment="1">
      <alignment horizontal="left" indent="1"/>
    </xf>
    <xf numFmtId="39" fontId="44" fillId="0" borderId="0" xfId="0" applyNumberFormat="1" applyFont="1" applyBorder="1" applyAlignment="1"/>
    <xf numFmtId="37" fontId="44" fillId="0" borderId="16" xfId="0" applyFont="1" applyBorder="1" applyAlignment="1"/>
    <xf numFmtId="37" fontId="44" fillId="0" borderId="10" xfId="0" quotePrefix="1" applyFont="1" applyBorder="1" applyAlignment="1"/>
    <xf numFmtId="37" fontId="44" fillId="0" borderId="10" xfId="0" applyFont="1" applyBorder="1" applyAlignment="1">
      <alignment horizontal="center"/>
    </xf>
    <xf numFmtId="37" fontId="44" fillId="0" borderId="17" xfId="0" applyFont="1" applyBorder="1" applyAlignment="1">
      <alignment horizontal="center"/>
    </xf>
    <xf numFmtId="9" fontId="44" fillId="0" borderId="0" xfId="11" applyFont="1" applyBorder="1" applyAlignment="1"/>
    <xf numFmtId="9" fontId="44" fillId="0" borderId="17" xfId="11" applyFont="1" applyBorder="1" applyAlignment="1"/>
    <xf numFmtId="37" fontId="45" fillId="0" borderId="0" xfId="0" applyFont="1" applyBorder="1" applyAlignment="1"/>
    <xf numFmtId="37" fontId="45" fillId="0" borderId="0" xfId="0" applyFont="1" applyBorder="1" applyAlignment="1">
      <alignment horizontal="center"/>
    </xf>
    <xf numFmtId="164" fontId="56" fillId="0" borderId="0" xfId="20" applyNumberFormat="1" applyFont="1" applyFill="1"/>
    <xf numFmtId="37" fontId="49" fillId="0" borderId="0" xfId="0" applyFont="1" applyFill="1"/>
    <xf numFmtId="164" fontId="56" fillId="0" borderId="0" xfId="1" applyNumberFormat="1" applyFont="1" applyFill="1"/>
    <xf numFmtId="38" fontId="56" fillId="0" borderId="0" xfId="11" applyNumberFormat="1" applyFont="1" applyFill="1" applyAlignment="1">
      <alignment horizontal="right"/>
    </xf>
    <xf numFmtId="164" fontId="44" fillId="45" borderId="0" xfId="1" applyNumberFormat="1" applyFont="1" applyFill="1"/>
    <xf numFmtId="38" fontId="44" fillId="45" borderId="0" xfId="1" applyNumberFormat="1" applyFont="1" applyFill="1"/>
    <xf numFmtId="37" fontId="44" fillId="45" borderId="0" xfId="0" applyFont="1" applyFill="1"/>
    <xf numFmtId="37" fontId="54" fillId="0" borderId="0" xfId="4" applyFont="1" applyFill="1" applyAlignment="1"/>
    <xf numFmtId="10" fontId="56" fillId="0" borderId="0" xfId="11" applyNumberFormat="1" applyFont="1" applyFill="1"/>
    <xf numFmtId="44" fontId="44" fillId="0" borderId="0" xfId="3" applyFont="1" applyAlignment="1"/>
    <xf numFmtId="37" fontId="44" fillId="0" borderId="0" xfId="0" applyFont="1" applyBorder="1" applyAlignment="1">
      <alignment horizontal="center"/>
    </xf>
    <xf numFmtId="38" fontId="44" fillId="0" borderId="10" xfId="0" applyNumberFormat="1" applyFont="1" applyBorder="1" applyAlignment="1"/>
    <xf numFmtId="38" fontId="44" fillId="0" borderId="17" xfId="0" applyNumberFormat="1" applyFont="1" applyBorder="1" applyAlignment="1"/>
    <xf numFmtId="37" fontId="49" fillId="46" borderId="0" xfId="0" quotePrefix="1" applyFont="1" applyFill="1" applyBorder="1" applyAlignment="1"/>
    <xf numFmtId="37" fontId="49" fillId="46" borderId="0" xfId="0" applyFont="1" applyFill="1" applyBorder="1" applyAlignment="1"/>
    <xf numFmtId="37" fontId="49" fillId="46" borderId="2" xfId="0" applyFont="1" applyFill="1" applyBorder="1" applyAlignment="1"/>
    <xf numFmtId="37" fontId="49" fillId="46" borderId="5" xfId="0" applyFont="1" applyFill="1" applyBorder="1" applyAlignment="1"/>
    <xf numFmtId="37" fontId="49" fillId="46" borderId="5" xfId="0" applyFont="1" applyFill="1" applyBorder="1" applyAlignment="1">
      <alignment horizontal="center"/>
    </xf>
    <xf numFmtId="37" fontId="49" fillId="46" borderId="6" xfId="0" applyFont="1" applyFill="1" applyBorder="1" applyAlignment="1">
      <alignment horizontal="center"/>
    </xf>
    <xf numFmtId="37" fontId="49" fillId="46" borderId="7" xfId="0" applyFont="1" applyFill="1" applyBorder="1" applyAlignment="1">
      <alignment horizontal="center"/>
    </xf>
    <xf numFmtId="37" fontId="49" fillId="46" borderId="6" xfId="0" applyFont="1" applyFill="1" applyBorder="1" applyAlignment="1"/>
    <xf numFmtId="37" fontId="49" fillId="46" borderId="2" xfId="0" applyFont="1" applyFill="1" applyBorder="1"/>
    <xf numFmtId="37" fontId="49" fillId="46" borderId="0" xfId="0" applyFont="1" applyFill="1" applyBorder="1"/>
    <xf numFmtId="37" fontId="49" fillId="46" borderId="8" xfId="0" applyFont="1" applyFill="1" applyBorder="1" applyAlignment="1"/>
    <xf numFmtId="37" fontId="49" fillId="46" borderId="1" xfId="0" applyFont="1" applyFill="1" applyBorder="1"/>
    <xf numFmtId="37" fontId="49" fillId="46" borderId="5" xfId="0" applyFont="1" applyFill="1" applyBorder="1"/>
    <xf numFmtId="37" fontId="49" fillId="46" borderId="1" xfId="0" quotePrefix="1" applyFont="1" applyFill="1" applyBorder="1" applyAlignment="1">
      <alignment horizontal="center"/>
    </xf>
    <xf numFmtId="37" fontId="49" fillId="46" borderId="0" xfId="0" applyFont="1" applyFill="1" applyBorder="1" applyAlignment="1">
      <alignment horizontal="center"/>
    </xf>
    <xf numFmtId="37" fontId="49" fillId="46" borderId="6" xfId="0" quotePrefix="1" applyFont="1" applyFill="1" applyBorder="1" applyAlignment="1">
      <alignment horizontal="center"/>
    </xf>
    <xf numFmtId="37" fontId="49" fillId="46" borderId="5" xfId="0" quotePrefix="1" applyFont="1" applyFill="1" applyBorder="1" applyAlignment="1">
      <alignment horizontal="center"/>
    </xf>
    <xf numFmtId="37" fontId="49" fillId="46" borderId="0" xfId="0" quotePrefix="1" applyFont="1" applyFill="1" applyBorder="1" applyAlignment="1">
      <alignment horizontal="center"/>
    </xf>
    <xf numFmtId="37" fontId="49" fillId="46" borderId="1" xfId="0" applyFont="1" applyFill="1" applyBorder="1" applyAlignment="1">
      <alignment horizontal="center"/>
    </xf>
    <xf numFmtId="37" fontId="49" fillId="46" borderId="7" xfId="0" applyFont="1" applyFill="1" applyBorder="1"/>
    <xf numFmtId="37" fontId="49" fillId="46" borderId="9" xfId="0" applyFont="1" applyFill="1" applyBorder="1" applyAlignment="1">
      <alignment horizontal="center"/>
    </xf>
    <xf numFmtId="37" fontId="49" fillId="46" borderId="2" xfId="0" applyFont="1" applyFill="1" applyBorder="1" applyAlignment="1">
      <alignment horizontal="center"/>
    </xf>
    <xf numFmtId="37" fontId="49" fillId="46" borderId="8" xfId="0" applyFont="1" applyFill="1" applyBorder="1" applyAlignment="1">
      <alignment horizontal="center"/>
    </xf>
    <xf numFmtId="37" fontId="48" fillId="46" borderId="13" xfId="0" applyFont="1" applyFill="1" applyBorder="1" applyAlignment="1"/>
    <xf numFmtId="37" fontId="49" fillId="46" borderId="14" xfId="0" applyFont="1" applyFill="1" applyBorder="1" applyAlignment="1"/>
    <xf numFmtId="37" fontId="49" fillId="46" borderId="14" xfId="0" applyFont="1" applyFill="1" applyBorder="1"/>
    <xf numFmtId="37" fontId="49" fillId="46" borderId="15" xfId="0" applyFont="1" applyFill="1" applyBorder="1" applyAlignment="1"/>
    <xf numFmtId="37" fontId="48" fillId="46" borderId="10" xfId="0" quotePrefix="1" applyFont="1" applyFill="1" applyBorder="1" applyAlignment="1"/>
    <xf numFmtId="37" fontId="49" fillId="46" borderId="17" xfId="0" applyFont="1" applyFill="1" applyBorder="1" applyAlignment="1"/>
    <xf numFmtId="37" fontId="48" fillId="46" borderId="10" xfId="0" applyFont="1" applyFill="1" applyBorder="1" applyAlignment="1"/>
    <xf numFmtId="37" fontId="49" fillId="46" borderId="42" xfId="0" applyFont="1" applyFill="1" applyBorder="1" applyAlignment="1"/>
    <xf numFmtId="37" fontId="49" fillId="46" borderId="43" xfId="0" applyFont="1" applyFill="1" applyBorder="1" applyAlignment="1"/>
    <xf numFmtId="37" fontId="49" fillId="46" borderId="44" xfId="0" applyFont="1" applyFill="1" applyBorder="1" applyAlignment="1"/>
    <xf numFmtId="37" fontId="49" fillId="46" borderId="44" xfId="0" applyFont="1" applyFill="1" applyBorder="1" applyAlignment="1">
      <alignment horizontal="center"/>
    </xf>
    <xf numFmtId="37" fontId="49" fillId="46" borderId="37" xfId="0" applyFont="1" applyFill="1" applyBorder="1" applyAlignment="1">
      <alignment horizontal="center"/>
    </xf>
    <xf numFmtId="37" fontId="49" fillId="46" borderId="45" xfId="0" applyFont="1" applyFill="1" applyBorder="1" applyAlignment="1">
      <alignment horizontal="center"/>
    </xf>
    <xf numFmtId="37" fontId="49" fillId="46" borderId="46" xfId="0" applyFont="1" applyFill="1" applyBorder="1" applyAlignment="1"/>
    <xf numFmtId="37" fontId="49" fillId="46" borderId="47" xfId="0" applyFont="1" applyFill="1" applyBorder="1" applyAlignment="1">
      <alignment horizontal="center"/>
    </xf>
    <xf numFmtId="37" fontId="49" fillId="46" borderId="48" xfId="0" applyFont="1" applyFill="1" applyBorder="1" applyAlignment="1">
      <alignment horizontal="center"/>
    </xf>
    <xf numFmtId="38" fontId="44" fillId="0" borderId="17" xfId="1" applyNumberFormat="1" applyFont="1" applyBorder="1" applyAlignment="1"/>
    <xf numFmtId="38" fontId="44" fillId="0" borderId="10" xfId="0" applyNumberFormat="1" applyFont="1" applyFill="1" applyBorder="1" applyAlignment="1"/>
    <xf numFmtId="38" fontId="44" fillId="0" borderId="17" xfId="1" applyNumberFormat="1" applyFont="1" applyFill="1" applyBorder="1" applyAlignment="1"/>
    <xf numFmtId="38" fontId="47" fillId="0" borderId="17" xfId="1" applyNumberFormat="1" applyFont="1" applyFill="1" applyBorder="1" applyAlignment="1"/>
    <xf numFmtId="38" fontId="44" fillId="0" borderId="10" xfId="0" quotePrefix="1" applyNumberFormat="1" applyFont="1" applyBorder="1" applyAlignment="1"/>
    <xf numFmtId="38" fontId="51" fillId="0" borderId="17" xfId="1" applyNumberFormat="1" applyFont="1" applyBorder="1" applyAlignment="1"/>
    <xf numFmtId="38" fontId="44" fillId="0" borderId="11" xfId="0" applyNumberFormat="1" applyFont="1" applyBorder="1" applyAlignment="1"/>
    <xf numFmtId="38" fontId="44" fillId="0" borderId="12" xfId="0" applyNumberFormat="1" applyFont="1" applyBorder="1" applyAlignment="1"/>
    <xf numFmtId="38" fontId="44" fillId="0" borderId="12" xfId="1" applyNumberFormat="1" applyFont="1" applyBorder="1" applyAlignment="1"/>
    <xf numFmtId="38" fontId="44" fillId="0" borderId="16" xfId="0" applyNumberFormat="1" applyFont="1" applyBorder="1" applyAlignment="1"/>
    <xf numFmtId="37" fontId="49" fillId="46" borderId="10" xfId="0" applyFont="1" applyFill="1" applyBorder="1" applyAlignment="1"/>
    <xf numFmtId="37" fontId="49" fillId="46" borderId="49" xfId="0" applyFont="1" applyFill="1" applyBorder="1" applyAlignment="1"/>
    <xf numFmtId="37" fontId="49" fillId="46" borderId="41" xfId="0" applyFont="1" applyFill="1" applyBorder="1" applyAlignment="1"/>
    <xf numFmtId="37" fontId="49" fillId="46" borderId="41" xfId="0" applyFont="1" applyFill="1" applyBorder="1" applyAlignment="1">
      <alignment horizontal="center"/>
    </xf>
    <xf numFmtId="37" fontId="49" fillId="46" borderId="50" xfId="0" applyFont="1" applyFill="1" applyBorder="1" applyAlignment="1">
      <alignment horizontal="center"/>
    </xf>
    <xf numFmtId="164" fontId="44" fillId="0" borderId="17" xfId="1" applyNumberFormat="1" applyFont="1" applyBorder="1" applyAlignment="1"/>
    <xf numFmtId="164" fontId="52" fillId="0" borderId="17" xfId="1" applyNumberFormat="1" applyFont="1" applyBorder="1" applyAlignment="1"/>
    <xf numFmtId="164" fontId="52" fillId="0" borderId="17" xfId="1" applyNumberFormat="1" applyFont="1" applyFill="1" applyBorder="1" applyAlignment="1"/>
    <xf numFmtId="164" fontId="51" fillId="0" borderId="17" xfId="1" applyNumberFormat="1" applyFont="1" applyBorder="1" applyAlignment="1"/>
    <xf numFmtId="37" fontId="46" fillId="0" borderId="0" xfId="0" applyFont="1" applyBorder="1" applyAlignment="1"/>
    <xf numFmtId="169" fontId="44" fillId="0" borderId="0" xfId="0" applyNumberFormat="1" applyFont="1" applyFill="1" applyBorder="1" applyAlignment="1"/>
    <xf numFmtId="37" fontId="46" fillId="0" borderId="0" xfId="0" applyFont="1" applyFill="1" applyBorder="1" applyAlignment="1"/>
    <xf numFmtId="37" fontId="56" fillId="0" borderId="0" xfId="0" applyFont="1" applyFill="1" applyBorder="1" applyAlignment="1"/>
    <xf numFmtId="37" fontId="56" fillId="0" borderId="17" xfId="0" applyFont="1" applyFill="1" applyBorder="1" applyAlignment="1"/>
    <xf numFmtId="164" fontId="44" fillId="0" borderId="12" xfId="1" applyNumberFormat="1" applyFont="1" applyBorder="1" applyAlignment="1"/>
    <xf numFmtId="170" fontId="44" fillId="0" borderId="12" xfId="1" applyNumberFormat="1" applyFont="1" applyFill="1" applyBorder="1" applyAlignment="1"/>
    <xf numFmtId="164" fontId="44" fillId="0" borderId="16" xfId="1" applyNumberFormat="1" applyFont="1" applyBorder="1" applyAlignment="1"/>
    <xf numFmtId="164" fontId="44" fillId="0" borderId="17" xfId="1" applyNumberFormat="1" applyFont="1" applyFill="1" applyBorder="1" applyAlignment="1"/>
    <xf numFmtId="37" fontId="44" fillId="0" borderId="12" xfId="0" applyFont="1" applyFill="1" applyBorder="1" applyAlignment="1"/>
    <xf numFmtId="37" fontId="44" fillId="0" borderId="16" xfId="0" applyFont="1" applyFill="1" applyBorder="1" applyAlignment="1"/>
    <xf numFmtId="37" fontId="51" fillId="0" borderId="17" xfId="0" applyFont="1" applyBorder="1" applyAlignment="1"/>
    <xf numFmtId="37" fontId="49" fillId="46" borderId="38" xfId="0" applyFont="1" applyFill="1" applyBorder="1" applyAlignment="1">
      <alignment horizontal="centerContinuous"/>
    </xf>
    <xf numFmtId="37" fontId="49" fillId="46" borderId="51" xfId="0" applyFont="1" applyFill="1" applyBorder="1" applyAlignment="1">
      <alignment horizontal="centerContinuous"/>
    </xf>
    <xf numFmtId="37" fontId="49" fillId="46" borderId="52" xfId="0" applyFont="1" applyFill="1" applyBorder="1" applyAlignment="1">
      <alignment horizontal="centerContinuous"/>
    </xf>
    <xf numFmtId="37" fontId="48" fillId="46" borderId="42" xfId="0" applyFont="1" applyFill="1" applyBorder="1"/>
    <xf numFmtId="164" fontId="49" fillId="46" borderId="0" xfId="1" applyNumberFormat="1" applyFont="1" applyFill="1" applyBorder="1"/>
    <xf numFmtId="37" fontId="49" fillId="46" borderId="53" xfId="0" applyFont="1" applyFill="1" applyBorder="1" applyAlignment="1">
      <alignment horizontal="centerContinuous"/>
    </xf>
    <xf numFmtId="37" fontId="49" fillId="46" borderId="54" xfId="0" applyFont="1" applyFill="1" applyBorder="1" applyAlignment="1">
      <alignment horizontal="centerContinuous"/>
    </xf>
    <xf numFmtId="37" fontId="49" fillId="46" borderId="40" xfId="0" applyFont="1" applyFill="1" applyBorder="1" applyAlignment="1">
      <alignment horizontal="centerContinuous"/>
    </xf>
    <xf numFmtId="37" fontId="49" fillId="46" borderId="22" xfId="0" applyFont="1" applyFill="1" applyBorder="1" applyAlignment="1"/>
    <xf numFmtId="37" fontId="49" fillId="46" borderId="55" xfId="0" applyFont="1" applyFill="1" applyBorder="1"/>
    <xf numFmtId="37" fontId="49" fillId="46" borderId="44" xfId="0" applyFont="1" applyFill="1" applyBorder="1"/>
    <xf numFmtId="37" fontId="49" fillId="46" borderId="36" xfId="0" applyFont="1" applyFill="1" applyBorder="1"/>
    <xf numFmtId="37" fontId="49" fillId="46" borderId="35" xfId="0" applyFont="1" applyFill="1" applyBorder="1" applyAlignment="1">
      <alignment horizontal="centerContinuous"/>
    </xf>
    <xf numFmtId="37" fontId="49" fillId="46" borderId="36" xfId="0" applyFont="1" applyFill="1" applyBorder="1" applyAlignment="1">
      <alignment horizontal="centerContinuous"/>
    </xf>
    <xf numFmtId="37" fontId="49" fillId="46" borderId="37" xfId="0" applyFont="1" applyFill="1" applyBorder="1" applyAlignment="1">
      <alignment horizontal="centerContinuous"/>
    </xf>
    <xf numFmtId="37" fontId="49" fillId="46" borderId="45" xfId="0" applyFont="1" applyFill="1" applyBorder="1" applyAlignment="1"/>
    <xf numFmtId="37" fontId="49" fillId="46" borderId="10" xfId="0" applyFont="1" applyFill="1" applyBorder="1"/>
    <xf numFmtId="37" fontId="49" fillId="46" borderId="36" xfId="0" quotePrefix="1" applyFont="1" applyFill="1" applyBorder="1" applyAlignment="1">
      <alignment horizontal="center"/>
    </xf>
    <xf numFmtId="37" fontId="49" fillId="46" borderId="35" xfId="0" applyFont="1" applyFill="1" applyBorder="1" applyAlignment="1">
      <alignment horizontal="center"/>
    </xf>
    <xf numFmtId="37" fontId="49" fillId="46" borderId="36" xfId="0" applyFont="1" applyFill="1" applyBorder="1" applyAlignment="1">
      <alignment horizontal="center"/>
    </xf>
    <xf numFmtId="37" fontId="49" fillId="46" borderId="44" xfId="0" applyFont="1" applyFill="1" applyBorder="1" applyAlignment="1">
      <alignment horizontal="centerContinuous"/>
    </xf>
    <xf numFmtId="37" fontId="49" fillId="46" borderId="42" xfId="0" applyFont="1" applyFill="1" applyBorder="1"/>
    <xf numFmtId="38" fontId="44" fillId="0" borderId="19" xfId="0" applyNumberFormat="1" applyFont="1" applyBorder="1" applyAlignment="1"/>
    <xf numFmtId="38" fontId="44" fillId="0" borderId="16" xfId="1" applyNumberFormat="1" applyFont="1" applyBorder="1" applyAlignment="1"/>
    <xf numFmtId="37" fontId="49" fillId="46" borderId="35" xfId="0" applyFont="1" applyFill="1" applyBorder="1"/>
    <xf numFmtId="37" fontId="49" fillId="46" borderId="39" xfId="0" applyFont="1" applyFill="1" applyBorder="1" applyAlignment="1">
      <alignment horizontal="centerContinuous"/>
    </xf>
    <xf numFmtId="37" fontId="49" fillId="46" borderId="11" xfId="0" applyFont="1" applyFill="1" applyBorder="1"/>
    <xf numFmtId="37" fontId="49" fillId="46" borderId="41" xfId="0" applyFont="1" applyFill="1" applyBorder="1"/>
    <xf numFmtId="37" fontId="49" fillId="46" borderId="18" xfId="0" applyFont="1" applyFill="1" applyBorder="1"/>
    <xf numFmtId="37" fontId="49" fillId="46" borderId="18" xfId="0" applyFont="1" applyFill="1" applyBorder="1" applyAlignment="1">
      <alignment horizontal="center"/>
    </xf>
    <xf numFmtId="37" fontId="49" fillId="46" borderId="12" xfId="0" applyFont="1" applyFill="1" applyBorder="1" applyAlignment="1">
      <alignment horizontal="center"/>
    </xf>
    <xf numFmtId="37" fontId="49" fillId="46" borderId="19" xfId="0" applyFont="1" applyFill="1" applyBorder="1" applyAlignment="1">
      <alignment horizontal="center"/>
    </xf>
    <xf numFmtId="37" fontId="49" fillId="46" borderId="12" xfId="0" applyFont="1" applyFill="1" applyBorder="1"/>
    <xf numFmtId="37" fontId="48" fillId="46" borderId="0" xfId="0" applyFont="1" applyFill="1" applyBorder="1" applyAlignment="1"/>
    <xf numFmtId="37" fontId="48" fillId="46" borderId="14" xfId="0" applyFont="1" applyFill="1" applyBorder="1" applyAlignment="1"/>
    <xf numFmtId="164" fontId="46" fillId="0" borderId="17" xfId="1" applyNumberFormat="1" applyFont="1" applyBorder="1" applyAlignment="1"/>
    <xf numFmtId="37" fontId="49" fillId="46" borderId="0" xfId="0" applyFont="1" applyFill="1" applyBorder="1" applyAlignment="1">
      <alignment horizontal="centerContinuous"/>
    </xf>
    <xf numFmtId="37" fontId="49" fillId="46" borderId="0" xfId="0" applyFont="1" applyFill="1" applyBorder="1" applyAlignment="1">
      <alignment horizontal="center"/>
    </xf>
    <xf numFmtId="37" fontId="64" fillId="46" borderId="13" xfId="0" applyFont="1" applyFill="1" applyBorder="1" applyAlignment="1">
      <alignment horizontal="centerContinuous"/>
    </xf>
    <xf numFmtId="37" fontId="64" fillId="46" borderId="14" xfId="0" applyFont="1" applyFill="1" applyBorder="1" applyAlignment="1">
      <alignment horizontal="centerContinuous"/>
    </xf>
    <xf numFmtId="37" fontId="64" fillId="46" borderId="15" xfId="0" applyFont="1" applyFill="1" applyBorder="1" applyAlignment="1">
      <alignment horizontal="centerContinuous"/>
    </xf>
    <xf numFmtId="37" fontId="64" fillId="46" borderId="10" xfId="0" quotePrefix="1" applyFont="1" applyFill="1" applyBorder="1" applyAlignment="1">
      <alignment horizontal="centerContinuous"/>
    </xf>
    <xf numFmtId="37" fontId="64" fillId="46" borderId="0" xfId="0" applyFont="1" applyFill="1" applyBorder="1" applyAlignment="1">
      <alignment horizontal="centerContinuous"/>
    </xf>
    <xf numFmtId="37" fontId="64" fillId="46" borderId="17" xfId="0" applyFont="1" applyFill="1" applyBorder="1" applyAlignment="1">
      <alignment horizontal="centerContinuous"/>
    </xf>
    <xf numFmtId="37" fontId="64" fillId="46" borderId="10" xfId="0" applyFont="1" applyFill="1" applyBorder="1" applyAlignment="1">
      <alignment horizontal="centerContinuous"/>
    </xf>
    <xf numFmtId="37" fontId="49" fillId="46" borderId="10" xfId="0" applyFont="1" applyFill="1" applyBorder="1" applyAlignment="1">
      <alignment horizontal="centerContinuous"/>
    </xf>
    <xf numFmtId="37" fontId="49" fillId="46" borderId="17" xfId="0" applyFont="1" applyFill="1" applyBorder="1" applyAlignment="1">
      <alignment horizontal="centerContinuous"/>
    </xf>
    <xf numFmtId="37" fontId="49" fillId="46" borderId="11" xfId="0" applyFont="1" applyFill="1" applyBorder="1" applyAlignment="1">
      <alignment horizontal="center"/>
    </xf>
    <xf numFmtId="37" fontId="49" fillId="46" borderId="16" xfId="0" applyFont="1" applyFill="1" applyBorder="1" applyAlignment="1">
      <alignment horizontal="center"/>
    </xf>
    <xf numFmtId="37" fontId="48" fillId="46" borderId="13" xfId="0" applyFont="1" applyFill="1" applyBorder="1" applyAlignment="1">
      <alignment horizontal="centerContinuous"/>
    </xf>
    <xf numFmtId="37" fontId="49" fillId="46" borderId="14" xfId="0" applyFont="1" applyFill="1" applyBorder="1" applyAlignment="1">
      <alignment horizontal="centerContinuous"/>
    </xf>
    <xf numFmtId="37" fontId="49" fillId="46" borderId="15" xfId="0" applyFont="1" applyFill="1" applyBorder="1" applyAlignment="1">
      <alignment horizontal="centerContinuous"/>
    </xf>
    <xf numFmtId="37" fontId="49" fillId="46" borderId="10" xfId="0" applyFont="1" applyFill="1" applyBorder="1" applyAlignment="1">
      <alignment horizontal="center"/>
    </xf>
    <xf numFmtId="37" fontId="49" fillId="46" borderId="17" xfId="0" applyFont="1" applyFill="1" applyBorder="1" applyAlignment="1">
      <alignment horizontal="center"/>
    </xf>
    <xf numFmtId="37" fontId="48" fillId="46" borderId="0" xfId="0" applyFont="1" applyFill="1" applyBorder="1" applyAlignment="1">
      <alignment horizontal="centerContinuous"/>
    </xf>
    <xf numFmtId="37" fontId="48" fillId="46" borderId="10" xfId="0" applyFont="1" applyFill="1" applyBorder="1" applyAlignment="1">
      <alignment horizontal="centerContinuous"/>
    </xf>
    <xf numFmtId="37" fontId="45" fillId="0" borderId="4" xfId="0" applyFont="1" applyBorder="1" applyAlignment="1"/>
    <xf numFmtId="37" fontId="45" fillId="0" borderId="0" xfId="0" applyFont="1" applyAlignment="1"/>
    <xf numFmtId="37" fontId="48" fillId="46" borderId="14" xfId="0" applyFont="1" applyFill="1" applyBorder="1" applyAlignment="1">
      <alignment horizontal="centerContinuous"/>
    </xf>
    <xf numFmtId="37" fontId="48" fillId="46" borderId="15" xfId="0" applyFont="1" applyFill="1" applyBorder="1" applyAlignment="1">
      <alignment horizontal="centerContinuous"/>
    </xf>
    <xf numFmtId="37" fontId="48" fillId="46" borderId="17" xfId="0" applyFont="1" applyFill="1" applyBorder="1" applyAlignment="1">
      <alignment horizontal="centerContinuous"/>
    </xf>
    <xf numFmtId="164" fontId="48" fillId="46" borderId="0" xfId="1" applyNumberFormat="1" applyFont="1" applyFill="1" applyBorder="1" applyAlignment="1">
      <alignment horizontal="centerContinuous"/>
    </xf>
    <xf numFmtId="164" fontId="49" fillId="46" borderId="0" xfId="1" applyNumberFormat="1" applyFont="1" applyFill="1" applyBorder="1" applyAlignment="1">
      <alignment horizontal="centerContinuous"/>
    </xf>
    <xf numFmtId="37" fontId="49" fillId="46" borderId="12" xfId="0" applyFont="1" applyFill="1" applyBorder="1" applyAlignment="1"/>
    <xf numFmtId="10" fontId="44" fillId="0" borderId="0" xfId="11" applyNumberFormat="1" applyFont="1" applyBorder="1" applyAlignment="1"/>
    <xf numFmtId="10" fontId="44" fillId="0" borderId="17" xfId="11" applyNumberFormat="1" applyFont="1" applyBorder="1" applyAlignment="1"/>
    <xf numFmtId="39" fontId="44" fillId="0" borderId="12" xfId="0" applyNumberFormat="1" applyFont="1" applyBorder="1" applyAlignment="1"/>
    <xf numFmtId="39" fontId="44" fillId="0" borderId="16" xfId="0" applyNumberFormat="1" applyFont="1" applyBorder="1" applyAlignment="1"/>
    <xf numFmtId="166" fontId="44" fillId="0" borderId="0" xfId="11" applyNumberFormat="1" applyFont="1" applyBorder="1" applyAlignment="1"/>
    <xf numFmtId="37" fontId="44" fillId="0" borderId="56" xfId="0" applyFont="1" applyBorder="1" applyAlignment="1"/>
    <xf numFmtId="37" fontId="44" fillId="0" borderId="57" xfId="0" applyFont="1" applyBorder="1" applyAlignment="1"/>
    <xf numFmtId="10" fontId="44" fillId="0" borderId="57" xfId="11" applyNumberFormat="1" applyFont="1" applyBorder="1" applyAlignment="1"/>
    <xf numFmtId="10" fontId="44" fillId="0" borderId="57" xfId="11" applyNumberFormat="1" applyFont="1" applyFill="1" applyBorder="1" applyAlignment="1"/>
    <xf numFmtId="37" fontId="44" fillId="0" borderId="56" xfId="0" applyFont="1" applyFill="1" applyBorder="1" applyAlignment="1"/>
    <xf numFmtId="37" fontId="44" fillId="0" borderId="57" xfId="0" applyFont="1" applyFill="1" applyBorder="1" applyAlignment="1"/>
    <xf numFmtId="164" fontId="44" fillId="0" borderId="57" xfId="1" applyNumberFormat="1" applyFont="1" applyBorder="1" applyAlignment="1"/>
    <xf numFmtId="37" fontId="50" fillId="0" borderId="0" xfId="0" applyFont="1" applyFill="1" applyBorder="1" applyAlignment="1"/>
    <xf numFmtId="37" fontId="50" fillId="0" borderId="57" xfId="0" applyFont="1" applyFill="1" applyBorder="1" applyAlignment="1"/>
    <xf numFmtId="37" fontId="50" fillId="0" borderId="0" xfId="0" applyFont="1" applyBorder="1" applyAlignment="1"/>
    <xf numFmtId="37" fontId="50" fillId="0" borderId="57" xfId="0" applyFont="1" applyBorder="1" applyAlignment="1"/>
    <xf numFmtId="37" fontId="44" fillId="0" borderId="58" xfId="0" applyFont="1" applyBorder="1" applyAlignment="1"/>
    <xf numFmtId="37" fontId="44" fillId="0" borderId="59" xfId="0" applyFont="1" applyBorder="1" applyAlignment="1"/>
    <xf numFmtId="37" fontId="44" fillId="0" borderId="60" xfId="0" applyFont="1" applyBorder="1" applyAlignment="1"/>
    <xf numFmtId="0" fontId="49" fillId="46" borderId="0" xfId="5" applyFont="1" applyFill="1" applyAlignment="1">
      <alignment horizontal="centerContinuous"/>
    </xf>
    <xf numFmtId="0" fontId="49" fillId="46" borderId="0" xfId="5" applyFont="1" applyFill="1"/>
    <xf numFmtId="0" fontId="49" fillId="46" borderId="0" xfId="5" applyFont="1" applyFill="1" applyAlignment="1"/>
    <xf numFmtId="0" fontId="49" fillId="46" borderId="0" xfId="5" applyFont="1" applyFill="1" applyAlignment="1">
      <alignment horizontal="center"/>
    </xf>
    <xf numFmtId="0" fontId="48" fillId="46" borderId="0" xfId="5" applyFont="1" applyFill="1" applyAlignment="1">
      <alignment horizontal="centerContinuous"/>
    </xf>
    <xf numFmtId="0" fontId="48" fillId="46" borderId="0" xfId="5" applyFont="1" applyFill="1" applyAlignment="1"/>
    <xf numFmtId="0" fontId="48" fillId="46" borderId="0" xfId="5" applyFont="1" applyFill="1"/>
    <xf numFmtId="37" fontId="48" fillId="46" borderId="0" xfId="0" applyFont="1" applyFill="1" applyBorder="1"/>
    <xf numFmtId="37" fontId="48" fillId="46" borderId="13" xfId="0" applyFont="1" applyFill="1" applyBorder="1"/>
    <xf numFmtId="37" fontId="48" fillId="46" borderId="14" xfId="0" applyFont="1" applyFill="1" applyBorder="1"/>
    <xf numFmtId="37" fontId="49" fillId="46" borderId="15" xfId="0" applyFont="1" applyFill="1" applyBorder="1"/>
    <xf numFmtId="37" fontId="48" fillId="46" borderId="10" xfId="0" applyFont="1" applyFill="1" applyBorder="1"/>
    <xf numFmtId="37" fontId="49" fillId="46" borderId="17" xfId="0" applyFont="1" applyFill="1" applyBorder="1"/>
    <xf numFmtId="37" fontId="62" fillId="0" borderId="0" xfId="0" applyFont="1" applyBorder="1" applyAlignment="1"/>
    <xf numFmtId="37" fontId="62" fillId="0" borderId="17" xfId="0" applyFont="1" applyBorder="1" applyAlignment="1"/>
    <xf numFmtId="39" fontId="44" fillId="0" borderId="17" xfId="0" applyNumberFormat="1" applyFont="1" applyBorder="1" applyAlignment="1"/>
    <xf numFmtId="168" fontId="44" fillId="0" borderId="17" xfId="0" applyNumberFormat="1" applyFont="1" applyBorder="1" applyAlignment="1"/>
    <xf numFmtId="37" fontId="44" fillId="0" borderId="10" xfId="0" applyFont="1" applyFill="1" applyBorder="1"/>
    <xf numFmtId="164" fontId="49" fillId="46" borderId="14" xfId="1" applyNumberFormat="1" applyFont="1" applyFill="1" applyBorder="1"/>
    <xf numFmtId="164" fontId="49" fillId="46" borderId="15" xfId="1" applyNumberFormat="1" applyFont="1" applyFill="1" applyBorder="1"/>
    <xf numFmtId="164" fontId="49" fillId="46" borderId="17" xfId="1" applyNumberFormat="1" applyFont="1" applyFill="1" applyBorder="1"/>
    <xf numFmtId="37" fontId="49" fillId="46" borderId="17" xfId="0" quotePrefix="1" applyFont="1" applyFill="1" applyBorder="1" applyAlignment="1">
      <alignment horizontal="center"/>
    </xf>
    <xf numFmtId="164" fontId="49" fillId="46" borderId="0" xfId="1" applyNumberFormat="1" applyFont="1" applyFill="1" applyBorder="1" applyAlignment="1">
      <alignment horizontal="center"/>
    </xf>
    <xf numFmtId="164" fontId="49" fillId="46" borderId="12" xfId="1" applyNumberFormat="1" applyFont="1" applyFill="1" applyBorder="1"/>
    <xf numFmtId="164" fontId="49" fillId="46" borderId="16" xfId="1" applyNumberFormat="1" applyFont="1" applyFill="1" applyBorder="1"/>
    <xf numFmtId="37" fontId="44" fillId="0" borderId="17" xfId="4" applyFont="1" applyBorder="1" applyAlignment="1"/>
    <xf numFmtId="37" fontId="49" fillId="46" borderId="15" xfId="4" applyFont="1" applyFill="1" applyBorder="1" applyAlignment="1"/>
    <xf numFmtId="37" fontId="49" fillId="46" borderId="17" xfId="4" applyFont="1" applyFill="1" applyBorder="1" applyAlignment="1"/>
    <xf numFmtId="37" fontId="49" fillId="46" borderId="10" xfId="4" applyFont="1" applyFill="1" applyBorder="1" applyAlignment="1"/>
    <xf numFmtId="37" fontId="49" fillId="46" borderId="0" xfId="4" applyFont="1" applyFill="1" applyBorder="1" applyAlignment="1"/>
    <xf numFmtId="37" fontId="49" fillId="46" borderId="0" xfId="4" applyFont="1" applyFill="1" applyBorder="1" applyAlignment="1">
      <alignment horizontal="right"/>
    </xf>
    <xf numFmtId="37" fontId="49" fillId="46" borderId="0" xfId="4" applyFont="1" applyFill="1" applyBorder="1" applyAlignment="1">
      <alignment horizontal="center"/>
    </xf>
    <xf numFmtId="0" fontId="49" fillId="46" borderId="0" xfId="9" applyFont="1" applyFill="1" applyBorder="1" applyAlignment="1">
      <alignment horizontal="center"/>
    </xf>
    <xf numFmtId="0" fontId="49" fillId="46" borderId="17" xfId="9" applyFont="1" applyFill="1" applyBorder="1" applyAlignment="1">
      <alignment horizontal="center"/>
    </xf>
    <xf numFmtId="37" fontId="49" fillId="46" borderId="11" xfId="4" applyFont="1" applyFill="1" applyBorder="1" applyAlignment="1"/>
    <xf numFmtId="37" fontId="49" fillId="46" borderId="12" xfId="4" applyFont="1" applyFill="1" applyBorder="1" applyAlignment="1"/>
    <xf numFmtId="37" fontId="49" fillId="46" borderId="12" xfId="4" applyFont="1" applyFill="1" applyBorder="1" applyAlignment="1">
      <alignment horizontal="center"/>
    </xf>
    <xf numFmtId="0" fontId="49" fillId="46" borderId="12" xfId="9" applyFont="1" applyFill="1" applyBorder="1" applyAlignment="1">
      <alignment horizontal="center"/>
    </xf>
    <xf numFmtId="0" fontId="49" fillId="46" borderId="16" xfId="9" applyFont="1" applyFill="1" applyBorder="1" applyAlignment="1">
      <alignment horizontal="center"/>
    </xf>
    <xf numFmtId="37" fontId="44" fillId="0" borderId="10" xfId="7" applyFont="1" applyBorder="1"/>
    <xf numFmtId="37" fontId="44" fillId="0" borderId="10" xfId="7" applyFont="1" applyBorder="1" applyAlignment="1">
      <alignment horizontal="left"/>
    </xf>
    <xf numFmtId="38" fontId="56" fillId="0" borderId="17" xfId="7" applyNumberFormat="1" applyFont="1" applyFill="1" applyBorder="1"/>
    <xf numFmtId="37" fontId="44" fillId="0" borderId="10" xfId="7" applyFont="1" applyFill="1" applyBorder="1"/>
    <xf numFmtId="37" fontId="44" fillId="0" borderId="10" xfId="7" applyFont="1" applyFill="1" applyBorder="1" applyAlignment="1">
      <alignment horizontal="left"/>
    </xf>
    <xf numFmtId="37" fontId="58" fillId="0" borderId="10" xfId="7" applyFont="1" applyFill="1" applyBorder="1" applyAlignment="1"/>
    <xf numFmtId="37" fontId="44" fillId="0" borderId="11" xfId="7" applyFont="1" applyFill="1" applyBorder="1"/>
    <xf numFmtId="37" fontId="44" fillId="0" borderId="12" xfId="7" applyFont="1" applyFill="1" applyBorder="1"/>
    <xf numFmtId="37" fontId="49" fillId="46" borderId="15" xfId="4" applyFont="1" applyFill="1" applyBorder="1" applyAlignment="1">
      <alignment horizontal="centerContinuous"/>
    </xf>
    <xf numFmtId="37" fontId="49" fillId="46" borderId="0" xfId="0" quotePrefix="1" applyFont="1" applyFill="1" applyBorder="1" applyAlignment="1">
      <alignment horizontal="centerContinuous"/>
    </xf>
    <xf numFmtId="37" fontId="49" fillId="46" borderId="17" xfId="4" applyFont="1" applyFill="1" applyBorder="1" applyAlignment="1">
      <alignment horizontal="centerContinuous"/>
    </xf>
    <xf numFmtId="37" fontId="48" fillId="46" borderId="13" xfId="0" applyFont="1" applyFill="1" applyBorder="1" applyAlignment="1">
      <alignment horizontal="left"/>
    </xf>
    <xf numFmtId="37" fontId="48" fillId="46" borderId="10" xfId="0" applyFont="1" applyFill="1" applyBorder="1" applyAlignment="1">
      <alignment horizontal="left"/>
    </xf>
    <xf numFmtId="37" fontId="49" fillId="46" borderId="0" xfId="4" applyFont="1" applyFill="1" applyBorder="1" applyAlignment="1">
      <alignment horizontal="centerContinuous"/>
    </xf>
    <xf numFmtId="37" fontId="49" fillId="46" borderId="14" xfId="4" applyFont="1" applyFill="1" applyBorder="1" applyAlignment="1">
      <alignment horizontal="centerContinuous"/>
    </xf>
    <xf numFmtId="37" fontId="48" fillId="46" borderId="11" xfId="0" applyFont="1" applyFill="1" applyBorder="1" applyAlignment="1">
      <alignment horizontal="left"/>
    </xf>
    <xf numFmtId="37" fontId="49" fillId="46" borderId="12" xfId="0" quotePrefix="1" applyFont="1" applyFill="1" applyBorder="1" applyAlignment="1">
      <alignment horizontal="centerContinuous"/>
    </xf>
    <xf numFmtId="37" fontId="49" fillId="46" borderId="12" xfId="0" applyFont="1" applyFill="1" applyBorder="1" applyAlignment="1">
      <alignment horizontal="centerContinuous"/>
    </xf>
    <xf numFmtId="37" fontId="49" fillId="46" borderId="12" xfId="4" applyFont="1" applyFill="1" applyBorder="1" applyAlignment="1">
      <alignment horizontal="centerContinuous"/>
    </xf>
    <xf numFmtId="37" fontId="49" fillId="46" borderId="14" xfId="4" applyFont="1" applyFill="1" applyBorder="1" applyAlignment="1"/>
    <xf numFmtId="37" fontId="49" fillId="46" borderId="12" xfId="4" applyFont="1" applyFill="1" applyBorder="1" applyAlignment="1">
      <alignment horizontal="right"/>
    </xf>
    <xf numFmtId="37" fontId="49" fillId="46" borderId="16" xfId="4" applyFont="1" applyFill="1" applyBorder="1" applyAlignment="1"/>
    <xf numFmtId="37" fontId="49" fillId="46" borderId="2" xfId="4" applyFont="1" applyFill="1" applyBorder="1" applyAlignment="1"/>
    <xf numFmtId="37" fontId="49" fillId="46" borderId="42" xfId="4" applyFont="1" applyFill="1" applyBorder="1" applyAlignment="1"/>
    <xf numFmtId="37" fontId="49" fillId="46" borderId="47" xfId="0" applyFont="1" applyFill="1" applyBorder="1"/>
    <xf numFmtId="37" fontId="49" fillId="46" borderId="55" xfId="4" applyFont="1" applyFill="1" applyBorder="1" applyAlignment="1"/>
    <xf numFmtId="37" fontId="49" fillId="46" borderId="37" xfId="4" applyFont="1" applyFill="1" applyBorder="1" applyAlignment="1"/>
    <xf numFmtId="37" fontId="49" fillId="46" borderId="6" xfId="4" applyFont="1" applyFill="1" applyBorder="1" applyAlignment="1"/>
    <xf numFmtId="37" fontId="49" fillId="46" borderId="19" xfId="4" applyFont="1" applyFill="1" applyBorder="1" applyAlignment="1"/>
    <xf numFmtId="164" fontId="44" fillId="47" borderId="17" xfId="1" applyNumberFormat="1" applyFont="1" applyFill="1" applyBorder="1" applyAlignment="1"/>
    <xf numFmtId="37" fontId="49" fillId="43" borderId="0" xfId="0" applyFont="1" applyFill="1" applyBorder="1" applyAlignment="1">
      <alignment horizontal="center"/>
    </xf>
    <xf numFmtId="37" fontId="49" fillId="43" borderId="12" xfId="0" applyFont="1" applyFill="1" applyBorder="1" applyAlignment="1">
      <alignment horizontal="center"/>
    </xf>
    <xf numFmtId="9" fontId="44" fillId="0" borderId="0" xfId="11" applyFont="1" applyAlignment="1"/>
    <xf numFmtId="9" fontId="51" fillId="0" borderId="0" xfId="11" applyFont="1" applyAlignment="1"/>
    <xf numFmtId="37" fontId="44" fillId="0" borderId="0" xfId="0" applyFont="1" applyBorder="1" applyAlignment="1">
      <alignment vertical="center"/>
    </xf>
    <xf numFmtId="9" fontId="51" fillId="0" borderId="0" xfId="11" applyFont="1" applyBorder="1" applyAlignment="1"/>
    <xf numFmtId="9" fontId="51" fillId="0" borderId="17" xfId="11" applyFont="1" applyBorder="1" applyAlignment="1"/>
    <xf numFmtId="44" fontId="44" fillId="0" borderId="0" xfId="3" applyFont="1" applyBorder="1" applyAlignment="1"/>
    <xf numFmtId="44" fontId="44" fillId="0" borderId="17" xfId="3" applyFont="1" applyBorder="1" applyAlignment="1"/>
    <xf numFmtId="37" fontId="55" fillId="0" borderId="0" xfId="0" applyFont="1" applyBorder="1" applyAlignment="1"/>
    <xf numFmtId="172" fontId="44" fillId="0" borderId="0" xfId="3" applyNumberFormat="1" applyFont="1" applyBorder="1" applyAlignment="1"/>
    <xf numFmtId="172" fontId="44" fillId="0" borderId="17" xfId="3" applyNumberFormat="1" applyFont="1" applyBorder="1" applyAlignment="1"/>
    <xf numFmtId="172" fontId="44" fillId="48" borderId="0" xfId="3" applyNumberFormat="1" applyFont="1" applyFill="1" applyBorder="1" applyAlignment="1"/>
    <xf numFmtId="37" fontId="49" fillId="46" borderId="0" xfId="0" applyFont="1" applyFill="1" applyBorder="1" applyAlignment="1">
      <alignment horizontal="center"/>
    </xf>
    <xf numFmtId="164" fontId="49" fillId="46" borderId="12" xfId="1" applyNumberFormat="1" applyFont="1" applyFill="1" applyBorder="1" applyAlignment="1">
      <alignment horizontal="center"/>
    </xf>
    <xf numFmtId="37" fontId="49" fillId="46" borderId="44" xfId="0" quotePrefix="1" applyFont="1" applyFill="1" applyBorder="1" applyAlignment="1">
      <alignment horizontal="center"/>
    </xf>
    <xf numFmtId="37" fontId="49" fillId="46" borderId="45" xfId="0" quotePrefix="1" applyFont="1" applyFill="1" applyBorder="1" applyAlignment="1">
      <alignment horizontal="center"/>
    </xf>
    <xf numFmtId="37" fontId="49" fillId="46" borderId="47" xfId="0" quotePrefix="1" applyFont="1" applyFill="1" applyBorder="1" applyAlignment="1">
      <alignment horizontal="center"/>
    </xf>
    <xf numFmtId="37" fontId="23" fillId="46" borderId="13" xfId="0" applyFont="1" applyFill="1" applyBorder="1" applyAlignment="1">
      <alignment horizontal="centerContinuous"/>
    </xf>
    <xf numFmtId="37" fontId="23" fillId="46" borderId="14" xfId="0" applyFont="1" applyFill="1" applyBorder="1" applyAlignment="1">
      <alignment horizontal="centerContinuous"/>
    </xf>
    <xf numFmtId="164" fontId="23" fillId="46" borderId="14" xfId="144" applyFont="1" applyFill="1" applyBorder="1" applyAlignment="1">
      <alignment horizontal="centerContinuous"/>
    </xf>
    <xf numFmtId="164" fontId="23" fillId="46" borderId="14" xfId="1" applyNumberFormat="1" applyFont="1" applyFill="1" applyBorder="1" applyAlignment="1">
      <alignment horizontal="centerContinuous"/>
    </xf>
    <xf numFmtId="37" fontId="23" fillId="46" borderId="15" xfId="0" applyFont="1" applyFill="1" applyBorder="1" applyAlignment="1">
      <alignment horizontal="centerContinuous"/>
    </xf>
    <xf numFmtId="37" fontId="23" fillId="46" borderId="10" xfId="0" applyFont="1" applyFill="1" applyBorder="1" applyAlignment="1">
      <alignment horizontal="centerContinuous"/>
    </xf>
    <xf numFmtId="37" fontId="23" fillId="46" borderId="0" xfId="0" applyFont="1" applyFill="1" applyBorder="1" applyAlignment="1">
      <alignment horizontal="centerContinuous"/>
    </xf>
    <xf numFmtId="14" fontId="23" fillId="46" borderId="0" xfId="1" applyNumberFormat="1" applyFont="1" applyFill="1" applyBorder="1" applyAlignment="1">
      <alignment horizontal="centerContinuous"/>
    </xf>
    <xf numFmtId="164" fontId="23" fillId="46" borderId="0" xfId="1" applyNumberFormat="1" applyFont="1" applyFill="1" applyBorder="1" applyAlignment="1">
      <alignment horizontal="centerContinuous"/>
    </xf>
    <xf numFmtId="14" fontId="23" fillId="46" borderId="0" xfId="0" applyNumberFormat="1" applyFont="1" applyFill="1" applyBorder="1" applyAlignment="1">
      <alignment horizontal="centerContinuous"/>
    </xf>
    <xf numFmtId="37" fontId="23" fillId="46" borderId="17" xfId="0" applyFont="1" applyFill="1" applyBorder="1" applyAlignment="1">
      <alignment horizontal="centerContinuous"/>
    </xf>
    <xf numFmtId="37" fontId="27" fillId="46" borderId="10" xfId="0" applyFont="1" applyFill="1" applyBorder="1"/>
    <xf numFmtId="37" fontId="27" fillId="46" borderId="0" xfId="0" applyFont="1" applyFill="1" applyBorder="1"/>
    <xf numFmtId="37" fontId="27" fillId="46" borderId="0" xfId="0" applyFont="1" applyFill="1" applyBorder="1" applyAlignment="1">
      <alignment horizontal="center"/>
    </xf>
    <xf numFmtId="37" fontId="27" fillId="46" borderId="0" xfId="0" quotePrefix="1" applyFont="1" applyFill="1" applyBorder="1" applyAlignment="1">
      <alignment horizontal="center"/>
    </xf>
    <xf numFmtId="37" fontId="27" fillId="46" borderId="17" xfId="0" quotePrefix="1" applyFont="1" applyFill="1" applyBorder="1" applyAlignment="1">
      <alignment horizontal="center"/>
    </xf>
    <xf numFmtId="37" fontId="27" fillId="46" borderId="11" xfId="0" applyFont="1" applyFill="1" applyBorder="1"/>
    <xf numFmtId="37" fontId="27" fillId="46" borderId="12" xfId="0" applyFont="1" applyFill="1" applyBorder="1"/>
    <xf numFmtId="37" fontId="27" fillId="46" borderId="12" xfId="0" applyFont="1" applyFill="1" applyBorder="1" applyAlignment="1">
      <alignment horizontal="center"/>
    </xf>
    <xf numFmtId="164" fontId="27" fillId="46" borderId="12" xfId="1" applyNumberFormat="1" applyFont="1" applyFill="1" applyBorder="1" applyAlignment="1">
      <alignment horizontal="center"/>
    </xf>
    <xf numFmtId="37" fontId="27" fillId="46" borderId="16" xfId="0" applyFont="1" applyFill="1" applyBorder="1" applyAlignment="1">
      <alignment horizontal="center"/>
    </xf>
    <xf numFmtId="164" fontId="49" fillId="46" borderId="14" xfId="1" applyNumberFormat="1" applyFont="1" applyFill="1" applyBorder="1" applyAlignment="1">
      <alignment horizontal="centerContinuous"/>
    </xf>
    <xf numFmtId="37" fontId="49" fillId="46" borderId="14" xfId="24" applyFont="1" applyFill="1" applyBorder="1"/>
    <xf numFmtId="38" fontId="49" fillId="46" borderId="0" xfId="1" applyNumberFormat="1" applyFont="1" applyFill="1" applyBorder="1"/>
    <xf numFmtId="37" fontId="49" fillId="46" borderId="37" xfId="0" applyFont="1" applyFill="1" applyBorder="1"/>
    <xf numFmtId="37" fontId="49" fillId="46" borderId="6" xfId="0" applyFont="1" applyFill="1" applyBorder="1"/>
    <xf numFmtId="37" fontId="49" fillId="46" borderId="19" xfId="0" applyFont="1" applyFill="1" applyBorder="1"/>
    <xf numFmtId="38" fontId="49" fillId="46" borderId="14" xfId="1" applyNumberFormat="1" applyFont="1" applyFill="1" applyBorder="1"/>
    <xf numFmtId="37" fontId="49" fillId="46" borderId="43" xfId="0" applyFont="1" applyFill="1" applyBorder="1"/>
    <xf numFmtId="37" fontId="49" fillId="46" borderId="46" xfId="0" applyFont="1" applyFill="1" applyBorder="1"/>
    <xf numFmtId="37" fontId="49" fillId="46" borderId="49" xfId="0" applyFont="1" applyFill="1" applyBorder="1"/>
    <xf numFmtId="164" fontId="49" fillId="46" borderId="41" xfId="1" applyNumberFormat="1" applyFont="1" applyFill="1" applyBorder="1" applyAlignment="1">
      <alignment horizontal="center"/>
    </xf>
    <xf numFmtId="37" fontId="49" fillId="46" borderId="10" xfId="0" applyFont="1" applyFill="1" applyBorder="1" applyAlignment="1">
      <alignment horizontal="left"/>
    </xf>
    <xf numFmtId="37" fontId="49" fillId="46" borderId="43" xfId="0" applyFont="1" applyFill="1" applyBorder="1" applyAlignment="1">
      <alignment horizontal="left"/>
    </xf>
    <xf numFmtId="37" fontId="49" fillId="46" borderId="46" xfId="0" applyFont="1" applyFill="1" applyBorder="1" applyAlignment="1">
      <alignment horizontal="left"/>
    </xf>
    <xf numFmtId="37" fontId="49" fillId="46" borderId="49" xfId="0" applyFont="1" applyFill="1" applyBorder="1" applyAlignment="1">
      <alignment horizontal="left"/>
    </xf>
    <xf numFmtId="37" fontId="63" fillId="0" borderId="0" xfId="0" applyFont="1" applyAlignment="1"/>
    <xf numFmtId="4" fontId="51" fillId="0" borderId="0" xfId="0" applyNumberFormat="1" applyFont="1" applyFill="1"/>
    <xf numFmtId="37" fontId="65" fillId="0" borderId="1" xfId="0" applyFont="1" applyFill="1" applyBorder="1"/>
    <xf numFmtId="37" fontId="56" fillId="0" borderId="0" xfId="0" applyFont="1" applyFill="1" applyBorder="1"/>
    <xf numFmtId="37" fontId="56" fillId="0" borderId="1" xfId="0" applyFont="1" applyFill="1" applyBorder="1"/>
    <xf numFmtId="37" fontId="65" fillId="0" borderId="0" xfId="0" applyFont="1" applyFill="1"/>
    <xf numFmtId="37" fontId="62" fillId="0" borderId="0" xfId="0" applyFont="1" applyFill="1" applyBorder="1"/>
    <xf numFmtId="37" fontId="56" fillId="0" borderId="0" xfId="22" applyFont="1" applyFill="1" applyBorder="1"/>
    <xf numFmtId="37" fontId="56" fillId="0" borderId="0" xfId="0" quotePrefix="1" applyFont="1" applyFill="1" applyBorder="1" applyAlignment="1">
      <alignment horizontal="left"/>
    </xf>
    <xf numFmtId="164" fontId="56" fillId="0" borderId="0" xfId="1" quotePrefix="1" applyNumberFormat="1" applyFont="1" applyFill="1"/>
    <xf numFmtId="164" fontId="56" fillId="0" borderId="0" xfId="0" applyNumberFormat="1" applyFont="1" applyFill="1"/>
    <xf numFmtId="37" fontId="56" fillId="0" borderId="0" xfId="1" applyNumberFormat="1" applyFont="1" applyFill="1"/>
    <xf numFmtId="43" fontId="56" fillId="0" borderId="0" xfId="1" applyFont="1" applyFill="1"/>
    <xf numFmtId="164" fontId="66" fillId="0" borderId="0" xfId="1" quotePrefix="1" applyNumberFormat="1" applyFont="1" applyFill="1"/>
    <xf numFmtId="164" fontId="66" fillId="0" borderId="0" xfId="1" applyNumberFormat="1" applyFont="1" applyFill="1"/>
    <xf numFmtId="164" fontId="66" fillId="0" borderId="0" xfId="0" applyNumberFormat="1" applyFont="1" applyFill="1"/>
    <xf numFmtId="37" fontId="56" fillId="0" borderId="0" xfId="0" quotePrefix="1" applyFont="1" applyFill="1" applyBorder="1" applyAlignment="1">
      <alignment horizontal="center"/>
    </xf>
    <xf numFmtId="37" fontId="56" fillId="0" borderId="0" xfId="0" applyNumberFormat="1" applyFont="1" applyFill="1"/>
    <xf numFmtId="164" fontId="62" fillId="0" borderId="0" xfId="1" applyNumberFormat="1" applyFont="1" applyFill="1"/>
    <xf numFmtId="37" fontId="67" fillId="0" borderId="0" xfId="0" applyFont="1" applyFill="1" applyBorder="1"/>
    <xf numFmtId="164" fontId="62" fillId="0" borderId="0" xfId="0" applyNumberFormat="1" applyFont="1" applyFill="1"/>
    <xf numFmtId="37" fontId="65" fillId="0" borderId="0" xfId="0" applyFont="1" applyFill="1" applyBorder="1"/>
    <xf numFmtId="0" fontId="56" fillId="0" borderId="0" xfId="23" applyFont="1" applyFill="1" applyBorder="1"/>
    <xf numFmtId="38" fontId="56" fillId="0" borderId="0" xfId="1" applyNumberFormat="1" applyFont="1" applyFill="1"/>
    <xf numFmtId="38" fontId="56" fillId="0" borderId="0" xfId="0" applyNumberFormat="1" applyFont="1" applyFill="1"/>
    <xf numFmtId="37" fontId="62" fillId="0" borderId="0" xfId="0" applyFont="1" applyFill="1" applyBorder="1" applyAlignment="1">
      <alignment horizontal="left"/>
    </xf>
    <xf numFmtId="37" fontId="56" fillId="0" borderId="0" xfId="0" applyFont="1" applyFill="1" applyBorder="1" applyAlignment="1">
      <alignment horizontal="left"/>
    </xf>
    <xf numFmtId="37" fontId="56" fillId="0" borderId="0" xfId="22" applyFont="1" applyFill="1" applyBorder="1" applyAlignment="1"/>
    <xf numFmtId="37" fontId="56" fillId="0" borderId="0" xfId="0" applyFont="1" applyFill="1" applyBorder="1" applyAlignment="1">
      <alignment horizontal="center"/>
    </xf>
    <xf numFmtId="37" fontId="65" fillId="0" borderId="0" xfId="0" quotePrefix="1" applyFont="1" applyFill="1" applyBorder="1" applyAlignment="1">
      <alignment horizontal="left"/>
    </xf>
    <xf numFmtId="43" fontId="56" fillId="0" borderId="0" xfId="1" applyNumberFormat="1" applyFont="1" applyFill="1"/>
    <xf numFmtId="37" fontId="56" fillId="0" borderId="0" xfId="0" applyFont="1" applyFill="1" applyAlignment="1">
      <alignment horizontal="center"/>
    </xf>
    <xf numFmtId="37" fontId="56" fillId="0" borderId="0" xfId="4" applyFont="1" applyFill="1" applyBorder="1" applyAlignment="1"/>
    <xf numFmtId="37" fontId="56" fillId="0" borderId="17" xfId="4" applyFont="1" applyFill="1" applyBorder="1" applyAlignment="1"/>
    <xf numFmtId="38" fontId="56" fillId="0" borderId="0" xfId="2" applyNumberFormat="1" applyFont="1" applyFill="1" applyBorder="1" applyAlignment="1"/>
    <xf numFmtId="37" fontId="56" fillId="0" borderId="0" xfId="7" applyFont="1" applyFill="1" applyBorder="1"/>
    <xf numFmtId="38" fontId="56" fillId="0" borderId="0" xfId="7" applyNumberFormat="1" applyFont="1" applyFill="1" applyBorder="1" applyAlignment="1"/>
    <xf numFmtId="38" fontId="56" fillId="0" borderId="17" xfId="7" applyNumberFormat="1" applyFont="1" applyFill="1" applyBorder="1" applyAlignment="1"/>
    <xf numFmtId="38" fontId="56" fillId="0" borderId="12" xfId="7" applyNumberFormat="1" applyFont="1" applyFill="1" applyBorder="1"/>
    <xf numFmtId="38" fontId="56" fillId="0" borderId="16" xfId="7" applyNumberFormat="1" applyFont="1" applyFill="1" applyBorder="1"/>
    <xf numFmtId="37" fontId="56" fillId="0" borderId="0" xfId="0" quotePrefix="1" applyFont="1" applyFill="1"/>
    <xf numFmtId="37" fontId="65" fillId="0" borderId="0" xfId="0" quotePrefix="1" applyFont="1" applyFill="1"/>
    <xf numFmtId="37" fontId="56" fillId="0" borderId="0" xfId="22" quotePrefix="1" applyFont="1" applyFill="1" applyBorder="1"/>
    <xf numFmtId="37" fontId="56" fillId="0" borderId="0" xfId="22" applyFont="1" applyFill="1"/>
    <xf numFmtId="37" fontId="56" fillId="0" borderId="0" xfId="22" quotePrefix="1" applyFont="1" applyFill="1"/>
    <xf numFmtId="37" fontId="56" fillId="0" borderId="0" xfId="10" quotePrefix="1" applyFont="1" applyFill="1"/>
    <xf numFmtId="37" fontId="56" fillId="0" borderId="0" xfId="10" applyFont="1" applyFill="1"/>
    <xf numFmtId="37" fontId="56" fillId="0" borderId="0" xfId="0" quotePrefix="1" applyFont="1" applyFill="1" applyAlignment="1"/>
    <xf numFmtId="164" fontId="56" fillId="0" borderId="0" xfId="1" applyNumberFormat="1" applyFont="1" applyFill="1" applyBorder="1"/>
    <xf numFmtId="37" fontId="56" fillId="0" borderId="0" xfId="8" applyFont="1" applyFill="1"/>
    <xf numFmtId="37" fontId="65" fillId="0" borderId="0" xfId="8" applyFont="1" applyFill="1"/>
    <xf numFmtId="167" fontId="56" fillId="0" borderId="0" xfId="11" applyNumberFormat="1" applyFont="1" applyFill="1"/>
    <xf numFmtId="37" fontId="65" fillId="0" borderId="0" xfId="22" quotePrefix="1" applyFont="1" applyFill="1" applyBorder="1"/>
    <xf numFmtId="37" fontId="56" fillId="0" borderId="0" xfId="8" quotePrefix="1" applyFont="1" applyFill="1"/>
    <xf numFmtId="37" fontId="56" fillId="0" borderId="0" xfId="0" quotePrefix="1" applyFont="1" applyFill="1" applyAlignment="1">
      <alignment horizontal="center"/>
    </xf>
    <xf numFmtId="165" fontId="56" fillId="0" borderId="0" xfId="11" applyNumberFormat="1" applyFont="1" applyFill="1"/>
    <xf numFmtId="37" fontId="65" fillId="0" borderId="0" xfId="0" applyFont="1" applyFill="1" applyAlignment="1">
      <alignment horizontal="center"/>
    </xf>
    <xf numFmtId="37" fontId="56" fillId="0" borderId="0" xfId="0" applyFont="1" applyFill="1" applyAlignment="1">
      <alignment horizontal="left"/>
    </xf>
    <xf numFmtId="39" fontId="56" fillId="0" borderId="0" xfId="0" applyNumberFormat="1" applyFont="1" applyFill="1"/>
    <xf numFmtId="0" fontId="56" fillId="0" borderId="0" xfId="23" applyFont="1" applyFill="1"/>
    <xf numFmtId="38" fontId="56" fillId="0" borderId="0" xfId="11" applyNumberFormat="1" applyFont="1" applyFill="1"/>
    <xf numFmtId="0" fontId="56" fillId="0" borderId="0" xfId="1" applyNumberFormat="1" applyFont="1" applyFill="1"/>
    <xf numFmtId="37" fontId="56" fillId="0" borderId="0" xfId="0" applyFont="1" applyFill="1" applyAlignment="1">
      <alignment horizontal="right"/>
    </xf>
    <xf numFmtId="9" fontId="56" fillId="0" borderId="0" xfId="11" applyFont="1" applyFill="1" applyAlignment="1">
      <alignment horizontal="right"/>
    </xf>
    <xf numFmtId="164" fontId="56" fillId="0" borderId="0" xfId="11" applyNumberFormat="1" applyFont="1" applyFill="1" applyAlignment="1">
      <alignment horizontal="right"/>
    </xf>
    <xf numFmtId="164" fontId="56" fillId="0" borderId="0" xfId="1" applyNumberFormat="1" applyFont="1" applyFill="1" applyAlignment="1">
      <alignment horizontal="right"/>
    </xf>
    <xf numFmtId="43" fontId="56" fillId="0" borderId="0" xfId="1" applyNumberFormat="1" applyFont="1" applyFill="1" applyAlignment="1">
      <alignment horizontal="right"/>
    </xf>
    <xf numFmtId="43" fontId="56" fillId="0" borderId="0" xfId="0" applyNumberFormat="1" applyFont="1" applyFill="1" applyAlignment="1">
      <alignment horizontal="right"/>
    </xf>
    <xf numFmtId="9" fontId="56" fillId="0" borderId="0" xfId="11" applyFont="1" applyFill="1"/>
    <xf numFmtId="164" fontId="56" fillId="0" borderId="0" xfId="11" applyNumberFormat="1" applyFont="1" applyFill="1"/>
    <xf numFmtId="5" fontId="56" fillId="0" borderId="0" xfId="0" applyNumberFormat="1" applyFont="1" applyFill="1"/>
    <xf numFmtId="5" fontId="56" fillId="0" borderId="0" xfId="11" applyNumberFormat="1" applyFont="1" applyFill="1" applyAlignment="1">
      <alignment horizontal="right"/>
    </xf>
    <xf numFmtId="164" fontId="56" fillId="0" borderId="0" xfId="0" applyNumberFormat="1" applyFont="1" applyFill="1" applyAlignment="1">
      <alignment horizontal="right"/>
    </xf>
    <xf numFmtId="43" fontId="56" fillId="0" borderId="0" xfId="1" applyFont="1" applyFill="1" applyAlignment="1">
      <alignment horizontal="right"/>
    </xf>
    <xf numFmtId="167" fontId="56" fillId="0" borderId="0" xfId="11" applyNumberFormat="1" applyFont="1" applyFill="1" applyAlignment="1">
      <alignment horizontal="right"/>
    </xf>
    <xf numFmtId="3" fontId="56" fillId="0" borderId="0" xfId="11" applyNumberFormat="1" applyFont="1" applyFill="1"/>
    <xf numFmtId="1" fontId="56" fillId="0" borderId="0" xfId="11" applyNumberFormat="1" applyFont="1" applyFill="1"/>
    <xf numFmtId="9" fontId="56" fillId="0" borderId="0" xfId="0" applyNumberFormat="1" applyFont="1" applyFill="1"/>
    <xf numFmtId="37" fontId="56" fillId="0" borderId="0" xfId="22" quotePrefix="1" applyFont="1" applyFill="1" applyBorder="1" applyAlignment="1">
      <alignment horizontal="left"/>
    </xf>
    <xf numFmtId="37" fontId="62" fillId="0" borderId="0" xfId="0" applyFont="1" applyFill="1" applyAlignment="1"/>
    <xf numFmtId="37" fontId="56" fillId="0" borderId="0" xfId="22" quotePrefix="1" applyFont="1" applyFill="1" applyBorder="1" applyAlignment="1">
      <alignment horizontal="center"/>
    </xf>
    <xf numFmtId="37" fontId="62" fillId="0" borderId="0" xfId="0" applyFont="1" applyFill="1"/>
    <xf numFmtId="5" fontId="56" fillId="0" borderId="0" xfId="11" applyNumberFormat="1" applyFont="1" applyFill="1"/>
    <xf numFmtId="9" fontId="56" fillId="0" borderId="0" xfId="11" applyNumberFormat="1" applyFont="1" applyFill="1" applyAlignment="1">
      <alignment horizontal="right"/>
    </xf>
    <xf numFmtId="3" fontId="56" fillId="0" borderId="0" xfId="11" applyNumberFormat="1" applyFont="1" applyFill="1" applyAlignment="1">
      <alignment horizontal="right"/>
    </xf>
    <xf numFmtId="9" fontId="56" fillId="0" borderId="0" xfId="1" applyNumberFormat="1" applyFont="1" applyFill="1"/>
    <xf numFmtId="37" fontId="67" fillId="0" borderId="1" xfId="0" applyFont="1" applyFill="1" applyBorder="1"/>
    <xf numFmtId="37" fontId="56" fillId="0" borderId="0" xfId="6" applyFont="1" applyFill="1" applyBorder="1"/>
    <xf numFmtId="37" fontId="1" fillId="0" borderId="0" xfId="0" applyFont="1" applyFill="1" applyBorder="1"/>
    <xf numFmtId="37" fontId="1" fillId="0" borderId="0" xfId="6" applyFont="1" applyFill="1" applyBorder="1"/>
    <xf numFmtId="37" fontId="56" fillId="0" borderId="0" xfId="6" applyFont="1" applyFill="1"/>
    <xf numFmtId="37" fontId="65" fillId="0" borderId="0" xfId="6" applyFont="1" applyFill="1"/>
    <xf numFmtId="9" fontId="56" fillId="0" borderId="0" xfId="0" applyNumberFormat="1" applyFont="1" applyFill="1" applyBorder="1" applyAlignment="1">
      <alignment horizontal="center"/>
    </xf>
    <xf numFmtId="10" fontId="56" fillId="0" borderId="0" xfId="0" applyNumberFormat="1" applyFont="1" applyFill="1"/>
    <xf numFmtId="38" fontId="56" fillId="0" borderId="0" xfId="0" applyNumberFormat="1" applyFont="1" applyFill="1" applyAlignment="1">
      <alignment horizontal="center"/>
    </xf>
    <xf numFmtId="9" fontId="56" fillId="0" borderId="0" xfId="0" applyNumberFormat="1" applyFont="1" applyFill="1" applyAlignment="1">
      <alignment horizontal="center"/>
    </xf>
    <xf numFmtId="37" fontId="65" fillId="0" borderId="1" xfId="0" applyFont="1" applyFill="1" applyBorder="1" applyAlignment="1">
      <alignment horizontal="left"/>
    </xf>
    <xf numFmtId="37" fontId="56" fillId="0" borderId="1" xfId="0" applyFont="1" applyFill="1" applyBorder="1" applyAlignment="1">
      <alignment horizontal="left"/>
    </xf>
    <xf numFmtId="37" fontId="56" fillId="0" borderId="1" xfId="0" quotePrefix="1" applyFont="1" applyFill="1" applyBorder="1" applyAlignment="1">
      <alignment horizontal="left"/>
    </xf>
    <xf numFmtId="37" fontId="56" fillId="0" borderId="0" xfId="22" applyFont="1" applyFill="1" applyBorder="1" applyAlignment="1">
      <alignment horizontal="left"/>
    </xf>
    <xf numFmtId="0" fontId="56" fillId="0" borderId="0" xfId="23" applyFont="1" applyFill="1" applyBorder="1" applyAlignment="1">
      <alignment horizontal="left"/>
    </xf>
    <xf numFmtId="37" fontId="66" fillId="0" borderId="0" xfId="0" applyFont="1" applyFill="1"/>
    <xf numFmtId="37" fontId="65" fillId="0" borderId="0" xfId="0" applyFont="1" applyFill="1" applyAlignment="1">
      <alignment horizontal="left"/>
    </xf>
    <xf numFmtId="164" fontId="65" fillId="0" borderId="0" xfId="1" applyNumberFormat="1" applyFont="1" applyFill="1"/>
    <xf numFmtId="10" fontId="65" fillId="0" borderId="0" xfId="11" applyNumberFormat="1" applyFont="1" applyFill="1"/>
    <xf numFmtId="165" fontId="65" fillId="0" borderId="0" xfId="11" applyNumberFormat="1" applyFont="1" applyFill="1"/>
    <xf numFmtId="9" fontId="56" fillId="0" borderId="0" xfId="11" applyNumberFormat="1" applyFont="1" applyFill="1"/>
    <xf numFmtId="37" fontId="56" fillId="0" borderId="10" xfId="0" quotePrefix="1" applyFont="1" applyFill="1" applyBorder="1" applyAlignment="1"/>
    <xf numFmtId="37" fontId="56" fillId="0" borderId="0" xfId="0" quotePrefix="1" applyFont="1" applyFill="1" applyBorder="1" applyAlignment="1"/>
    <xf numFmtId="164" fontId="56" fillId="0" borderId="0" xfId="1" applyNumberFormat="1" applyFont="1" applyFill="1" applyBorder="1" applyAlignment="1"/>
    <xf numFmtId="38" fontId="62" fillId="0" borderId="6" xfId="0" applyNumberFormat="1" applyFont="1" applyFill="1" applyBorder="1" applyAlignment="1"/>
    <xf numFmtId="164" fontId="56" fillId="0" borderId="17" xfId="1" applyNumberFormat="1" applyFont="1" applyFill="1" applyBorder="1" applyAlignment="1"/>
    <xf numFmtId="38" fontId="56" fillId="0" borderId="0" xfId="0" applyNumberFormat="1" applyFont="1" applyFill="1" applyAlignment="1"/>
    <xf numFmtId="38" fontId="56" fillId="0" borderId="6" xfId="0" applyNumberFormat="1" applyFont="1" applyFill="1" applyBorder="1" applyAlignment="1"/>
    <xf numFmtId="37" fontId="56" fillId="0" borderId="10" xfId="0" applyFont="1" applyFill="1" applyBorder="1" applyAlignment="1"/>
    <xf numFmtId="38" fontId="56" fillId="0" borderId="0" xfId="0" applyNumberFormat="1" applyFont="1" applyFill="1" applyBorder="1" applyAlignment="1"/>
    <xf numFmtId="38" fontId="56" fillId="0" borderId="10" xfId="0" applyNumberFormat="1" applyFont="1" applyFill="1" applyBorder="1" applyAlignment="1"/>
    <xf numFmtId="38" fontId="56" fillId="0" borderId="1" xfId="0" applyNumberFormat="1" applyFont="1" applyFill="1" applyBorder="1" applyAlignment="1"/>
    <xf numFmtId="164" fontId="66" fillId="0" borderId="0" xfId="1" applyNumberFormat="1" applyFont="1" applyFill="1" applyBorder="1" applyAlignment="1"/>
    <xf numFmtId="164" fontId="66" fillId="0" borderId="6" xfId="1" applyNumberFormat="1" applyFont="1" applyFill="1" applyBorder="1" applyAlignment="1"/>
    <xf numFmtId="37" fontId="66" fillId="0" borderId="0" xfId="0" applyFont="1" applyFill="1" applyBorder="1" applyAlignment="1"/>
    <xf numFmtId="164" fontId="66" fillId="0" borderId="17" xfId="1" applyNumberFormat="1" applyFont="1" applyFill="1" applyBorder="1" applyAlignment="1"/>
    <xf numFmtId="37" fontId="62" fillId="0" borderId="0" xfId="0" applyFont="1" applyFill="1" applyBorder="1" applyAlignment="1"/>
    <xf numFmtId="164" fontId="62" fillId="0" borderId="0" xfId="1" applyNumberFormat="1" applyFont="1" applyFill="1" applyBorder="1" applyAlignment="1"/>
    <xf numFmtId="164" fontId="62" fillId="0" borderId="17" xfId="1" applyNumberFormat="1" applyFont="1" applyFill="1" applyBorder="1" applyAlignment="1"/>
    <xf numFmtId="38" fontId="62" fillId="0" borderId="0" xfId="0" applyNumberFormat="1" applyFont="1" applyFill="1" applyAlignment="1"/>
    <xf numFmtId="164" fontId="56" fillId="0" borderId="6" xfId="1" applyNumberFormat="1" applyFont="1" applyFill="1" applyBorder="1" applyAlignment="1"/>
    <xf numFmtId="169" fontId="56" fillId="0" borderId="10" xfId="0" applyNumberFormat="1" applyFont="1" applyFill="1" applyBorder="1" applyAlignment="1"/>
    <xf numFmtId="169" fontId="56" fillId="0" borderId="0" xfId="0" applyNumberFormat="1" applyFont="1" applyFill="1" applyBorder="1" applyAlignment="1"/>
    <xf numFmtId="37" fontId="56" fillId="0" borderId="11" xfId="0" applyFont="1" applyFill="1" applyBorder="1" applyAlignment="1"/>
    <xf numFmtId="37" fontId="56" fillId="0" borderId="12" xfId="0" applyFont="1" applyFill="1" applyBorder="1" applyAlignment="1"/>
    <xf numFmtId="164" fontId="56" fillId="0" borderId="12" xfId="1" applyNumberFormat="1" applyFont="1" applyFill="1" applyBorder="1" applyAlignment="1"/>
    <xf numFmtId="38" fontId="56" fillId="0" borderId="12" xfId="0" applyNumberFormat="1" applyFont="1" applyFill="1" applyBorder="1" applyAlignment="1"/>
    <xf numFmtId="164" fontId="56" fillId="0" borderId="16" xfId="1" applyNumberFormat="1" applyFont="1" applyFill="1" applyBorder="1" applyAlignment="1"/>
    <xf numFmtId="38" fontId="56" fillId="0" borderId="0" xfId="1" applyNumberFormat="1" applyFont="1" applyFill="1" applyBorder="1" applyAlignment="1"/>
    <xf numFmtId="38" fontId="56" fillId="0" borderId="17" xfId="1" applyNumberFormat="1" applyFont="1" applyFill="1" applyBorder="1" applyAlignment="1"/>
    <xf numFmtId="38" fontId="56" fillId="0" borderId="17" xfId="0" applyNumberFormat="1" applyFont="1" applyFill="1" applyBorder="1" applyAlignment="1"/>
    <xf numFmtId="38" fontId="56" fillId="0" borderId="10" xfId="0" quotePrefix="1" applyNumberFormat="1" applyFont="1" applyFill="1" applyBorder="1" applyAlignment="1"/>
    <xf numFmtId="38" fontId="56" fillId="0" borderId="0" xfId="0" quotePrefix="1" applyNumberFormat="1" applyFont="1" applyFill="1" applyBorder="1" applyAlignment="1"/>
    <xf numFmtId="38" fontId="62" fillId="0" borderId="0" xfId="1" applyNumberFormat="1" applyFont="1" applyFill="1" applyBorder="1" applyAlignment="1"/>
    <xf numFmtId="38" fontId="62" fillId="0" borderId="17" xfId="1" applyNumberFormat="1" applyFont="1" applyFill="1" applyBorder="1" applyAlignment="1"/>
    <xf numFmtId="37" fontId="56" fillId="0" borderId="16" xfId="0" applyFont="1" applyFill="1" applyBorder="1" applyAlignment="1"/>
    <xf numFmtId="37" fontId="62" fillId="0" borderId="17" xfId="0" applyFont="1" applyFill="1" applyBorder="1" applyAlignment="1"/>
    <xf numFmtId="37" fontId="62" fillId="0" borderId="12" xfId="0" applyFont="1" applyFill="1" applyBorder="1" applyAlignment="1"/>
    <xf numFmtId="37" fontId="62" fillId="0" borderId="16" xfId="0" applyFont="1" applyFill="1" applyBorder="1" applyAlignment="1"/>
    <xf numFmtId="39" fontId="56" fillId="0" borderId="2" xfId="0" applyNumberFormat="1" applyFont="1" applyFill="1" applyBorder="1" applyAlignment="1"/>
    <xf numFmtId="37" fontId="56" fillId="0" borderId="0" xfId="0" applyFont="1" applyFill="1" applyAlignment="1">
      <alignment horizontal="center" wrapText="1"/>
    </xf>
    <xf numFmtId="165" fontId="56" fillId="0" borderId="0" xfId="11" applyNumberFormat="1" applyFont="1" applyFill="1" applyAlignment="1"/>
    <xf numFmtId="10" fontId="56" fillId="0" borderId="0" xfId="11" applyNumberFormat="1" applyFont="1" applyFill="1" applyAlignment="1"/>
    <xf numFmtId="39" fontId="56" fillId="0" borderId="0" xfId="0" applyNumberFormat="1" applyFont="1" applyFill="1" applyAlignment="1"/>
    <xf numFmtId="43" fontId="56" fillId="0" borderId="0" xfId="1" applyFont="1" applyFill="1" applyAlignment="1"/>
    <xf numFmtId="9" fontId="56" fillId="0" borderId="0" xfId="11" applyNumberFormat="1" applyFont="1" applyFill="1" applyAlignment="1"/>
    <xf numFmtId="9" fontId="56" fillId="0" borderId="0" xfId="11" applyFont="1" applyFill="1" applyAlignment="1"/>
    <xf numFmtId="37" fontId="56" fillId="0" borderId="0" xfId="0" applyFont="1" applyAlignment="1"/>
    <xf numFmtId="37" fontId="56" fillId="0" borderId="0" xfId="0" applyFont="1" applyBorder="1" applyAlignment="1"/>
    <xf numFmtId="39" fontId="56" fillId="0" borderId="0" xfId="0" applyNumberFormat="1" applyFont="1" applyBorder="1" applyAlignment="1"/>
    <xf numFmtId="171" fontId="56" fillId="10" borderId="0" xfId="0" applyNumberFormat="1" applyFont="1" applyFill="1" applyAlignment="1"/>
    <xf numFmtId="171" fontId="56" fillId="0" borderId="0" xfId="0" applyNumberFormat="1" applyFont="1" applyFill="1" applyAlignment="1"/>
    <xf numFmtId="37" fontId="65" fillId="0" borderId="0" xfId="0" applyFont="1" applyAlignment="1"/>
    <xf numFmtId="39" fontId="56" fillId="0" borderId="0" xfId="0" applyNumberFormat="1" applyFont="1" applyAlignment="1"/>
    <xf numFmtId="40" fontId="56" fillId="0" borderId="0" xfId="0" applyNumberFormat="1" applyFont="1" applyAlignment="1"/>
    <xf numFmtId="38" fontId="56" fillId="50" borderId="0" xfId="1" applyNumberFormat="1" applyFont="1" applyFill="1"/>
    <xf numFmtId="164" fontId="56" fillId="50" borderId="0" xfId="0" applyNumberFormat="1" applyFont="1" applyFill="1"/>
    <xf numFmtId="164" fontId="66" fillId="50" borderId="0" xfId="0" applyNumberFormat="1" applyFont="1" applyFill="1"/>
    <xf numFmtId="164" fontId="56" fillId="50" borderId="0" xfId="1" applyNumberFormat="1" applyFont="1" applyFill="1"/>
    <xf numFmtId="38" fontId="56" fillId="50" borderId="0" xfId="0" applyNumberFormat="1" applyFont="1" applyFill="1"/>
    <xf numFmtId="37" fontId="56" fillId="50" borderId="0" xfId="0" applyFont="1" applyFill="1"/>
    <xf numFmtId="37" fontId="44" fillId="50" borderId="0" xfId="0" applyFont="1" applyFill="1" applyBorder="1" applyAlignment="1">
      <alignment horizontal="center"/>
    </xf>
    <xf numFmtId="37" fontId="44" fillId="51" borderId="0" xfId="0" applyFont="1" applyFill="1" applyBorder="1" applyAlignment="1">
      <alignment horizontal="center"/>
    </xf>
    <xf numFmtId="164" fontId="56" fillId="51" borderId="0" xfId="1" applyNumberFormat="1" applyFont="1" applyFill="1"/>
    <xf numFmtId="5" fontId="56" fillId="51" borderId="0" xfId="11" applyNumberFormat="1" applyFont="1" applyFill="1" applyAlignment="1">
      <alignment horizontal="right"/>
    </xf>
    <xf numFmtId="9" fontId="56" fillId="51" borderId="0" xfId="11" applyFont="1" applyFill="1" applyAlignment="1">
      <alignment horizontal="right"/>
    </xf>
    <xf numFmtId="164" fontId="56" fillId="51" borderId="0" xfId="0" applyNumberFormat="1" applyFont="1" applyFill="1"/>
    <xf numFmtId="164" fontId="44" fillId="51" borderId="0" xfId="1" applyNumberFormat="1" applyFont="1" applyFill="1"/>
    <xf numFmtId="37" fontId="44" fillId="51" borderId="0" xfId="0" applyFont="1" applyFill="1"/>
    <xf numFmtId="9" fontId="56" fillId="51" borderId="0" xfId="11" applyNumberFormat="1" applyFont="1" applyFill="1" applyAlignment="1">
      <alignment horizontal="right"/>
    </xf>
    <xf numFmtId="37" fontId="56" fillId="51" borderId="0" xfId="0" applyFont="1" applyFill="1"/>
    <xf numFmtId="3" fontId="56" fillId="51" borderId="0" xfId="11" applyNumberFormat="1" applyFont="1" applyFill="1"/>
    <xf numFmtId="9" fontId="56" fillId="51" borderId="0" xfId="1" applyNumberFormat="1" applyFont="1" applyFill="1"/>
    <xf numFmtId="38" fontId="56" fillId="51" borderId="0" xfId="1" applyNumberFormat="1" applyFont="1" applyFill="1"/>
    <xf numFmtId="38" fontId="44" fillId="51" borderId="0" xfId="1" applyNumberFormat="1" applyFont="1" applyFill="1"/>
    <xf numFmtId="37" fontId="44" fillId="51" borderId="0" xfId="0" applyFont="1" applyFill="1" applyBorder="1" applyAlignment="1"/>
    <xf numFmtId="37" fontId="44" fillId="51" borderId="17" xfId="0" applyFont="1" applyFill="1" applyBorder="1" applyAlignment="1"/>
    <xf numFmtId="37" fontId="44" fillId="51" borderId="0" xfId="0" applyFont="1" applyFill="1" applyAlignment="1"/>
    <xf numFmtId="37" fontId="56" fillId="51" borderId="0" xfId="0" applyFont="1" applyFill="1" applyBorder="1" applyAlignment="1"/>
    <xf numFmtId="37" fontId="56" fillId="51" borderId="17" xfId="0" applyFont="1" applyFill="1" applyBorder="1" applyAlignment="1"/>
    <xf numFmtId="37" fontId="56" fillId="51" borderId="0" xfId="0" applyFont="1" applyFill="1" applyAlignment="1"/>
    <xf numFmtId="38" fontId="44" fillId="51" borderId="0" xfId="1" applyNumberFormat="1" applyFont="1" applyFill="1" applyBorder="1" applyAlignment="1"/>
    <xf numFmtId="38" fontId="44" fillId="51" borderId="0" xfId="0" applyNumberFormat="1" applyFont="1" applyFill="1" applyBorder="1" applyAlignment="1"/>
    <xf numFmtId="38" fontId="47" fillId="51" borderId="0" xfId="1" applyNumberFormat="1" applyFont="1" applyFill="1" applyBorder="1" applyAlignment="1"/>
    <xf numFmtId="38" fontId="51" fillId="51" borderId="0" xfId="1" applyNumberFormat="1" applyFont="1" applyFill="1" applyBorder="1" applyAlignment="1"/>
    <xf numFmtId="164" fontId="56" fillId="51" borderId="0" xfId="1" applyNumberFormat="1" applyFont="1" applyFill="1" applyBorder="1" applyAlignment="1"/>
    <xf numFmtId="164" fontId="66" fillId="51" borderId="0" xfId="1" applyNumberFormat="1" applyFont="1" applyFill="1" applyBorder="1" applyAlignment="1"/>
    <xf numFmtId="164" fontId="62" fillId="51" borderId="0" xfId="1" applyNumberFormat="1" applyFont="1" applyFill="1" applyBorder="1" applyAlignment="1"/>
    <xf numFmtId="38" fontId="56" fillId="51" borderId="0" xfId="1" applyNumberFormat="1" applyFont="1" applyFill="1" applyBorder="1" applyAlignment="1"/>
    <xf numFmtId="38" fontId="56" fillId="51" borderId="0" xfId="0" applyNumberFormat="1" applyFont="1" applyFill="1" applyBorder="1" applyAlignment="1"/>
    <xf numFmtId="38" fontId="62" fillId="51" borderId="0" xfId="1" applyNumberFormat="1" applyFont="1" applyFill="1" applyBorder="1" applyAlignment="1"/>
    <xf numFmtId="37" fontId="56" fillId="51" borderId="12" xfId="0" applyFont="1" applyFill="1" applyBorder="1" applyAlignment="1"/>
    <xf numFmtId="164" fontId="44" fillId="51" borderId="0" xfId="1" applyNumberFormat="1" applyFont="1" applyFill="1" applyBorder="1" applyAlignment="1"/>
    <xf numFmtId="164" fontId="52" fillId="51" borderId="0" xfId="1" applyNumberFormat="1" applyFont="1" applyFill="1" applyBorder="1" applyAlignment="1"/>
    <xf numFmtId="164" fontId="44" fillId="51" borderId="12" xfId="1" applyNumberFormat="1" applyFont="1" applyFill="1" applyBorder="1" applyAlignment="1"/>
    <xf numFmtId="37" fontId="62" fillId="51" borderId="12" xfId="0" applyFont="1" applyFill="1" applyBorder="1" applyAlignment="1"/>
    <xf numFmtId="37" fontId="44" fillId="51" borderId="0" xfId="7" applyFont="1" applyFill="1" applyBorder="1"/>
    <xf numFmtId="38" fontId="44" fillId="51" borderId="0" xfId="7" applyNumberFormat="1" applyFont="1" applyFill="1" applyBorder="1"/>
    <xf numFmtId="38" fontId="44" fillId="51" borderId="0" xfId="7" applyNumberFormat="1" applyFont="1" applyFill="1" applyBorder="1" applyAlignment="1"/>
    <xf numFmtId="38" fontId="44" fillId="51" borderId="2" xfId="7" applyNumberFormat="1" applyFont="1" applyFill="1" applyBorder="1"/>
    <xf numFmtId="3" fontId="56" fillId="51" borderId="0" xfId="11" applyNumberFormat="1" applyFont="1" applyFill="1" applyAlignment="1">
      <alignment horizontal="right"/>
    </xf>
    <xf numFmtId="37" fontId="56" fillId="51" borderId="0" xfId="0" applyFont="1" applyFill="1" applyBorder="1" applyAlignment="1">
      <alignment horizontal="center"/>
    </xf>
    <xf numFmtId="9" fontId="56" fillId="51" borderId="0" xfId="0" applyNumberFormat="1" applyFont="1" applyFill="1" applyBorder="1" applyAlignment="1">
      <alignment horizontal="center"/>
    </xf>
    <xf numFmtId="9" fontId="56" fillId="51" borderId="0" xfId="0" applyNumberFormat="1" applyFont="1" applyFill="1"/>
    <xf numFmtId="38" fontId="56" fillId="51" borderId="0" xfId="0" applyNumberFormat="1" applyFont="1" applyFill="1"/>
    <xf numFmtId="164" fontId="56" fillId="52" borderId="0" xfId="0" applyNumberFormat="1" applyFont="1" applyFill="1"/>
    <xf numFmtId="37" fontId="56" fillId="52" borderId="0" xfId="0" applyFont="1" applyFill="1" applyAlignment="1">
      <alignment horizontal="right"/>
    </xf>
    <xf numFmtId="9" fontId="56" fillId="52" borderId="0" xfId="11" applyFont="1" applyFill="1" applyAlignment="1">
      <alignment horizontal="right"/>
    </xf>
    <xf numFmtId="164" fontId="56" fillId="52" borderId="0" xfId="11" applyNumberFormat="1" applyFont="1" applyFill="1" applyAlignment="1">
      <alignment horizontal="right"/>
    </xf>
    <xf numFmtId="164" fontId="56" fillId="52" borderId="0" xfId="1" applyNumberFormat="1" applyFont="1" applyFill="1" applyAlignment="1">
      <alignment horizontal="right"/>
    </xf>
    <xf numFmtId="37" fontId="44" fillId="52" borderId="0" xfId="0" applyFont="1" applyFill="1" applyBorder="1" applyAlignment="1">
      <alignment horizontal="center"/>
    </xf>
    <xf numFmtId="43" fontId="56" fillId="52" borderId="0" xfId="1" applyFont="1" applyFill="1" applyAlignment="1">
      <alignment horizontal="right"/>
    </xf>
    <xf numFmtId="37" fontId="44" fillId="52" borderId="0" xfId="0" quotePrefix="1" applyFont="1" applyFill="1" applyBorder="1"/>
    <xf numFmtId="37" fontId="56" fillId="52" borderId="0" xfId="0" applyFont="1" applyFill="1"/>
    <xf numFmtId="164" fontId="56" fillId="52" borderId="0" xfId="1" applyNumberFormat="1" applyFont="1" applyFill="1"/>
    <xf numFmtId="43" fontId="56" fillId="52" borderId="0" xfId="1" applyFont="1" applyFill="1"/>
    <xf numFmtId="164" fontId="56" fillId="53" borderId="0" xfId="1" applyNumberFormat="1" applyFont="1" applyFill="1"/>
    <xf numFmtId="164" fontId="66" fillId="52" borderId="0" xfId="1" applyNumberFormat="1" applyFont="1" applyFill="1"/>
    <xf numFmtId="164" fontId="62" fillId="52" borderId="0" xfId="1" applyNumberFormat="1" applyFont="1" applyFill="1"/>
    <xf numFmtId="164" fontId="62" fillId="52" borderId="0" xfId="0" applyNumberFormat="1" applyFont="1" applyFill="1"/>
    <xf numFmtId="37" fontId="56" fillId="53" borderId="0" xfId="0" applyFont="1" applyFill="1"/>
    <xf numFmtId="38" fontId="56" fillId="53" borderId="0" xfId="1" applyNumberFormat="1" applyFont="1" applyFill="1"/>
    <xf numFmtId="0" fontId="56" fillId="52" borderId="0" xfId="1" applyNumberFormat="1" applyFont="1" applyFill="1"/>
    <xf numFmtId="38" fontId="56" fillId="52" borderId="0" xfId="1" applyNumberFormat="1" applyFont="1" applyFill="1"/>
    <xf numFmtId="164" fontId="56" fillId="53" borderId="0" xfId="1" applyNumberFormat="1" applyFont="1" applyFill="1" applyAlignment="1">
      <alignment horizontal="right"/>
    </xf>
    <xf numFmtId="9" fontId="56" fillId="53" borderId="0" xfId="11" applyFont="1" applyFill="1" applyAlignment="1">
      <alignment horizontal="right"/>
    </xf>
    <xf numFmtId="37" fontId="56" fillId="53" borderId="0" xfId="0" applyFont="1" applyFill="1" applyAlignment="1">
      <alignment horizontal="right"/>
    </xf>
    <xf numFmtId="9" fontId="56" fillId="52" borderId="0" xfId="11" applyFont="1" applyFill="1"/>
    <xf numFmtId="38" fontId="56" fillId="52" borderId="0" xfId="11" applyNumberFormat="1" applyFont="1" applyFill="1" applyAlignment="1">
      <alignment horizontal="right"/>
    </xf>
    <xf numFmtId="164" fontId="56" fillId="52" borderId="0" xfId="11" applyNumberFormat="1" applyFont="1" applyFill="1"/>
    <xf numFmtId="9" fontId="56" fillId="52" borderId="0" xfId="0" applyNumberFormat="1" applyFont="1" applyFill="1"/>
    <xf numFmtId="164" fontId="56" fillId="53" borderId="0" xfId="0" applyNumberFormat="1" applyFont="1" applyFill="1"/>
    <xf numFmtId="164" fontId="56" fillId="52" borderId="0" xfId="1" quotePrefix="1" applyNumberFormat="1" applyFont="1" applyFill="1"/>
    <xf numFmtId="5" fontId="56" fillId="52" borderId="0" xfId="11" applyNumberFormat="1" applyFont="1" applyFill="1" applyAlignment="1">
      <alignment horizontal="right"/>
    </xf>
    <xf numFmtId="3" fontId="56" fillId="52" borderId="0" xfId="11" applyNumberFormat="1" applyFont="1" applyFill="1"/>
    <xf numFmtId="37" fontId="56" fillId="52" borderId="0" xfId="1" applyNumberFormat="1" applyFont="1" applyFill="1"/>
    <xf numFmtId="164" fontId="66" fillId="52" borderId="0" xfId="1" quotePrefix="1" applyNumberFormat="1" applyFont="1" applyFill="1"/>
    <xf numFmtId="164" fontId="66" fillId="52" borderId="0" xfId="0" applyNumberFormat="1" applyFont="1" applyFill="1"/>
    <xf numFmtId="37" fontId="62" fillId="52" borderId="0" xfId="1" applyNumberFormat="1" applyFont="1" applyFill="1"/>
    <xf numFmtId="37" fontId="56" fillId="52" borderId="0" xfId="0" applyNumberFormat="1" applyFont="1" applyFill="1"/>
    <xf numFmtId="37" fontId="62" fillId="52" borderId="0" xfId="0" applyNumberFormat="1" applyFont="1" applyFill="1"/>
    <xf numFmtId="0" fontId="56" fillId="0" borderId="0" xfId="0" applyNumberFormat="1" applyFont="1" applyFill="1" applyAlignment="1"/>
    <xf numFmtId="37" fontId="66" fillId="52" borderId="0" xfId="1" applyNumberFormat="1" applyFont="1" applyFill="1"/>
    <xf numFmtId="38" fontId="56" fillId="52" borderId="0" xfId="0" applyNumberFormat="1" applyFont="1" applyFill="1"/>
    <xf numFmtId="9" fontId="56" fillId="51" borderId="0" xfId="11" applyFont="1" applyFill="1"/>
    <xf numFmtId="164" fontId="56" fillId="53" borderId="0" xfId="1" applyNumberFormat="1" applyFont="1" applyFill="1" applyBorder="1" applyAlignment="1"/>
    <xf numFmtId="38" fontId="62" fillId="53" borderId="6" xfId="0" applyNumberFormat="1" applyFont="1" applyFill="1" applyBorder="1" applyAlignment="1"/>
    <xf numFmtId="164" fontId="56" fillId="53" borderId="17" xfId="1" applyNumberFormat="1" applyFont="1" applyFill="1" applyBorder="1" applyAlignment="1"/>
    <xf numFmtId="37" fontId="62" fillId="52" borderId="0" xfId="0" applyFont="1" applyFill="1" applyAlignment="1"/>
    <xf numFmtId="37" fontId="49" fillId="46" borderId="10" xfId="0" applyFont="1" applyFill="1" applyBorder="1" applyAlignment="1">
      <alignment horizontal="center"/>
    </xf>
    <xf numFmtId="37" fontId="49" fillId="46" borderId="0" xfId="0" applyFont="1" applyFill="1" applyBorder="1" applyAlignment="1">
      <alignment horizontal="center"/>
    </xf>
    <xf numFmtId="37" fontId="49" fillId="46" borderId="17" xfId="0" applyFont="1" applyFill="1" applyBorder="1" applyAlignment="1">
      <alignment horizontal="center"/>
    </xf>
  </cellXfs>
  <cellStyles count="145">
    <cellStyle name="20% - Accent1" xfId="42" builtinId="30" customBuiltin="1"/>
    <cellStyle name="20% - Accent1 2" xfId="97" xr:uid="{00000000-0005-0000-0000-000001000000}"/>
    <cellStyle name="20% - Accent1 3" xfId="67" xr:uid="{00000000-0005-0000-0000-000002000000}"/>
    <cellStyle name="20% - Accent2" xfId="46" builtinId="34" customBuiltin="1"/>
    <cellStyle name="20% - Accent2 2" xfId="101" xr:uid="{00000000-0005-0000-0000-000004000000}"/>
    <cellStyle name="20% - Accent2 3" xfId="69" xr:uid="{00000000-0005-0000-0000-000005000000}"/>
    <cellStyle name="20% - Accent3" xfId="50" builtinId="38" customBuiltin="1"/>
    <cellStyle name="20% - Accent3 2" xfId="105" xr:uid="{00000000-0005-0000-0000-000007000000}"/>
    <cellStyle name="20% - Accent3 3" xfId="71" xr:uid="{00000000-0005-0000-0000-000008000000}"/>
    <cellStyle name="20% - Accent4" xfId="54" builtinId="42" customBuiltin="1"/>
    <cellStyle name="20% - Accent4 2" xfId="109" xr:uid="{00000000-0005-0000-0000-00000A000000}"/>
    <cellStyle name="20% - Accent4 3" xfId="73" xr:uid="{00000000-0005-0000-0000-00000B000000}"/>
    <cellStyle name="20% - Accent5" xfId="58" builtinId="46" customBuiltin="1"/>
    <cellStyle name="20% - Accent5 2" xfId="113" xr:uid="{00000000-0005-0000-0000-00000D000000}"/>
    <cellStyle name="20% - Accent5 3" xfId="75" xr:uid="{00000000-0005-0000-0000-00000E000000}"/>
    <cellStyle name="20% - Accent6" xfId="62" builtinId="50" customBuiltin="1"/>
    <cellStyle name="20% - Accent6 2" xfId="117" xr:uid="{00000000-0005-0000-0000-000010000000}"/>
    <cellStyle name="20% - Accent6 3" xfId="77" xr:uid="{00000000-0005-0000-0000-000011000000}"/>
    <cellStyle name="40% - Accent1" xfId="43" builtinId="31" customBuiltin="1"/>
    <cellStyle name="40% - Accent1 2" xfId="98" xr:uid="{00000000-0005-0000-0000-000013000000}"/>
    <cellStyle name="40% - Accent1 3" xfId="68" xr:uid="{00000000-0005-0000-0000-000014000000}"/>
    <cellStyle name="40% - Accent2" xfId="47" builtinId="35" customBuiltin="1"/>
    <cellStyle name="40% - Accent2 2" xfId="102" xr:uid="{00000000-0005-0000-0000-000016000000}"/>
    <cellStyle name="40% - Accent2 3" xfId="70" xr:uid="{00000000-0005-0000-0000-000017000000}"/>
    <cellStyle name="40% - Accent3" xfId="51" builtinId="39" customBuiltin="1"/>
    <cellStyle name="40% - Accent3 2" xfId="106" xr:uid="{00000000-0005-0000-0000-000019000000}"/>
    <cellStyle name="40% - Accent3 3" xfId="72" xr:uid="{00000000-0005-0000-0000-00001A000000}"/>
    <cellStyle name="40% - Accent4" xfId="55" builtinId="43" customBuiltin="1"/>
    <cellStyle name="40% - Accent4 2" xfId="110" xr:uid="{00000000-0005-0000-0000-00001C000000}"/>
    <cellStyle name="40% - Accent4 3" xfId="74" xr:uid="{00000000-0005-0000-0000-00001D000000}"/>
    <cellStyle name="40% - Accent5" xfId="59" builtinId="47" customBuiltin="1"/>
    <cellStyle name="40% - Accent5 2" xfId="114" xr:uid="{00000000-0005-0000-0000-00001F000000}"/>
    <cellStyle name="40% - Accent5 3" xfId="76" xr:uid="{00000000-0005-0000-0000-000020000000}"/>
    <cellStyle name="40% - Accent6" xfId="63" builtinId="51" customBuiltin="1"/>
    <cellStyle name="40% - Accent6 2" xfId="118" xr:uid="{00000000-0005-0000-0000-000022000000}"/>
    <cellStyle name="40% - Accent6 3" xfId="78" xr:uid="{00000000-0005-0000-0000-000023000000}"/>
    <cellStyle name="60% - Accent1" xfId="44" builtinId="32" customBuiltin="1"/>
    <cellStyle name="60% - Accent1 2" xfId="99" xr:uid="{00000000-0005-0000-0000-000025000000}"/>
    <cellStyle name="60% - Accent2" xfId="48" builtinId="36" customBuiltin="1"/>
    <cellStyle name="60% - Accent2 2" xfId="103" xr:uid="{00000000-0005-0000-0000-000027000000}"/>
    <cellStyle name="60% - Accent3" xfId="52" builtinId="40" customBuiltin="1"/>
    <cellStyle name="60% - Accent3 2" xfId="107" xr:uid="{00000000-0005-0000-0000-000029000000}"/>
    <cellStyle name="60% - Accent4" xfId="56" builtinId="44" customBuiltin="1"/>
    <cellStyle name="60% - Accent4 2" xfId="111" xr:uid="{00000000-0005-0000-0000-00002B000000}"/>
    <cellStyle name="60% - Accent5" xfId="60" builtinId="48" customBuiltin="1"/>
    <cellStyle name="60% - Accent5 2" xfId="115" xr:uid="{00000000-0005-0000-0000-00002D000000}"/>
    <cellStyle name="60% - Accent6" xfId="64" builtinId="52" customBuiltin="1"/>
    <cellStyle name="60% - Accent6 2" xfId="119" xr:uid="{00000000-0005-0000-0000-00002F000000}"/>
    <cellStyle name="Accent1" xfId="41" builtinId="29" customBuiltin="1"/>
    <cellStyle name="Accent1 2" xfId="96" xr:uid="{00000000-0005-0000-0000-000031000000}"/>
    <cellStyle name="Accent2" xfId="45" builtinId="33" customBuiltin="1"/>
    <cellStyle name="Accent2 2" xfId="100" xr:uid="{00000000-0005-0000-0000-000033000000}"/>
    <cellStyle name="Accent3" xfId="49" builtinId="37" customBuiltin="1"/>
    <cellStyle name="Accent3 2" xfId="104" xr:uid="{00000000-0005-0000-0000-000035000000}"/>
    <cellStyle name="Accent4" xfId="53" builtinId="41" customBuiltin="1"/>
    <cellStyle name="Accent4 2" xfId="108" xr:uid="{00000000-0005-0000-0000-000037000000}"/>
    <cellStyle name="Accent5" xfId="57" builtinId="45" customBuiltin="1"/>
    <cellStyle name="Accent5 2" xfId="112" xr:uid="{00000000-0005-0000-0000-000039000000}"/>
    <cellStyle name="Accent6" xfId="61" builtinId="49" customBuiltin="1"/>
    <cellStyle name="Accent6 2" xfId="116" xr:uid="{00000000-0005-0000-0000-00003B000000}"/>
    <cellStyle name="Bad" xfId="31" builtinId="27" customBuiltin="1"/>
    <cellStyle name="Bad 2" xfId="85" xr:uid="{00000000-0005-0000-0000-00003D000000}"/>
    <cellStyle name="Calculation" xfId="35" builtinId="22" customBuiltin="1"/>
    <cellStyle name="Calculation 2" xfId="89" xr:uid="{00000000-0005-0000-0000-00003F000000}"/>
    <cellStyle name="Check Cell" xfId="37" builtinId="23" customBuiltin="1"/>
    <cellStyle name="Check Cell 2" xfId="91" xr:uid="{00000000-0005-0000-0000-000041000000}"/>
    <cellStyle name="Comma" xfId="1" builtinId="3"/>
    <cellStyle name="Comma 2" xfId="20" xr:uid="{00000000-0005-0000-0000-000043000000}"/>
    <cellStyle name="Comma 2 2" xfId="120" xr:uid="{00000000-0005-0000-0000-000044000000}"/>
    <cellStyle name="Comma 2 2 2" xfId="141" xr:uid="{00000000-0005-0000-0000-000045000000}"/>
    <cellStyle name="Comma 2 3" xfId="126" xr:uid="{00000000-0005-0000-0000-000046000000}"/>
    <cellStyle name="Comma 3" xfId="129" xr:uid="{00000000-0005-0000-0000-000047000000}"/>
    <cellStyle name="Comma 4" xfId="122" xr:uid="{00000000-0005-0000-0000-000048000000}"/>
    <cellStyle name="Comma 5" xfId="138" xr:uid="{00000000-0005-0000-0000-000049000000}"/>
    <cellStyle name="Comma_Book4" xfId="2" xr:uid="{00000000-0005-0000-0000-00004A000000}"/>
    <cellStyle name="Complete" xfId="144" xr:uid="{00000000-0005-0000-0000-00004B000000}"/>
    <cellStyle name="Currency" xfId="3" builtinId="4"/>
    <cellStyle name="Currency 2" xfId="21" xr:uid="{00000000-0005-0000-0000-00004D000000}"/>
    <cellStyle name="Currency 2 2" xfId="127" xr:uid="{00000000-0005-0000-0000-00004E000000}"/>
    <cellStyle name="Currency 3" xfId="140" xr:uid="{00000000-0005-0000-0000-00004F000000}"/>
    <cellStyle name="Explanatory Text" xfId="39" builtinId="53" customBuiltin="1"/>
    <cellStyle name="Explanatory Text 2" xfId="94" xr:uid="{00000000-0005-0000-0000-000051000000}"/>
    <cellStyle name="Good" xfId="30" builtinId="26" customBuiltin="1"/>
    <cellStyle name="Good 2" xfId="84" xr:uid="{00000000-0005-0000-0000-000053000000}"/>
    <cellStyle name="Heading 1" xfId="26" builtinId="16" customBuiltin="1"/>
    <cellStyle name="Heading 1 2" xfId="80" xr:uid="{00000000-0005-0000-0000-000055000000}"/>
    <cellStyle name="Heading 2" xfId="27" builtinId="17" customBuiltin="1"/>
    <cellStyle name="Heading 2 2" xfId="81" xr:uid="{00000000-0005-0000-0000-000057000000}"/>
    <cellStyle name="Heading 3" xfId="28" builtinId="18" customBuiltin="1"/>
    <cellStyle name="Heading 3 2" xfId="82" xr:uid="{00000000-0005-0000-0000-000059000000}"/>
    <cellStyle name="Heading 4" xfId="29" builtinId="19" customBuiltin="1"/>
    <cellStyle name="Heading 4 2" xfId="83" xr:uid="{00000000-0005-0000-0000-00005B000000}"/>
    <cellStyle name="Input" xfId="33" builtinId="20" customBuiltin="1"/>
    <cellStyle name="Input 2" xfId="87" xr:uid="{00000000-0005-0000-0000-00005D000000}"/>
    <cellStyle name="Linked Cell" xfId="36" builtinId="24" customBuiltin="1"/>
    <cellStyle name="Linked Cell 2" xfId="90" xr:uid="{00000000-0005-0000-0000-00005F000000}"/>
    <cellStyle name="Neutral" xfId="32" builtinId="28" customBuiltin="1"/>
    <cellStyle name="Neutral 2" xfId="86" xr:uid="{00000000-0005-0000-0000-000061000000}"/>
    <cellStyle name="Normal" xfId="0" builtinId="0"/>
    <cellStyle name="Normal 2" xfId="23" xr:uid="{00000000-0005-0000-0000-000063000000}"/>
    <cellStyle name="Normal 2 2" xfId="79" xr:uid="{00000000-0005-0000-0000-000064000000}"/>
    <cellStyle name="Normal 2 2 2" xfId="125" xr:uid="{00000000-0005-0000-0000-000065000000}"/>
    <cellStyle name="Normal 2 3" xfId="131" xr:uid="{00000000-0005-0000-0000-000066000000}"/>
    <cellStyle name="Normal 3" xfId="24" xr:uid="{00000000-0005-0000-0000-000067000000}"/>
    <cellStyle name="Normal 3 2" xfId="123" xr:uid="{00000000-0005-0000-0000-000068000000}"/>
    <cellStyle name="Normal 4" xfId="130" xr:uid="{00000000-0005-0000-0000-000069000000}"/>
    <cellStyle name="Normal 5" xfId="132" xr:uid="{00000000-0005-0000-0000-00006A000000}"/>
    <cellStyle name="Normal 6" xfId="142" xr:uid="{00000000-0005-0000-0000-00006B000000}"/>
    <cellStyle name="Normal 7" xfId="143" xr:uid="{00000000-0005-0000-0000-00006C000000}"/>
    <cellStyle name="Normal_Book4" xfId="4" xr:uid="{00000000-0005-0000-0000-00006D000000}"/>
    <cellStyle name="Normal_Index" xfId="5" xr:uid="{00000000-0005-0000-0000-00006E000000}"/>
    <cellStyle name="Normal_Investment Income" xfId="6" xr:uid="{00000000-0005-0000-0000-00006F000000}"/>
    <cellStyle name="Normal_return" xfId="7" xr:uid="{00000000-0005-0000-0000-000070000000}"/>
    <cellStyle name="Normal_SCH_I form" xfId="8" xr:uid="{00000000-0005-0000-0000-000071000000}"/>
    <cellStyle name="Normal_SCH_I form 2" xfId="22" xr:uid="{00000000-0005-0000-0000-000072000000}"/>
    <cellStyle name="Normal_Schedule A&amp;C with C workpapers" xfId="9" xr:uid="{00000000-0005-0000-0000-000073000000}"/>
    <cellStyle name="Normal_WP-f-8 rate base" xfId="10" xr:uid="{00000000-0005-0000-0000-000074000000}"/>
    <cellStyle name="Note 2" xfId="93" xr:uid="{00000000-0005-0000-0000-000075000000}"/>
    <cellStyle name="Note 3" xfId="66" xr:uid="{00000000-0005-0000-0000-000076000000}"/>
    <cellStyle name="Note 4" xfId="65" xr:uid="{00000000-0005-0000-0000-000077000000}"/>
    <cellStyle name="Output" xfId="34" builtinId="21" customBuiltin="1"/>
    <cellStyle name="Output 2" xfId="88" xr:uid="{00000000-0005-0000-0000-000079000000}"/>
    <cellStyle name="Percent" xfId="11" builtinId="5"/>
    <cellStyle name="Percent 2" xfId="124" xr:uid="{00000000-0005-0000-0000-00007B000000}"/>
    <cellStyle name="Percent 2 2" xfId="128" xr:uid="{00000000-0005-0000-0000-00007C000000}"/>
    <cellStyle name="Percent 3" xfId="139" xr:uid="{00000000-0005-0000-0000-00007D000000}"/>
    <cellStyle name="SAPBEXchaText" xfId="13" xr:uid="{00000000-0005-0000-0000-00007E000000}"/>
    <cellStyle name="SAPBEXchaText 2" xfId="133" xr:uid="{00000000-0005-0000-0000-00007F000000}"/>
    <cellStyle name="SAPBEXHLevel0" xfId="15" xr:uid="{00000000-0005-0000-0000-000080000000}"/>
    <cellStyle name="SAPBEXHLevel0 2" xfId="135" xr:uid="{00000000-0005-0000-0000-000081000000}"/>
    <cellStyle name="SAPBEXHLevel1" xfId="17" xr:uid="{00000000-0005-0000-0000-000082000000}"/>
    <cellStyle name="SAPBEXHLevel1 2" xfId="136" xr:uid="{00000000-0005-0000-0000-000083000000}"/>
    <cellStyle name="SAPBEXHLevel2" xfId="18" xr:uid="{00000000-0005-0000-0000-000084000000}"/>
    <cellStyle name="SAPBEXHLevel2 2" xfId="137" xr:uid="{00000000-0005-0000-0000-000085000000}"/>
    <cellStyle name="SAPBEXHLevel3" xfId="19" xr:uid="{00000000-0005-0000-0000-000086000000}"/>
    <cellStyle name="SAPBEXItemHeader" xfId="12" xr:uid="{00000000-0005-0000-0000-000087000000}"/>
    <cellStyle name="SAPBEXstdData" xfId="16" xr:uid="{00000000-0005-0000-0000-000088000000}"/>
    <cellStyle name="SAPBEXstdData 2" xfId="121" xr:uid="{00000000-0005-0000-0000-000089000000}"/>
    <cellStyle name="SAPBEXstdItem" xfId="14" xr:uid="{00000000-0005-0000-0000-00008A000000}"/>
    <cellStyle name="SAPBEXstdItem 2" xfId="134" xr:uid="{00000000-0005-0000-0000-00008B000000}"/>
    <cellStyle name="Title" xfId="25" builtinId="15" customBuiltin="1"/>
    <cellStyle name="Total" xfId="40" builtinId="25" customBuiltin="1"/>
    <cellStyle name="Total 2" xfId="95" xr:uid="{00000000-0005-0000-0000-00008E000000}"/>
    <cellStyle name="Warning Text" xfId="38" builtinId="11" customBuiltin="1"/>
    <cellStyle name="Warning Text 2" xfId="92" xr:uid="{00000000-0005-0000-0000-000090000000}"/>
  </cellStyles>
  <dxfs count="1">
    <dxf>
      <fill>
        <patternFill>
          <bgColor theme="8" tint="0.3999450666829432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AData\Corporate%20Reporting\Budget%20Data\2005-06%20Budget\g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delgado\Local%20Settings\Temporary%20Internet%20Files\OLK411\CkRegister_Dec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AData\Corporate%20Reporting\Interim%20Reports\FY2006-07\4th%20Qrt%202006-07\Q4%20Interim%20Rpt%20FY2006-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04-05\STP%20Acquisition\Scenario%201\Working%20Capital%20Scenario%2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05-06\Cash%20Flow%20Model%20FY%202006%20V1.3\Cash%20Flow%20Model%20V1.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Revenues"/>
      <sheetName val="Gas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_CheckRegister"/>
      <sheetName val="All_PO"/>
      <sheetName val="All_NonPO"/>
      <sheetName val="All_1_NPO_Over_25"/>
      <sheetName val="All_5_PO_Over_25"/>
      <sheetName val="PO_NPO_Exceptions"/>
      <sheetName val="Matching_Names_NonPO___PO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Recipient</v>
          </cell>
          <cell r="B1" t="str">
            <v>Payment</v>
          </cell>
          <cell r="C1" t="str">
            <v>DocNo</v>
          </cell>
          <cell r="D1" t="str">
            <v>SumOfNetAmount</v>
          </cell>
          <cell r="E1" t="str">
            <v>AmountPaid</v>
          </cell>
          <cell r="F1" t="str">
            <v>PmntDate</v>
          </cell>
          <cell r="G1" t="str">
            <v>PstgDate</v>
          </cell>
        </row>
        <row r="2">
          <cell r="A2" t="str">
            <v>American Electric Power Canton OH</v>
          </cell>
          <cell r="B2" t="str">
            <v>2000168327</v>
          </cell>
          <cell r="C2" t="str">
            <v>100191311</v>
          </cell>
          <cell r="D2">
            <v>288533.52</v>
          </cell>
          <cell r="E2">
            <v>288533.52</v>
          </cell>
          <cell r="F2">
            <v>38700</v>
          </cell>
          <cell r="G2">
            <v>38700</v>
          </cell>
        </row>
        <row r="3">
          <cell r="A3" t="str">
            <v>Austin Energy Austin TX</v>
          </cell>
          <cell r="B3" t="str">
            <v>2000169316</v>
          </cell>
          <cell r="C3" t="str">
            <v>100192643</v>
          </cell>
          <cell r="D3">
            <v>44739.66</v>
          </cell>
          <cell r="E3">
            <v>44739.66</v>
          </cell>
          <cell r="F3">
            <v>38714</v>
          </cell>
          <cell r="G3">
            <v>38714</v>
          </cell>
        </row>
        <row r="4">
          <cell r="A4" t="str">
            <v>Baker Botts, LLP Houston TX</v>
          </cell>
          <cell r="B4" t="str">
            <v>2000167672</v>
          </cell>
          <cell r="C4" t="str">
            <v>100189594</v>
          </cell>
          <cell r="D4">
            <v>62914.69</v>
          </cell>
          <cell r="E4">
            <v>62914.69</v>
          </cell>
          <cell r="F4">
            <v>38693</v>
          </cell>
          <cell r="G4">
            <v>38692</v>
          </cell>
        </row>
        <row r="5">
          <cell r="A5" t="str">
            <v>BAMC MCHE PAA DIS BOX 211 FT. SAM HOUSTON TX</v>
          </cell>
          <cell r="B5" t="str">
            <v>2000169910</v>
          </cell>
          <cell r="C5" t="str">
            <v>100194201</v>
          </cell>
          <cell r="D5">
            <v>66200.87</v>
          </cell>
          <cell r="E5">
            <v>66200.87</v>
          </cell>
          <cell r="F5">
            <v>38715</v>
          </cell>
          <cell r="G5">
            <v>38715</v>
          </cell>
        </row>
        <row r="6">
          <cell r="A6" t="str">
            <v>Bracewell &amp; Giuliani San Antonio TX</v>
          </cell>
          <cell r="B6" t="str">
            <v>2000168453</v>
          </cell>
          <cell r="C6" t="str">
            <v>100191030</v>
          </cell>
          <cell r="D6">
            <v>32954.82</v>
          </cell>
          <cell r="E6">
            <v>32954.82</v>
          </cell>
          <cell r="F6">
            <v>38702</v>
          </cell>
          <cell r="G6">
            <v>38702</v>
          </cell>
        </row>
        <row r="7">
          <cell r="A7" t="str">
            <v>Brazos Electric Cooperative Waco TX</v>
          </cell>
          <cell r="B7" t="str">
            <v>2000168321</v>
          </cell>
          <cell r="C7" t="str">
            <v>100191305</v>
          </cell>
          <cell r="D7">
            <v>112309.57</v>
          </cell>
          <cell r="E7">
            <v>112309.57</v>
          </cell>
          <cell r="F7">
            <v>38700</v>
          </cell>
          <cell r="G7">
            <v>38700</v>
          </cell>
        </row>
        <row r="8">
          <cell r="A8" t="str">
            <v>City Of San Antonio - TreasurySan Antonio TX</v>
          </cell>
          <cell r="B8" t="str">
            <v>2000167920</v>
          </cell>
          <cell r="C8" t="str">
            <v>100189945</v>
          </cell>
          <cell r="D8">
            <v>43840.5</v>
          </cell>
          <cell r="E8">
            <v>43840.5</v>
          </cell>
          <cell r="F8">
            <v>38694</v>
          </cell>
          <cell r="G8">
            <v>38693</v>
          </cell>
        </row>
        <row r="9">
          <cell r="A9" t="str">
            <v>City Of San Antonio - TreasurySan Antonio TX</v>
          </cell>
          <cell r="B9" t="str">
            <v>2000169862</v>
          </cell>
          <cell r="C9" t="str">
            <v>100190077</v>
          </cell>
          <cell r="D9">
            <v>115469</v>
          </cell>
          <cell r="E9">
            <v>115469</v>
          </cell>
          <cell r="F9">
            <v>38715</v>
          </cell>
          <cell r="G9">
            <v>38695</v>
          </cell>
        </row>
        <row r="10">
          <cell r="A10" t="str">
            <v>City Of San Antonio - TreasurySan Antonio TX</v>
          </cell>
          <cell r="B10" t="str">
            <v>2000169938</v>
          </cell>
          <cell r="C10" t="str">
            <v>100191059</v>
          </cell>
          <cell r="D10">
            <v>285916.94</v>
          </cell>
          <cell r="E10">
            <v>285916.94</v>
          </cell>
          <cell r="F10">
            <v>38716</v>
          </cell>
          <cell r="G10">
            <v>38702</v>
          </cell>
        </row>
        <row r="11">
          <cell r="A11" t="str">
            <v>City Of San Antonio - TreasurySan Antonio TX</v>
          </cell>
          <cell r="B11" t="str">
            <v>2000169939</v>
          </cell>
          <cell r="C11" t="str">
            <v>100191060</v>
          </cell>
          <cell r="D11">
            <v>44727.33</v>
          </cell>
          <cell r="E11">
            <v>44727.33</v>
          </cell>
          <cell r="F11">
            <v>38716</v>
          </cell>
          <cell r="G11">
            <v>38702</v>
          </cell>
        </row>
        <row r="12">
          <cell r="A12" t="str">
            <v>City Public Service San Antonio TX</v>
          </cell>
          <cell r="B12" t="str">
            <v>2000169143</v>
          </cell>
          <cell r="C12" t="str">
            <v>100192245</v>
          </cell>
          <cell r="D12">
            <v>43147.6</v>
          </cell>
          <cell r="E12">
            <v>43147.6</v>
          </cell>
          <cell r="F12">
            <v>38708</v>
          </cell>
          <cell r="G12">
            <v>38707</v>
          </cell>
        </row>
        <row r="13">
          <cell r="A13" t="str">
            <v>Cox Smith Matthews, Inc. San Antonio TX</v>
          </cell>
          <cell r="B13" t="str">
            <v>2000169114</v>
          </cell>
          <cell r="C13" t="str">
            <v>100192226</v>
          </cell>
          <cell r="D13">
            <v>142051.88</v>
          </cell>
          <cell r="E13">
            <v>142051.88</v>
          </cell>
          <cell r="F13">
            <v>38706</v>
          </cell>
          <cell r="G13">
            <v>38705</v>
          </cell>
        </row>
        <row r="14">
          <cell r="A14" t="str">
            <v>Cox Smith Matthews, Inc. San Antonio TX</v>
          </cell>
          <cell r="B14" t="str">
            <v>2000169148</v>
          </cell>
          <cell r="C14" t="str">
            <v>100192247</v>
          </cell>
          <cell r="D14">
            <v>173594.19</v>
          </cell>
          <cell r="E14">
            <v>173594.19</v>
          </cell>
          <cell r="F14">
            <v>38708</v>
          </cell>
          <cell r="G14">
            <v>38707</v>
          </cell>
        </row>
        <row r="15">
          <cell r="A15" t="str">
            <v>Davis, Cedillo &amp; Mendoza, Inc.SAN ANTONIO TX</v>
          </cell>
          <cell r="B15" t="str">
            <v>2000167576</v>
          </cell>
          <cell r="C15" t="str">
            <v>100183666</v>
          </cell>
          <cell r="D15">
            <v>47853.19</v>
          </cell>
          <cell r="E15">
            <v>47853.19</v>
          </cell>
          <cell r="F15">
            <v>38691</v>
          </cell>
          <cell r="G15">
            <v>38688</v>
          </cell>
        </row>
        <row r="16">
          <cell r="A16" t="str">
            <v>EPRI Chicago IL</v>
          </cell>
          <cell r="B16" t="str">
            <v>2000167445</v>
          </cell>
          <cell r="C16" t="str">
            <v>100185644</v>
          </cell>
          <cell r="D16">
            <v>25000</v>
          </cell>
          <cell r="E16">
            <v>25000</v>
          </cell>
          <cell r="F16">
            <v>38688</v>
          </cell>
          <cell r="G16">
            <v>38687</v>
          </cell>
        </row>
        <row r="17">
          <cell r="A17" t="str">
            <v>Gerry Rickhoff, Bexar County CSAN ANTONIO TX</v>
          </cell>
          <cell r="B17" t="str">
            <v>2000169037</v>
          </cell>
          <cell r="C17" t="str">
            <v>100192602</v>
          </cell>
          <cell r="D17">
            <v>340000</v>
          </cell>
          <cell r="E17">
            <v>340000</v>
          </cell>
          <cell r="F17">
            <v>38706</v>
          </cell>
          <cell r="G17">
            <v>38706</v>
          </cell>
        </row>
        <row r="18">
          <cell r="A18" t="str">
            <v>Gerry Rickhoff, Bexar County CSAN ANTONIO TX</v>
          </cell>
          <cell r="B18" t="str">
            <v>2000169608</v>
          </cell>
          <cell r="C18" t="str">
            <v>100193411</v>
          </cell>
          <cell r="D18">
            <v>593490</v>
          </cell>
          <cell r="E18">
            <v>593490</v>
          </cell>
          <cell r="F18">
            <v>38709</v>
          </cell>
          <cell r="G18">
            <v>38708</v>
          </cell>
        </row>
        <row r="19">
          <cell r="A19" t="str">
            <v>Grayson-Collin Electric Coop Van Alstyne TX</v>
          </cell>
          <cell r="B19" t="str">
            <v>2000168323</v>
          </cell>
          <cell r="C19" t="str">
            <v>100191309</v>
          </cell>
          <cell r="D19">
            <v>37822</v>
          </cell>
          <cell r="E19">
            <v>37822</v>
          </cell>
          <cell r="F19">
            <v>38700</v>
          </cell>
          <cell r="G19">
            <v>38700</v>
          </cell>
        </row>
        <row r="20">
          <cell r="A20" t="str">
            <v>Ibew Local 500 San Antonio TX</v>
          </cell>
          <cell r="B20" t="str">
            <v>2000169485</v>
          </cell>
          <cell r="C20" t="str">
            <v>100193401</v>
          </cell>
          <cell r="D20">
            <v>27482.5</v>
          </cell>
          <cell r="E20">
            <v>27482.5</v>
          </cell>
          <cell r="F20">
            <v>38709</v>
          </cell>
          <cell r="G20">
            <v>38709</v>
          </cell>
        </row>
        <row r="21">
          <cell r="A21" t="str">
            <v>San Antonio Water System San Antonio TX</v>
          </cell>
          <cell r="B21" t="str">
            <v>2000167440</v>
          </cell>
          <cell r="C21" t="str">
            <v>100185653</v>
          </cell>
          <cell r="D21">
            <v>29551.5</v>
          </cell>
          <cell r="E21">
            <v>56982.53</v>
          </cell>
          <cell r="F21">
            <v>38688</v>
          </cell>
          <cell r="G21">
            <v>38687</v>
          </cell>
        </row>
        <row r="22">
          <cell r="A22" t="str">
            <v>San Antonio Water System San Antonio TX</v>
          </cell>
          <cell r="B22" t="str">
            <v>2000167440</v>
          </cell>
          <cell r="C22" t="str">
            <v>100185654</v>
          </cell>
          <cell r="D22">
            <v>27431.03</v>
          </cell>
          <cell r="E22">
            <v>56982.53</v>
          </cell>
          <cell r="F22">
            <v>38688</v>
          </cell>
          <cell r="G22">
            <v>38687</v>
          </cell>
        </row>
        <row r="23">
          <cell r="A23" t="str">
            <v>Scott, Douglass &amp; McConnico, LAUSTIN TX</v>
          </cell>
          <cell r="B23" t="str">
            <v>2000167709</v>
          </cell>
          <cell r="C23" t="str">
            <v>100183688</v>
          </cell>
          <cell r="D23">
            <v>37620.400000000001</v>
          </cell>
          <cell r="E23">
            <v>37620.400000000001</v>
          </cell>
          <cell r="F23">
            <v>38692</v>
          </cell>
          <cell r="G23">
            <v>38691</v>
          </cell>
        </row>
        <row r="24">
          <cell r="A24" t="str">
            <v>Texas Child Support San Antonio TX</v>
          </cell>
          <cell r="B24" t="str">
            <v>2000167895</v>
          </cell>
          <cell r="C24" t="str">
            <v>100190035</v>
          </cell>
          <cell r="D24">
            <v>73676.38</v>
          </cell>
          <cell r="E24">
            <v>73676.38</v>
          </cell>
          <cell r="F24">
            <v>38694</v>
          </cell>
          <cell r="G24">
            <v>38694</v>
          </cell>
        </row>
        <row r="25">
          <cell r="A25" t="str">
            <v>Texas Child Support San Antonio TX</v>
          </cell>
          <cell r="B25" t="str">
            <v>2000169491</v>
          </cell>
          <cell r="C25" t="str">
            <v>100193409</v>
          </cell>
          <cell r="D25">
            <v>73554.83</v>
          </cell>
          <cell r="E25">
            <v>73554.83</v>
          </cell>
          <cell r="F25">
            <v>38709</v>
          </cell>
          <cell r="G25">
            <v>38708</v>
          </cell>
        </row>
        <row r="26">
          <cell r="A26" t="str">
            <v>Texas Department of TransportaSan Antonio TX</v>
          </cell>
          <cell r="B26" t="str">
            <v>2000169302</v>
          </cell>
          <cell r="C26" t="str">
            <v>100192234</v>
          </cell>
          <cell r="D26">
            <v>28025.84</v>
          </cell>
          <cell r="E26">
            <v>28025.84</v>
          </cell>
          <cell r="F26">
            <v>38707</v>
          </cell>
          <cell r="G26">
            <v>38706</v>
          </cell>
        </row>
        <row r="27">
          <cell r="A27" t="str">
            <v>Texas Municipal Power Agency Bryan TX</v>
          </cell>
          <cell r="B27" t="str">
            <v>2000169312</v>
          </cell>
          <cell r="C27" t="str">
            <v>100190075</v>
          </cell>
          <cell r="D27">
            <v>144766.5</v>
          </cell>
          <cell r="E27">
            <v>144766.5</v>
          </cell>
          <cell r="F27">
            <v>38714</v>
          </cell>
          <cell r="G27">
            <v>38695</v>
          </cell>
        </row>
        <row r="28">
          <cell r="A28" t="str">
            <v>The Greater San Antonio San Antonio TX</v>
          </cell>
          <cell r="B28" t="str">
            <v>2000166968</v>
          </cell>
          <cell r="C28" t="str">
            <v>100185630</v>
          </cell>
          <cell r="D28">
            <v>50000</v>
          </cell>
          <cell r="E28">
            <v>50000</v>
          </cell>
          <cell r="F28">
            <v>38687</v>
          </cell>
          <cell r="G28">
            <v>38686</v>
          </cell>
        </row>
        <row r="29">
          <cell r="A29" t="str">
            <v>United Way Of San Antonio San Antonio TX</v>
          </cell>
          <cell r="B29" t="str">
            <v>2000169486</v>
          </cell>
          <cell r="C29" t="str">
            <v>100193402</v>
          </cell>
          <cell r="D29">
            <v>34515.160000000003</v>
          </cell>
          <cell r="E29">
            <v>34515.160000000003</v>
          </cell>
          <cell r="F29">
            <v>38709</v>
          </cell>
          <cell r="G29">
            <v>38709</v>
          </cell>
        </row>
      </sheetData>
      <sheetData sheetId="4" refreshError="1">
        <row r="1">
          <cell r="A1" t="str">
            <v>Recipient</v>
          </cell>
          <cell r="B1" t="str">
            <v>Payment</v>
          </cell>
          <cell r="C1" t="str">
            <v>DocNo</v>
          </cell>
          <cell r="D1" t="str">
            <v>SumOfNetAmount</v>
          </cell>
          <cell r="E1" t="str">
            <v>AmountPaid</v>
          </cell>
          <cell r="F1" t="str">
            <v>PmntDate</v>
          </cell>
          <cell r="G1" t="str">
            <v>PstgDate</v>
          </cell>
        </row>
        <row r="2">
          <cell r="A2" t="str">
            <v>A&amp;L Underground, INC. Lenexa KS</v>
          </cell>
          <cell r="B2" t="str">
            <v>2000167540</v>
          </cell>
          <cell r="C2" t="str">
            <v>5100118926</v>
          </cell>
          <cell r="D2">
            <v>25958.25</v>
          </cell>
          <cell r="E2">
            <v>121774.26</v>
          </cell>
          <cell r="F2">
            <v>38688</v>
          </cell>
          <cell r="G2">
            <v>38670</v>
          </cell>
        </row>
        <row r="3">
          <cell r="A3" t="str">
            <v>A&amp;L Underground, INC. Lenexa KS</v>
          </cell>
          <cell r="B3" t="str">
            <v>2000167540</v>
          </cell>
          <cell r="C3" t="str">
            <v>5100118928</v>
          </cell>
          <cell r="D3">
            <v>27297</v>
          </cell>
          <cell r="E3">
            <v>121774.26</v>
          </cell>
          <cell r="F3">
            <v>38688</v>
          </cell>
          <cell r="G3">
            <v>38670</v>
          </cell>
        </row>
        <row r="4">
          <cell r="A4" t="str">
            <v>A&amp;L Underground, INC. Lenexa KS</v>
          </cell>
          <cell r="B4" t="str">
            <v>2000167540</v>
          </cell>
          <cell r="C4" t="str">
            <v>5100118930</v>
          </cell>
          <cell r="D4">
            <v>36225</v>
          </cell>
          <cell r="E4">
            <v>121774.26</v>
          </cell>
          <cell r="F4">
            <v>38688</v>
          </cell>
          <cell r="G4">
            <v>38670</v>
          </cell>
        </row>
        <row r="5">
          <cell r="A5" t="str">
            <v>ACTARIS US GAS, INC. Cincinnati OH</v>
          </cell>
          <cell r="B5" t="str">
            <v>2000168728</v>
          </cell>
          <cell r="C5" t="str">
            <v>5100121564</v>
          </cell>
          <cell r="D5">
            <v>97119</v>
          </cell>
          <cell r="E5">
            <v>138274.20000000001</v>
          </cell>
          <cell r="F5">
            <v>38702</v>
          </cell>
          <cell r="G5">
            <v>38687</v>
          </cell>
        </row>
        <row r="6">
          <cell r="A6" t="str">
            <v>Advanced Acoustic TechnologiesMonkton MD</v>
          </cell>
          <cell r="B6" t="str">
            <v>2000169225</v>
          </cell>
          <cell r="C6" t="str">
            <v>5100121026</v>
          </cell>
          <cell r="D6">
            <v>40831</v>
          </cell>
          <cell r="E6">
            <v>40831</v>
          </cell>
          <cell r="F6">
            <v>38707</v>
          </cell>
          <cell r="G6">
            <v>38692</v>
          </cell>
        </row>
        <row r="7">
          <cell r="A7" t="str">
            <v>Allegro Development CorporatioDALLAS TX</v>
          </cell>
          <cell r="B7" t="str">
            <v>2000168240</v>
          </cell>
          <cell r="C7" t="str">
            <v>5100119264</v>
          </cell>
          <cell r="D7">
            <v>32400</v>
          </cell>
          <cell r="E7">
            <v>32400</v>
          </cell>
          <cell r="F7">
            <v>38698</v>
          </cell>
          <cell r="G7">
            <v>38672</v>
          </cell>
        </row>
        <row r="8">
          <cell r="A8" t="str">
            <v>Alstom Power Inc Chicago IL</v>
          </cell>
          <cell r="B8" t="str">
            <v>2000170025</v>
          </cell>
          <cell r="C8" t="str">
            <v>5100122035</v>
          </cell>
          <cell r="D8">
            <v>209482</v>
          </cell>
          <cell r="E8">
            <v>209482</v>
          </cell>
          <cell r="F8">
            <v>38716</v>
          </cell>
          <cell r="G8">
            <v>38691</v>
          </cell>
        </row>
        <row r="9">
          <cell r="A9" t="str">
            <v>Asplundh Tree Expert Co Chicago IL</v>
          </cell>
          <cell r="B9" t="str">
            <v>2000168106</v>
          </cell>
          <cell r="C9" t="str">
            <v>5100118648</v>
          </cell>
          <cell r="D9">
            <v>35727.22</v>
          </cell>
          <cell r="E9">
            <v>82755.05</v>
          </cell>
          <cell r="F9">
            <v>38695</v>
          </cell>
          <cell r="G9">
            <v>38670</v>
          </cell>
        </row>
        <row r="10">
          <cell r="A10" t="str">
            <v>Asplundh Tree Expert Co Chicago IL</v>
          </cell>
          <cell r="B10" t="str">
            <v>2000168514</v>
          </cell>
          <cell r="C10" t="str">
            <v>5100118643</v>
          </cell>
          <cell r="D10">
            <v>49024.79</v>
          </cell>
          <cell r="E10">
            <v>134255.56</v>
          </cell>
          <cell r="F10">
            <v>38699</v>
          </cell>
          <cell r="G10">
            <v>38695</v>
          </cell>
        </row>
        <row r="11">
          <cell r="A11" t="str">
            <v>Asplundh Tree Expert Co Chicago IL</v>
          </cell>
          <cell r="B11" t="str">
            <v>2000168514</v>
          </cell>
          <cell r="C11" t="str">
            <v>5100118650</v>
          </cell>
          <cell r="D11">
            <v>31715.17</v>
          </cell>
          <cell r="E11">
            <v>134255.56</v>
          </cell>
          <cell r="F11">
            <v>38699</v>
          </cell>
          <cell r="G11">
            <v>38695</v>
          </cell>
        </row>
        <row r="12">
          <cell r="A12" t="str">
            <v>Asplundh Tree Expert Co Chicago IL</v>
          </cell>
          <cell r="B12" t="str">
            <v>2000168514</v>
          </cell>
          <cell r="C12" t="str">
            <v>5100118715</v>
          </cell>
          <cell r="D12">
            <v>50854.879999999997</v>
          </cell>
          <cell r="E12">
            <v>134255.56</v>
          </cell>
          <cell r="F12">
            <v>38699</v>
          </cell>
          <cell r="G12">
            <v>38695</v>
          </cell>
        </row>
        <row r="13">
          <cell r="A13" t="str">
            <v>Asplundh Tree Expert Co Chicago IL</v>
          </cell>
          <cell r="B13" t="str">
            <v>2000169053</v>
          </cell>
          <cell r="C13" t="str">
            <v>5100120437</v>
          </cell>
          <cell r="D13">
            <v>52516.95</v>
          </cell>
          <cell r="E13">
            <v>129968.5</v>
          </cell>
          <cell r="F13">
            <v>38706</v>
          </cell>
          <cell r="G13">
            <v>38692</v>
          </cell>
        </row>
        <row r="14">
          <cell r="A14" t="str">
            <v>Asplundh Tree Expert Co Chicago IL</v>
          </cell>
          <cell r="B14" t="str">
            <v>2000169053</v>
          </cell>
          <cell r="C14" t="str">
            <v>5100120440</v>
          </cell>
          <cell r="D14">
            <v>52376.51</v>
          </cell>
          <cell r="E14">
            <v>129968.5</v>
          </cell>
          <cell r="F14">
            <v>38706</v>
          </cell>
          <cell r="G14">
            <v>38695</v>
          </cell>
        </row>
        <row r="15">
          <cell r="A15" t="str">
            <v>B&amp;R Building Maintenance Inc San Antonio TX</v>
          </cell>
          <cell r="B15" t="str">
            <v>2000167538</v>
          </cell>
          <cell r="C15" t="str">
            <v>5100117075</v>
          </cell>
          <cell r="D15">
            <v>44328.29</v>
          </cell>
          <cell r="E15">
            <v>57359.9</v>
          </cell>
          <cell r="F15">
            <v>38688</v>
          </cell>
          <cell r="G15">
            <v>38687</v>
          </cell>
        </row>
        <row r="16">
          <cell r="A16" t="str">
            <v>Basic Industries of South TexaCorpus Christi</v>
          </cell>
          <cell r="B16" t="str">
            <v>2000168764</v>
          </cell>
          <cell r="C16" t="str">
            <v>5100122438</v>
          </cell>
          <cell r="D16">
            <v>157903.12</v>
          </cell>
          <cell r="E16">
            <v>155404.72</v>
          </cell>
          <cell r="F16">
            <v>38702</v>
          </cell>
          <cell r="G16">
            <v>38692</v>
          </cell>
        </row>
        <row r="17">
          <cell r="A17" t="str">
            <v>Benefit Partners Inc DALLAS TX</v>
          </cell>
          <cell r="B17" t="str">
            <v>2000167963</v>
          </cell>
          <cell r="C17" t="str">
            <v>5100121101</v>
          </cell>
          <cell r="D17">
            <v>40700</v>
          </cell>
          <cell r="E17">
            <v>40700</v>
          </cell>
          <cell r="F17">
            <v>38694</v>
          </cell>
          <cell r="G17">
            <v>38693</v>
          </cell>
        </row>
        <row r="18">
          <cell r="A18" t="str">
            <v>Blue Marble Consulting, INC Venice FL</v>
          </cell>
          <cell r="B18" t="str">
            <v>2000168053</v>
          </cell>
          <cell r="C18" t="str">
            <v>5100118925</v>
          </cell>
          <cell r="D18">
            <v>28748.21</v>
          </cell>
          <cell r="E18">
            <v>28748.21</v>
          </cell>
          <cell r="F18">
            <v>38695</v>
          </cell>
          <cell r="G18">
            <v>38693</v>
          </cell>
        </row>
        <row r="19">
          <cell r="A19" t="str">
            <v>Carl Turner Equipment Inc SAN ANTONIO TX</v>
          </cell>
          <cell r="B19" t="str">
            <v>2000169438</v>
          </cell>
          <cell r="C19" t="str">
            <v>5100120991</v>
          </cell>
          <cell r="D19">
            <v>26220</v>
          </cell>
          <cell r="E19">
            <v>26220</v>
          </cell>
          <cell r="F19">
            <v>38708</v>
          </cell>
          <cell r="G19">
            <v>38684</v>
          </cell>
        </row>
        <row r="20">
          <cell r="A20" t="str">
            <v>Casey Industrial, Inc. ALBANY OR</v>
          </cell>
          <cell r="B20" t="str">
            <v>2000169533</v>
          </cell>
          <cell r="C20" t="str">
            <v>5100122607</v>
          </cell>
          <cell r="D20">
            <v>31192.02</v>
          </cell>
          <cell r="E20">
            <v>31192.02</v>
          </cell>
          <cell r="F20">
            <v>38709</v>
          </cell>
          <cell r="G20">
            <v>38692</v>
          </cell>
        </row>
        <row r="21">
          <cell r="A21" t="str">
            <v>CED San Antonio TX</v>
          </cell>
          <cell r="B21" t="str">
            <v>2000168083</v>
          </cell>
          <cell r="C21" t="str">
            <v>5100122366</v>
          </cell>
          <cell r="D21">
            <v>31581.83</v>
          </cell>
          <cell r="E21">
            <v>145326.6</v>
          </cell>
          <cell r="F21">
            <v>38695</v>
          </cell>
          <cell r="G21">
            <v>38692</v>
          </cell>
        </row>
        <row r="22">
          <cell r="A22" t="str">
            <v>CED San Antonio TX</v>
          </cell>
          <cell r="B22" t="str">
            <v>2000168083</v>
          </cell>
          <cell r="C22" t="str">
            <v>5100122367</v>
          </cell>
          <cell r="D22">
            <v>31581.83</v>
          </cell>
          <cell r="E22">
            <v>145326.6</v>
          </cell>
          <cell r="F22">
            <v>38695</v>
          </cell>
          <cell r="G22">
            <v>38692</v>
          </cell>
        </row>
        <row r="23">
          <cell r="A23" t="str">
            <v>CED San Antonio TX</v>
          </cell>
          <cell r="B23" t="str">
            <v>2000168083</v>
          </cell>
          <cell r="C23" t="str">
            <v>5100122370</v>
          </cell>
          <cell r="D23">
            <v>28423.65</v>
          </cell>
          <cell r="E23">
            <v>145326.6</v>
          </cell>
          <cell r="F23">
            <v>38695</v>
          </cell>
          <cell r="G23">
            <v>38692</v>
          </cell>
        </row>
        <row r="24">
          <cell r="A24" t="str">
            <v>Champion National Security Richardson TX</v>
          </cell>
          <cell r="B24" t="str">
            <v>2000168739</v>
          </cell>
          <cell r="C24" t="str">
            <v>5100119866</v>
          </cell>
          <cell r="D24">
            <v>79117.66</v>
          </cell>
          <cell r="E24">
            <v>196575.49</v>
          </cell>
          <cell r="F24">
            <v>38702</v>
          </cell>
          <cell r="G24">
            <v>38673</v>
          </cell>
        </row>
        <row r="25">
          <cell r="A25" t="str">
            <v>Champion National Security Richardson TX</v>
          </cell>
          <cell r="B25" t="str">
            <v>2000168739</v>
          </cell>
          <cell r="C25" t="str">
            <v>5100119868</v>
          </cell>
          <cell r="D25">
            <v>117457.83</v>
          </cell>
          <cell r="E25">
            <v>196575.49</v>
          </cell>
          <cell r="F25">
            <v>38702</v>
          </cell>
          <cell r="G25">
            <v>38673</v>
          </cell>
        </row>
        <row r="26">
          <cell r="A26" t="str">
            <v>CORBO Electric Co Inc SAN ANTONIO TX</v>
          </cell>
          <cell r="B26" t="str">
            <v>2000169426</v>
          </cell>
          <cell r="C26" t="str">
            <v>5100116718</v>
          </cell>
          <cell r="D26">
            <v>58442.15</v>
          </cell>
          <cell r="E26">
            <v>58442.15</v>
          </cell>
          <cell r="F26">
            <v>38708</v>
          </cell>
          <cell r="G26">
            <v>38706</v>
          </cell>
        </row>
        <row r="27">
          <cell r="A27" t="str">
            <v>Digilog Instruments Oak Point TX</v>
          </cell>
          <cell r="B27" t="str">
            <v>2000168012</v>
          </cell>
          <cell r="C27" t="str">
            <v>5100120366</v>
          </cell>
          <cell r="D27">
            <v>182725</v>
          </cell>
          <cell r="E27">
            <v>182725</v>
          </cell>
          <cell r="F27">
            <v>38695</v>
          </cell>
          <cell r="G27">
            <v>38678</v>
          </cell>
        </row>
        <row r="28">
          <cell r="A28" t="str">
            <v>Dios Dado Environmental Ltd NEW BRAUNFELS TX</v>
          </cell>
          <cell r="B28" t="str">
            <v>2000167842</v>
          </cell>
          <cell r="C28" t="str">
            <v>5100117486</v>
          </cell>
          <cell r="D28">
            <v>37122.080000000002</v>
          </cell>
          <cell r="E28">
            <v>37122.080000000002</v>
          </cell>
          <cell r="F28">
            <v>38693</v>
          </cell>
          <cell r="G28">
            <v>38692</v>
          </cell>
        </row>
        <row r="29">
          <cell r="A29" t="str">
            <v>Dios Dado Environmental Ltd NEW BRAUNFELS TX</v>
          </cell>
          <cell r="B29" t="str">
            <v>2000169730</v>
          </cell>
          <cell r="C29" t="str">
            <v>5100121763</v>
          </cell>
          <cell r="D29">
            <v>33637.53</v>
          </cell>
          <cell r="E29">
            <v>33637.53</v>
          </cell>
          <cell r="F29">
            <v>38715</v>
          </cell>
          <cell r="G29">
            <v>38688</v>
          </cell>
        </row>
        <row r="30">
          <cell r="A30" t="str">
            <v>Dis-Tran Steel Pole, LLC ALEXANDRIA LA</v>
          </cell>
          <cell r="B30" t="str">
            <v>2000168702</v>
          </cell>
          <cell r="C30" t="str">
            <v>5100124042</v>
          </cell>
          <cell r="D30">
            <v>51716</v>
          </cell>
          <cell r="E30">
            <v>51716</v>
          </cell>
          <cell r="F30">
            <v>38702</v>
          </cell>
          <cell r="G30">
            <v>38701</v>
          </cell>
        </row>
        <row r="31">
          <cell r="A31" t="str">
            <v>Dorazio Enterprises San Antonio TX</v>
          </cell>
          <cell r="B31" t="str">
            <v>2000169551</v>
          </cell>
          <cell r="C31" t="str">
            <v>5100121696</v>
          </cell>
          <cell r="D31">
            <v>184301.14</v>
          </cell>
          <cell r="E31">
            <v>184301.14</v>
          </cell>
          <cell r="F31">
            <v>38716</v>
          </cell>
          <cell r="G31">
            <v>38688</v>
          </cell>
        </row>
        <row r="32">
          <cell r="A32" t="str">
            <v>Dyonyx Houston TX</v>
          </cell>
          <cell r="B32" t="str">
            <v>2000168520</v>
          </cell>
          <cell r="C32" t="str">
            <v>5100119277</v>
          </cell>
          <cell r="D32">
            <v>25804.22</v>
          </cell>
          <cell r="E32">
            <v>53537.69</v>
          </cell>
          <cell r="F32">
            <v>38699</v>
          </cell>
          <cell r="G32">
            <v>38698</v>
          </cell>
        </row>
        <row r="33">
          <cell r="A33" t="str">
            <v>Dyonyx Houston TX</v>
          </cell>
          <cell r="B33" t="str">
            <v>2000168520</v>
          </cell>
          <cell r="C33" t="str">
            <v>5100121374</v>
          </cell>
          <cell r="D33">
            <v>27733.47</v>
          </cell>
          <cell r="E33">
            <v>53537.69</v>
          </cell>
          <cell r="F33">
            <v>38699</v>
          </cell>
          <cell r="G33">
            <v>38698</v>
          </cell>
        </row>
        <row r="34">
          <cell r="A34" t="str">
            <v>Dyonyx Houston TX</v>
          </cell>
          <cell r="B34" t="str">
            <v>2000168752</v>
          </cell>
          <cell r="C34" t="str">
            <v>5100122238</v>
          </cell>
          <cell r="D34">
            <v>25268.32</v>
          </cell>
          <cell r="E34">
            <v>25268.32</v>
          </cell>
          <cell r="F34">
            <v>38702</v>
          </cell>
          <cell r="G34">
            <v>38691</v>
          </cell>
        </row>
        <row r="35">
          <cell r="A35" t="str">
            <v>Eagle Construction &amp; Eastland TX</v>
          </cell>
          <cell r="B35" t="str">
            <v>2000168860</v>
          </cell>
          <cell r="C35" t="str">
            <v>5100120138</v>
          </cell>
          <cell r="D35">
            <v>26463.91</v>
          </cell>
          <cell r="E35">
            <v>26463.91</v>
          </cell>
          <cell r="F35">
            <v>38713</v>
          </cell>
          <cell r="G35">
            <v>38708</v>
          </cell>
        </row>
        <row r="36">
          <cell r="A36" t="str">
            <v>ECI-The Employment Choice San Antonio TX</v>
          </cell>
          <cell r="B36" t="str">
            <v>2000169210</v>
          </cell>
          <cell r="C36" t="str">
            <v>5100124128</v>
          </cell>
          <cell r="D36">
            <v>27900</v>
          </cell>
          <cell r="E36">
            <v>27900</v>
          </cell>
          <cell r="F36">
            <v>38707</v>
          </cell>
          <cell r="G36">
            <v>38701</v>
          </cell>
        </row>
        <row r="37">
          <cell r="A37" t="str">
            <v>Environmental Geophysics AssocSpring TX</v>
          </cell>
          <cell r="B37" t="str">
            <v>2000167594</v>
          </cell>
          <cell r="C37" t="str">
            <v>5100118502</v>
          </cell>
          <cell r="D37">
            <v>43196.43</v>
          </cell>
          <cell r="E37">
            <v>43196.43</v>
          </cell>
          <cell r="F37">
            <v>38691</v>
          </cell>
          <cell r="G37">
            <v>38666</v>
          </cell>
        </row>
        <row r="38">
          <cell r="A38" t="str">
            <v>Estrada Hinojosa &amp; Company, InDallas TX</v>
          </cell>
          <cell r="B38" t="str">
            <v>2000167660</v>
          </cell>
          <cell r="C38" t="str">
            <v>5100121475</v>
          </cell>
          <cell r="D38">
            <v>67360.2</v>
          </cell>
          <cell r="E38">
            <v>67360.2</v>
          </cell>
          <cell r="F38">
            <v>38692</v>
          </cell>
          <cell r="G38">
            <v>38687</v>
          </cell>
        </row>
        <row r="39">
          <cell r="A39" t="str">
            <v>Estrada Hinojosa &amp; Company, InDallas TX</v>
          </cell>
          <cell r="B39" t="str">
            <v>2000169265</v>
          </cell>
          <cell r="C39" t="str">
            <v>5100124696</v>
          </cell>
          <cell r="D39">
            <v>25400</v>
          </cell>
          <cell r="E39">
            <v>25400</v>
          </cell>
          <cell r="F39">
            <v>38707</v>
          </cell>
          <cell r="G39">
            <v>38706</v>
          </cell>
        </row>
        <row r="40">
          <cell r="A40" t="str">
            <v>First Southwest Company SAN ANTONIO TX</v>
          </cell>
          <cell r="B40" t="str">
            <v>2000167646</v>
          </cell>
          <cell r="C40" t="str">
            <v>5100122023</v>
          </cell>
          <cell r="D40">
            <v>67671.48</v>
          </cell>
          <cell r="E40">
            <v>67671.48</v>
          </cell>
          <cell r="F40">
            <v>38692</v>
          </cell>
          <cell r="G40">
            <v>38691</v>
          </cell>
        </row>
        <row r="41">
          <cell r="A41" t="str">
            <v>Flowserve Pump Division chicago IL</v>
          </cell>
          <cell r="B41" t="str">
            <v>2000169260</v>
          </cell>
          <cell r="C41" t="str">
            <v>5100124801</v>
          </cell>
          <cell r="D41">
            <v>359560.8</v>
          </cell>
          <cell r="E41">
            <v>359560.8</v>
          </cell>
          <cell r="F41">
            <v>38707</v>
          </cell>
          <cell r="G41">
            <v>38706</v>
          </cell>
        </row>
        <row r="42">
          <cell r="A42" t="str">
            <v>General Electric Co Pittsburgh PA</v>
          </cell>
          <cell r="B42" t="str">
            <v>2000170007</v>
          </cell>
          <cell r="C42" t="str">
            <v>5100123674</v>
          </cell>
          <cell r="D42">
            <v>28056.12</v>
          </cell>
          <cell r="E42">
            <v>28056.12</v>
          </cell>
          <cell r="F42">
            <v>38716</v>
          </cell>
          <cell r="G42">
            <v>38698</v>
          </cell>
        </row>
        <row r="43">
          <cell r="A43" t="str">
            <v>Grande Communications, Inc. San Antonio TX</v>
          </cell>
          <cell r="B43" t="str">
            <v>2000168294</v>
          </cell>
          <cell r="C43" t="str">
            <v>5100119933</v>
          </cell>
          <cell r="D43">
            <v>59477.8</v>
          </cell>
          <cell r="E43">
            <v>59477.8</v>
          </cell>
          <cell r="F43">
            <v>38700</v>
          </cell>
          <cell r="G43">
            <v>38687</v>
          </cell>
        </row>
        <row r="44">
          <cell r="A44" t="str">
            <v>Graybar Electric Pflugerville TX</v>
          </cell>
          <cell r="B44" t="str">
            <v>2000167510</v>
          </cell>
          <cell r="C44" t="str">
            <v>5100120491</v>
          </cell>
          <cell r="D44">
            <v>99363.92</v>
          </cell>
          <cell r="E44">
            <v>23539.67</v>
          </cell>
          <cell r="F44">
            <v>38688</v>
          </cell>
          <cell r="G44">
            <v>38685</v>
          </cell>
        </row>
        <row r="45">
          <cell r="A45" t="str">
            <v>Graybar Electric Pflugerville TX</v>
          </cell>
          <cell r="B45" t="str">
            <v>2000167510</v>
          </cell>
          <cell r="C45" t="str">
            <v>5100120494</v>
          </cell>
          <cell r="D45">
            <v>49818</v>
          </cell>
          <cell r="E45">
            <v>23539.67</v>
          </cell>
          <cell r="F45">
            <v>38688</v>
          </cell>
          <cell r="G45">
            <v>38685</v>
          </cell>
        </row>
        <row r="46">
          <cell r="A46" t="str">
            <v>Graybar Electric Pflugerville TX</v>
          </cell>
          <cell r="B46" t="str">
            <v>2000167510</v>
          </cell>
          <cell r="C46" t="str">
            <v>5100120495</v>
          </cell>
          <cell r="D46">
            <v>49810.400000000001</v>
          </cell>
          <cell r="E46">
            <v>23539.67</v>
          </cell>
          <cell r="F46">
            <v>38688</v>
          </cell>
          <cell r="G46">
            <v>38685</v>
          </cell>
        </row>
        <row r="47">
          <cell r="A47" t="str">
            <v>Graybar Electric Pflugerville TX</v>
          </cell>
          <cell r="B47" t="str">
            <v>2000167510</v>
          </cell>
          <cell r="C47" t="str">
            <v>5100120498</v>
          </cell>
          <cell r="D47">
            <v>49634.080000000002</v>
          </cell>
          <cell r="E47">
            <v>23539.67</v>
          </cell>
          <cell r="F47">
            <v>38688</v>
          </cell>
          <cell r="G47">
            <v>38685</v>
          </cell>
        </row>
        <row r="48">
          <cell r="A48" t="str">
            <v>Graybar Electric Pflugerville TX</v>
          </cell>
          <cell r="B48" t="str">
            <v>2000167510</v>
          </cell>
          <cell r="C48" t="str">
            <v>5100120499</v>
          </cell>
          <cell r="D48">
            <v>49407.6</v>
          </cell>
          <cell r="E48">
            <v>23539.67</v>
          </cell>
          <cell r="F48">
            <v>38688</v>
          </cell>
          <cell r="G48">
            <v>38685</v>
          </cell>
        </row>
        <row r="49">
          <cell r="A49" t="str">
            <v>Graybar Electric Pflugerville TX</v>
          </cell>
          <cell r="B49" t="str">
            <v>2000167510</v>
          </cell>
          <cell r="C49" t="str">
            <v>5100121098</v>
          </cell>
          <cell r="D49">
            <v>48705.36</v>
          </cell>
          <cell r="E49">
            <v>23539.67</v>
          </cell>
          <cell r="F49">
            <v>38688</v>
          </cell>
          <cell r="G49">
            <v>38684</v>
          </cell>
        </row>
        <row r="50">
          <cell r="A50" t="str">
            <v>Graybar Electric Pflugerville TX</v>
          </cell>
          <cell r="B50" t="str">
            <v>2000167510</v>
          </cell>
          <cell r="C50" t="str">
            <v>5100121099</v>
          </cell>
          <cell r="D50">
            <v>49211.519999999997</v>
          </cell>
          <cell r="E50">
            <v>23539.67</v>
          </cell>
          <cell r="F50">
            <v>38688</v>
          </cell>
          <cell r="G50">
            <v>38684</v>
          </cell>
        </row>
        <row r="51">
          <cell r="A51" t="str">
            <v>Graybar Electric Pflugerville TX</v>
          </cell>
          <cell r="B51" t="str">
            <v>2000167510</v>
          </cell>
          <cell r="C51" t="str">
            <v>5100121209</v>
          </cell>
          <cell r="D51">
            <v>49629.52</v>
          </cell>
          <cell r="E51">
            <v>23539.67</v>
          </cell>
          <cell r="F51">
            <v>38688</v>
          </cell>
          <cell r="G51">
            <v>38685</v>
          </cell>
        </row>
        <row r="52">
          <cell r="A52" t="str">
            <v>Graybar Electric Pflugerville TX</v>
          </cell>
          <cell r="B52" t="str">
            <v>2000167510</v>
          </cell>
          <cell r="C52" t="str">
            <v>5100121210</v>
          </cell>
          <cell r="D52">
            <v>49213.04</v>
          </cell>
          <cell r="E52">
            <v>23539.67</v>
          </cell>
          <cell r="F52">
            <v>38688</v>
          </cell>
          <cell r="G52">
            <v>38685</v>
          </cell>
        </row>
        <row r="53">
          <cell r="A53" t="str">
            <v>Graybar Electric Pflugerville TX</v>
          </cell>
          <cell r="B53" t="str">
            <v>2000168085</v>
          </cell>
          <cell r="C53" t="str">
            <v>5100118425</v>
          </cell>
          <cell r="D53">
            <v>49404.56</v>
          </cell>
          <cell r="E53">
            <v>448483.7</v>
          </cell>
          <cell r="F53">
            <v>38695</v>
          </cell>
          <cell r="G53">
            <v>38666</v>
          </cell>
        </row>
        <row r="54">
          <cell r="A54" t="str">
            <v>Graybar Electric Pflugerville TX</v>
          </cell>
          <cell r="B54" t="str">
            <v>2000168085</v>
          </cell>
          <cell r="C54" t="str">
            <v>5100118426</v>
          </cell>
          <cell r="D54">
            <v>49629.52</v>
          </cell>
          <cell r="E54">
            <v>448483.7</v>
          </cell>
          <cell r="F54">
            <v>38695</v>
          </cell>
          <cell r="G54">
            <v>38666</v>
          </cell>
        </row>
        <row r="55">
          <cell r="A55" t="str">
            <v>Graybar Electric Pflugerville TX</v>
          </cell>
          <cell r="B55" t="str">
            <v>2000168085</v>
          </cell>
          <cell r="C55" t="str">
            <v>5100118427</v>
          </cell>
          <cell r="D55">
            <v>40204</v>
          </cell>
          <cell r="E55">
            <v>448483.7</v>
          </cell>
          <cell r="F55">
            <v>38695</v>
          </cell>
          <cell r="G55">
            <v>38666</v>
          </cell>
        </row>
        <row r="56">
          <cell r="A56" t="str">
            <v>Graybar Electric Pflugerville TX</v>
          </cell>
          <cell r="B56" t="str">
            <v>2000168085</v>
          </cell>
          <cell r="C56" t="str">
            <v>5100118428</v>
          </cell>
          <cell r="D56">
            <v>49818</v>
          </cell>
          <cell r="E56">
            <v>448483.7</v>
          </cell>
          <cell r="F56">
            <v>38695</v>
          </cell>
          <cell r="G56">
            <v>38666</v>
          </cell>
        </row>
        <row r="57">
          <cell r="A57" t="str">
            <v>Graybar Electric Pflugerville TX</v>
          </cell>
          <cell r="B57" t="str">
            <v>2000168085</v>
          </cell>
          <cell r="C57" t="str">
            <v>5100118429</v>
          </cell>
          <cell r="D57">
            <v>37572.879999999997</v>
          </cell>
          <cell r="E57">
            <v>448483.7</v>
          </cell>
          <cell r="F57">
            <v>38695</v>
          </cell>
          <cell r="G57">
            <v>38666</v>
          </cell>
        </row>
        <row r="58">
          <cell r="A58" t="str">
            <v>Graybar Electric Pflugerville TX</v>
          </cell>
          <cell r="B58" t="str">
            <v>2000168085</v>
          </cell>
          <cell r="C58" t="str">
            <v>5100121212</v>
          </cell>
          <cell r="D58">
            <v>49910.720000000001</v>
          </cell>
          <cell r="E58">
            <v>448483.7</v>
          </cell>
          <cell r="F58">
            <v>38695</v>
          </cell>
          <cell r="G58">
            <v>38685</v>
          </cell>
        </row>
        <row r="59">
          <cell r="A59" t="str">
            <v>Graybar Electric Pflugerville TX</v>
          </cell>
          <cell r="B59" t="str">
            <v>2000168085</v>
          </cell>
          <cell r="C59" t="str">
            <v>5100121214</v>
          </cell>
          <cell r="D59">
            <v>49743.519999999997</v>
          </cell>
          <cell r="E59">
            <v>448483.7</v>
          </cell>
          <cell r="F59">
            <v>38695</v>
          </cell>
          <cell r="G59">
            <v>38685</v>
          </cell>
        </row>
        <row r="60">
          <cell r="A60" t="str">
            <v>Graybar Electric Pflugerville TX</v>
          </cell>
          <cell r="B60" t="str">
            <v>2000168085</v>
          </cell>
          <cell r="C60" t="str">
            <v>5100121215</v>
          </cell>
          <cell r="D60">
            <v>49810.400000000001</v>
          </cell>
          <cell r="E60">
            <v>448483.7</v>
          </cell>
          <cell r="F60">
            <v>38695</v>
          </cell>
          <cell r="G60">
            <v>38685</v>
          </cell>
        </row>
        <row r="61">
          <cell r="A61" t="str">
            <v>Graybar Electric Pflugerville TX</v>
          </cell>
          <cell r="B61" t="str">
            <v>2000170048</v>
          </cell>
          <cell r="C61" t="str">
            <v>5100126028</v>
          </cell>
          <cell r="D61">
            <v>51503.68</v>
          </cell>
          <cell r="E61">
            <v>56423.45</v>
          </cell>
          <cell r="F61">
            <v>38716</v>
          </cell>
          <cell r="G61">
            <v>38715</v>
          </cell>
        </row>
        <row r="62">
          <cell r="A62" t="str">
            <v>Hewitt Associates, LLC Chicago IL</v>
          </cell>
          <cell r="B62" t="str">
            <v>2000167994</v>
          </cell>
          <cell r="C62" t="str">
            <v>5100119789</v>
          </cell>
          <cell r="D62">
            <v>75115</v>
          </cell>
          <cell r="E62">
            <v>75115</v>
          </cell>
          <cell r="F62">
            <v>38694</v>
          </cell>
          <cell r="G62">
            <v>38674</v>
          </cell>
        </row>
        <row r="63">
          <cell r="A63" t="str">
            <v>Hix Green Inc Corpus Christi TX</v>
          </cell>
          <cell r="B63" t="str">
            <v>2000169204</v>
          </cell>
          <cell r="C63" t="str">
            <v>5100121454</v>
          </cell>
          <cell r="D63">
            <v>54096</v>
          </cell>
          <cell r="E63">
            <v>54096</v>
          </cell>
          <cell r="F63">
            <v>38707</v>
          </cell>
          <cell r="G63">
            <v>38687</v>
          </cell>
        </row>
        <row r="64">
          <cell r="A64" t="str">
            <v>Honeywell Dmc Services Inc Chicago IL</v>
          </cell>
          <cell r="B64" t="str">
            <v>2000167380</v>
          </cell>
          <cell r="C64" t="str">
            <v>5100118676</v>
          </cell>
          <cell r="D64">
            <v>27624.81</v>
          </cell>
          <cell r="E64">
            <v>27624.81</v>
          </cell>
          <cell r="F64">
            <v>38687</v>
          </cell>
          <cell r="G64">
            <v>38670</v>
          </cell>
        </row>
        <row r="65">
          <cell r="A65" t="str">
            <v>Honeywell Dmc Services Inc Chicago IL</v>
          </cell>
          <cell r="B65" t="str">
            <v>2000169021</v>
          </cell>
          <cell r="C65" t="str">
            <v>5100123673</v>
          </cell>
          <cell r="D65">
            <v>33223.919999999998</v>
          </cell>
          <cell r="E65">
            <v>33223.919999999998</v>
          </cell>
          <cell r="F65">
            <v>38705</v>
          </cell>
          <cell r="G65">
            <v>38698</v>
          </cell>
        </row>
        <row r="66">
          <cell r="A66" t="str">
            <v>Honeywell Industry Solutions Dallas TX</v>
          </cell>
          <cell r="B66" t="str">
            <v>2000168221</v>
          </cell>
          <cell r="C66" t="str">
            <v>5100117519</v>
          </cell>
          <cell r="D66">
            <v>72500</v>
          </cell>
          <cell r="E66">
            <v>72500</v>
          </cell>
          <cell r="F66">
            <v>38698</v>
          </cell>
          <cell r="G66">
            <v>38694</v>
          </cell>
        </row>
        <row r="67">
          <cell r="A67" t="str">
            <v>Hughes Supply, Inc. Dallas TX</v>
          </cell>
          <cell r="B67" t="str">
            <v>2000167661</v>
          </cell>
          <cell r="C67" t="str">
            <v>5100115194</v>
          </cell>
          <cell r="D67">
            <v>427742</v>
          </cell>
          <cell r="E67">
            <v>427742</v>
          </cell>
          <cell r="F67">
            <v>38692</v>
          </cell>
          <cell r="G67">
            <v>38688</v>
          </cell>
        </row>
        <row r="68">
          <cell r="A68" t="str">
            <v>Hughes Supply, Inc. Dallas TX</v>
          </cell>
          <cell r="B68" t="str">
            <v>2000168133</v>
          </cell>
          <cell r="C68" t="str">
            <v>5100119567</v>
          </cell>
          <cell r="D68">
            <v>30363</v>
          </cell>
          <cell r="E68">
            <v>46977</v>
          </cell>
          <cell r="F68">
            <v>38695</v>
          </cell>
          <cell r="G68">
            <v>38672</v>
          </cell>
        </row>
        <row r="69">
          <cell r="A69" t="str">
            <v>Hughes Supply, Inc. Dallas TX</v>
          </cell>
          <cell r="B69" t="str">
            <v>2000168744</v>
          </cell>
          <cell r="C69" t="str">
            <v>5100121260</v>
          </cell>
          <cell r="D69">
            <v>45802.35</v>
          </cell>
          <cell r="E69">
            <v>46735.07</v>
          </cell>
          <cell r="F69">
            <v>38702</v>
          </cell>
          <cell r="G69">
            <v>38685</v>
          </cell>
        </row>
        <row r="70">
          <cell r="A70" t="str">
            <v>Hughes Supply, Inc. Dallas TX</v>
          </cell>
          <cell r="B70" t="str">
            <v>2000169756</v>
          </cell>
          <cell r="C70" t="str">
            <v>5100123137</v>
          </cell>
          <cell r="D70">
            <v>35133.65</v>
          </cell>
          <cell r="E70">
            <v>75238.649999999994</v>
          </cell>
          <cell r="F70">
            <v>38715</v>
          </cell>
          <cell r="G70">
            <v>38694</v>
          </cell>
        </row>
        <row r="71">
          <cell r="A71" t="str">
            <v>Hughes Supply, Inc. Dallas TX</v>
          </cell>
          <cell r="B71" t="str">
            <v>2000169756</v>
          </cell>
          <cell r="C71" t="str">
            <v>5100123139</v>
          </cell>
          <cell r="D71">
            <v>40740</v>
          </cell>
          <cell r="E71">
            <v>75238.649999999994</v>
          </cell>
          <cell r="F71">
            <v>38715</v>
          </cell>
          <cell r="G71">
            <v>38694</v>
          </cell>
        </row>
        <row r="72">
          <cell r="A72" t="str">
            <v>Hughes Supply, Inc. Dallas TX</v>
          </cell>
          <cell r="B72" t="str">
            <v>2000170119</v>
          </cell>
          <cell r="C72" t="str">
            <v>5100123212</v>
          </cell>
          <cell r="D72">
            <v>31040</v>
          </cell>
          <cell r="E72">
            <v>134730.79999999999</v>
          </cell>
          <cell r="F72">
            <v>38716</v>
          </cell>
          <cell r="G72">
            <v>38694</v>
          </cell>
        </row>
        <row r="73">
          <cell r="A73" t="str">
            <v>Hughes Supply, Inc. Dallas TX</v>
          </cell>
          <cell r="B73" t="str">
            <v>2000170119</v>
          </cell>
          <cell r="C73" t="str">
            <v>5100123215</v>
          </cell>
          <cell r="D73">
            <v>37464</v>
          </cell>
          <cell r="E73">
            <v>134730.79999999999</v>
          </cell>
          <cell r="F73">
            <v>38716</v>
          </cell>
          <cell r="G73">
            <v>38694</v>
          </cell>
        </row>
        <row r="74">
          <cell r="A74" t="str">
            <v>Hughes Supply, Inc. Dallas TX</v>
          </cell>
          <cell r="B74" t="str">
            <v>2000170119</v>
          </cell>
          <cell r="C74" t="str">
            <v>5100123217</v>
          </cell>
          <cell r="D74">
            <v>34710</v>
          </cell>
          <cell r="E74">
            <v>134730.79999999999</v>
          </cell>
          <cell r="F74">
            <v>38716</v>
          </cell>
          <cell r="G74">
            <v>38694</v>
          </cell>
        </row>
        <row r="75">
          <cell r="A75" t="str">
            <v>InfraSource Underground PHILADELPHIA PA</v>
          </cell>
          <cell r="B75" t="str">
            <v>2000169197</v>
          </cell>
          <cell r="C75" t="str">
            <v>5100120166</v>
          </cell>
          <cell r="D75">
            <v>26003.38</v>
          </cell>
          <cell r="E75">
            <v>165650.4</v>
          </cell>
          <cell r="F75">
            <v>38709</v>
          </cell>
          <cell r="G75">
            <v>38708</v>
          </cell>
        </row>
        <row r="76">
          <cell r="A76" t="str">
            <v>InfraSource Underground PHILADELPHIA PA</v>
          </cell>
          <cell r="B76" t="str">
            <v>2000169197</v>
          </cell>
          <cell r="C76" t="str">
            <v>5100120168</v>
          </cell>
          <cell r="D76">
            <v>31110.39</v>
          </cell>
          <cell r="E76">
            <v>165650.4</v>
          </cell>
          <cell r="F76">
            <v>38709</v>
          </cell>
          <cell r="G76">
            <v>38708</v>
          </cell>
        </row>
        <row r="77">
          <cell r="A77" t="str">
            <v>InfraSource Underground PHILADELPHIA PA</v>
          </cell>
          <cell r="B77" t="str">
            <v>2000169197</v>
          </cell>
          <cell r="C77" t="str">
            <v>5100120174</v>
          </cell>
          <cell r="D77">
            <v>37106.449999999997</v>
          </cell>
          <cell r="E77">
            <v>165650.4</v>
          </cell>
          <cell r="F77">
            <v>38709</v>
          </cell>
          <cell r="G77">
            <v>38708</v>
          </cell>
        </row>
        <row r="78">
          <cell r="A78" t="str">
            <v>InfraSource Underground PHILADELPHIA PA</v>
          </cell>
          <cell r="B78" t="str">
            <v>2000169446</v>
          </cell>
          <cell r="C78" t="str">
            <v>5100120143</v>
          </cell>
          <cell r="D78">
            <v>64375.08</v>
          </cell>
          <cell r="E78">
            <v>295807.45</v>
          </cell>
          <cell r="F78">
            <v>38708</v>
          </cell>
          <cell r="G78">
            <v>38707</v>
          </cell>
        </row>
        <row r="79">
          <cell r="A79" t="str">
            <v>InfraSource Underground PHILADELPHIA PA</v>
          </cell>
          <cell r="B79" t="str">
            <v>2000169446</v>
          </cell>
          <cell r="C79" t="str">
            <v>5100120156</v>
          </cell>
          <cell r="D79">
            <v>27568.240000000002</v>
          </cell>
          <cell r="E79">
            <v>295807.45</v>
          </cell>
          <cell r="F79">
            <v>38708</v>
          </cell>
          <cell r="G79">
            <v>38707</v>
          </cell>
        </row>
        <row r="80">
          <cell r="A80" t="str">
            <v>InfraSource Underground PHILADELPHIA PA</v>
          </cell>
          <cell r="B80" t="str">
            <v>2000169446</v>
          </cell>
          <cell r="C80" t="str">
            <v>5100120163</v>
          </cell>
          <cell r="D80">
            <v>41357.93</v>
          </cell>
          <cell r="E80">
            <v>295807.45</v>
          </cell>
          <cell r="F80">
            <v>38708</v>
          </cell>
          <cell r="G80">
            <v>38707</v>
          </cell>
        </row>
        <row r="81">
          <cell r="A81" t="str">
            <v>InfraSource Underground PHILADELPHIA PA</v>
          </cell>
          <cell r="B81" t="str">
            <v>2000169446</v>
          </cell>
          <cell r="C81" t="str">
            <v>5100120165</v>
          </cell>
          <cell r="D81">
            <v>53329.31</v>
          </cell>
          <cell r="E81">
            <v>295807.45</v>
          </cell>
          <cell r="F81">
            <v>38708</v>
          </cell>
          <cell r="G81">
            <v>38707</v>
          </cell>
        </row>
        <row r="82">
          <cell r="A82" t="str">
            <v>Interaction Associates Inc. BOSTON MA</v>
          </cell>
          <cell r="B82" t="str">
            <v>2000170110</v>
          </cell>
          <cell r="C82" t="str">
            <v>5100125272</v>
          </cell>
          <cell r="D82">
            <v>57581.599999999999</v>
          </cell>
          <cell r="E82">
            <v>57581.599999999999</v>
          </cell>
          <cell r="F82">
            <v>38716</v>
          </cell>
          <cell r="G82">
            <v>38713</v>
          </cell>
        </row>
        <row r="83">
          <cell r="A83" t="str">
            <v>Itron, Inc. Dallas TX</v>
          </cell>
          <cell r="B83" t="str">
            <v>2000168068</v>
          </cell>
          <cell r="C83" t="str">
            <v>5100119729</v>
          </cell>
          <cell r="D83">
            <v>334100</v>
          </cell>
          <cell r="E83">
            <v>524470.36</v>
          </cell>
          <cell r="F83">
            <v>38695</v>
          </cell>
          <cell r="G83">
            <v>38673</v>
          </cell>
        </row>
        <row r="84">
          <cell r="A84" t="str">
            <v>Itron, Inc. Dallas TX</v>
          </cell>
          <cell r="B84" t="str">
            <v>2000168068</v>
          </cell>
          <cell r="C84" t="str">
            <v>5100119731</v>
          </cell>
          <cell r="D84">
            <v>190370.36</v>
          </cell>
          <cell r="E84">
            <v>524470.36</v>
          </cell>
          <cell r="F84">
            <v>38695</v>
          </cell>
          <cell r="G84">
            <v>38673</v>
          </cell>
        </row>
        <row r="85">
          <cell r="A85" t="str">
            <v>Itron, Inc. Dallas TX</v>
          </cell>
          <cell r="B85" t="str">
            <v>2000168675</v>
          </cell>
          <cell r="C85" t="str">
            <v>5100120680</v>
          </cell>
          <cell r="D85">
            <v>352767.86</v>
          </cell>
          <cell r="E85">
            <v>352767.86</v>
          </cell>
          <cell r="F85">
            <v>38702</v>
          </cell>
          <cell r="G85">
            <v>38687</v>
          </cell>
        </row>
        <row r="86">
          <cell r="A86" t="str">
            <v>Itron, Inc. Dallas TX</v>
          </cell>
          <cell r="B86" t="str">
            <v>2000170029</v>
          </cell>
          <cell r="C86" t="str">
            <v>5100122205</v>
          </cell>
          <cell r="D86">
            <v>814163</v>
          </cell>
          <cell r="E86">
            <v>814163</v>
          </cell>
          <cell r="F86">
            <v>38716</v>
          </cell>
          <cell r="G86">
            <v>38691</v>
          </cell>
        </row>
        <row r="87">
          <cell r="A87" t="str">
            <v>KBS Electrical Dist. Inc. Bryan TX</v>
          </cell>
          <cell r="B87" t="str">
            <v>2000168086</v>
          </cell>
          <cell r="C87" t="str">
            <v>5100119169</v>
          </cell>
          <cell r="D87">
            <v>43125</v>
          </cell>
          <cell r="E87">
            <v>265996.21999999997</v>
          </cell>
          <cell r="F87">
            <v>38695</v>
          </cell>
          <cell r="G87">
            <v>38671</v>
          </cell>
        </row>
        <row r="88">
          <cell r="A88" t="str">
            <v>KBS Electrical Dist. Inc. Bryan TX</v>
          </cell>
          <cell r="B88" t="str">
            <v>2000168086</v>
          </cell>
          <cell r="C88" t="str">
            <v>5100119179</v>
          </cell>
          <cell r="D88">
            <v>101485</v>
          </cell>
          <cell r="E88">
            <v>265996.21999999997</v>
          </cell>
          <cell r="F88">
            <v>38695</v>
          </cell>
          <cell r="G88">
            <v>38671</v>
          </cell>
        </row>
        <row r="89">
          <cell r="A89" t="str">
            <v>KBS Electrical Dist. Inc. Bryan TX</v>
          </cell>
          <cell r="B89" t="str">
            <v>2000168086</v>
          </cell>
          <cell r="C89" t="str">
            <v>5100119372</v>
          </cell>
          <cell r="D89">
            <v>26874.5</v>
          </cell>
          <cell r="E89">
            <v>265996.21999999997</v>
          </cell>
          <cell r="F89">
            <v>38695</v>
          </cell>
          <cell r="G89">
            <v>38672</v>
          </cell>
        </row>
        <row r="90">
          <cell r="A90" t="str">
            <v>KBS Electrical Dist. Inc. Bryan TX</v>
          </cell>
          <cell r="B90" t="str">
            <v>2000168086</v>
          </cell>
          <cell r="C90" t="str">
            <v>5100119373</v>
          </cell>
          <cell r="D90">
            <v>25799.52</v>
          </cell>
          <cell r="E90">
            <v>265996.21999999997</v>
          </cell>
          <cell r="F90">
            <v>38695</v>
          </cell>
          <cell r="G90">
            <v>38672</v>
          </cell>
        </row>
        <row r="91">
          <cell r="A91" t="str">
            <v>KBS Electrical Dist. Inc. Bryan TX</v>
          </cell>
          <cell r="B91" t="str">
            <v>2000168273</v>
          </cell>
          <cell r="C91" t="str">
            <v>5100119375</v>
          </cell>
          <cell r="D91">
            <v>29995</v>
          </cell>
          <cell r="E91">
            <v>46515</v>
          </cell>
          <cell r="F91">
            <v>38700</v>
          </cell>
          <cell r="G91">
            <v>38672</v>
          </cell>
        </row>
        <row r="92">
          <cell r="A92" t="str">
            <v>KBS Electrical Dist. Inc. Bryan TX</v>
          </cell>
          <cell r="B92" t="str">
            <v>2000170049</v>
          </cell>
          <cell r="C92" t="str">
            <v>5100122255</v>
          </cell>
          <cell r="D92">
            <v>26874.5</v>
          </cell>
          <cell r="E92">
            <v>78981.649999999994</v>
          </cell>
          <cell r="F92">
            <v>38716</v>
          </cell>
          <cell r="G92">
            <v>38691</v>
          </cell>
        </row>
        <row r="93">
          <cell r="A93" t="str">
            <v>Liebert Global Services CHICAGO IL</v>
          </cell>
          <cell r="B93" t="str">
            <v>2000168761</v>
          </cell>
          <cell r="C93" t="str">
            <v>5100120255</v>
          </cell>
          <cell r="D93">
            <v>50724.72</v>
          </cell>
          <cell r="E93">
            <v>46913</v>
          </cell>
          <cell r="F93">
            <v>38702</v>
          </cell>
          <cell r="G93">
            <v>38677</v>
          </cell>
        </row>
        <row r="94">
          <cell r="A94" t="str">
            <v>LogicaCMG, Inc. NEW YORK NY</v>
          </cell>
          <cell r="B94" t="str">
            <v>2000168597</v>
          </cell>
          <cell r="C94" t="str">
            <v>5100120044</v>
          </cell>
          <cell r="D94">
            <v>230179</v>
          </cell>
          <cell r="E94">
            <v>230179</v>
          </cell>
          <cell r="F94">
            <v>38701</v>
          </cell>
          <cell r="G94">
            <v>38693</v>
          </cell>
        </row>
        <row r="95">
          <cell r="A95" t="str">
            <v>Mastec North America Atlanta GA</v>
          </cell>
          <cell r="B95" t="str">
            <v>2000167503</v>
          </cell>
          <cell r="C95" t="str">
            <v>5100116907</v>
          </cell>
          <cell r="D95">
            <v>32964.57</v>
          </cell>
          <cell r="E95">
            <v>245592.5</v>
          </cell>
          <cell r="F95">
            <v>38688</v>
          </cell>
          <cell r="G95">
            <v>38658</v>
          </cell>
        </row>
        <row r="96">
          <cell r="A96" t="str">
            <v>Mastec North America Atlanta GA</v>
          </cell>
          <cell r="B96" t="str">
            <v>2000167503</v>
          </cell>
          <cell r="C96" t="str">
            <v>5100116913</v>
          </cell>
          <cell r="D96">
            <v>27574.799999999999</v>
          </cell>
          <cell r="E96">
            <v>245592.5</v>
          </cell>
          <cell r="F96">
            <v>38688</v>
          </cell>
          <cell r="G96">
            <v>38658</v>
          </cell>
        </row>
        <row r="97">
          <cell r="A97" t="str">
            <v>Mastec North America Atlanta GA</v>
          </cell>
          <cell r="B97" t="str">
            <v>2000167503</v>
          </cell>
          <cell r="C97" t="str">
            <v>5100116915</v>
          </cell>
          <cell r="D97">
            <v>72122.58</v>
          </cell>
          <cell r="E97">
            <v>245592.5</v>
          </cell>
          <cell r="F97">
            <v>38688</v>
          </cell>
          <cell r="G97">
            <v>38658</v>
          </cell>
        </row>
        <row r="98">
          <cell r="A98" t="str">
            <v>Mastec North America Atlanta GA</v>
          </cell>
          <cell r="B98" t="str">
            <v>2000170037</v>
          </cell>
          <cell r="C98" t="str">
            <v>5100121425</v>
          </cell>
          <cell r="D98">
            <v>49322.82</v>
          </cell>
          <cell r="E98">
            <v>237224.13</v>
          </cell>
          <cell r="F98">
            <v>38716</v>
          </cell>
          <cell r="G98">
            <v>38713</v>
          </cell>
        </row>
        <row r="99">
          <cell r="A99" t="str">
            <v>Mastec North America Atlanta GA</v>
          </cell>
          <cell r="B99" t="str">
            <v>2000170037</v>
          </cell>
          <cell r="C99" t="str">
            <v>5100121427</v>
          </cell>
          <cell r="D99">
            <v>25215.19</v>
          </cell>
          <cell r="E99">
            <v>237224.13</v>
          </cell>
          <cell r="F99">
            <v>38716</v>
          </cell>
          <cell r="G99">
            <v>38713</v>
          </cell>
        </row>
        <row r="100">
          <cell r="A100" t="str">
            <v>Mastec North America Atlanta GA</v>
          </cell>
          <cell r="B100" t="str">
            <v>2000170037</v>
          </cell>
          <cell r="C100" t="str">
            <v>5100121428</v>
          </cell>
          <cell r="D100">
            <v>41664.870000000003</v>
          </cell>
          <cell r="E100">
            <v>237224.13</v>
          </cell>
          <cell r="F100">
            <v>38716</v>
          </cell>
          <cell r="G100">
            <v>38713</v>
          </cell>
        </row>
        <row r="101">
          <cell r="A101" t="str">
            <v>Mastec North America Atlanta GA</v>
          </cell>
          <cell r="B101" t="str">
            <v>2000170037</v>
          </cell>
          <cell r="C101" t="str">
            <v>5100121433</v>
          </cell>
          <cell r="D101">
            <v>35983.160000000003</v>
          </cell>
          <cell r="E101">
            <v>237224.13</v>
          </cell>
          <cell r="F101">
            <v>38716</v>
          </cell>
          <cell r="G101">
            <v>38713</v>
          </cell>
        </row>
        <row r="102">
          <cell r="A102" t="str">
            <v>Mccoy Tree Surgery Co Oklahoma City OK</v>
          </cell>
          <cell r="B102" t="str">
            <v>2000167402</v>
          </cell>
          <cell r="C102" t="str">
            <v>5100116462</v>
          </cell>
          <cell r="D102">
            <v>83840.78</v>
          </cell>
          <cell r="E102">
            <v>83840.78</v>
          </cell>
          <cell r="F102">
            <v>38687</v>
          </cell>
          <cell r="G102">
            <v>38657</v>
          </cell>
        </row>
        <row r="103">
          <cell r="A103" t="str">
            <v>Mccoy Tree Surgery Co Oklahoma City OK</v>
          </cell>
          <cell r="B103" t="str">
            <v>2000167523</v>
          </cell>
          <cell r="C103" t="str">
            <v>5100114445</v>
          </cell>
          <cell r="D103">
            <v>54946.68</v>
          </cell>
          <cell r="E103">
            <v>54946.68</v>
          </cell>
          <cell r="F103">
            <v>38688</v>
          </cell>
          <cell r="G103">
            <v>38659</v>
          </cell>
        </row>
        <row r="104">
          <cell r="A104" t="str">
            <v>Mccoy Tree Surgery Co Oklahoma City OK</v>
          </cell>
          <cell r="B104" t="str">
            <v>2000168099</v>
          </cell>
          <cell r="C104" t="str">
            <v>5100118099</v>
          </cell>
          <cell r="D104">
            <v>83675.73</v>
          </cell>
          <cell r="E104">
            <v>84322.03</v>
          </cell>
          <cell r="F104">
            <v>38695</v>
          </cell>
          <cell r="G104">
            <v>38665</v>
          </cell>
        </row>
        <row r="105">
          <cell r="A105" t="str">
            <v>Mccoy Tree Surgery Co Oklahoma City OK</v>
          </cell>
          <cell r="B105" t="str">
            <v>2000168583</v>
          </cell>
          <cell r="C105" t="str">
            <v>5100118865</v>
          </cell>
          <cell r="D105">
            <v>85381.68</v>
          </cell>
          <cell r="E105">
            <v>85381.68</v>
          </cell>
          <cell r="F105">
            <v>38701</v>
          </cell>
          <cell r="G105">
            <v>38691</v>
          </cell>
        </row>
        <row r="106">
          <cell r="A106" t="str">
            <v>MEI Building Maintenance SAN ANTONIO TX</v>
          </cell>
          <cell r="B106" t="str">
            <v>2000169561</v>
          </cell>
          <cell r="C106" t="str">
            <v>5100121538</v>
          </cell>
          <cell r="D106">
            <v>47015.18</v>
          </cell>
          <cell r="E106">
            <v>64575.06</v>
          </cell>
          <cell r="F106">
            <v>38716</v>
          </cell>
          <cell r="G106">
            <v>38687</v>
          </cell>
        </row>
        <row r="107">
          <cell r="A107" t="str">
            <v>Merico Abatement Contractor, ILongview TX</v>
          </cell>
          <cell r="B107" t="str">
            <v>2000167984</v>
          </cell>
          <cell r="C107" t="str">
            <v>5100118350</v>
          </cell>
          <cell r="D107">
            <v>47805.599999999999</v>
          </cell>
          <cell r="E107">
            <v>47805.599999999999</v>
          </cell>
          <cell r="F107">
            <v>38694</v>
          </cell>
          <cell r="G107">
            <v>38693</v>
          </cell>
        </row>
        <row r="108">
          <cell r="A108" t="str">
            <v>Merico Abatement Contractor, ILongview TX</v>
          </cell>
          <cell r="B108" t="str">
            <v>2000168286</v>
          </cell>
          <cell r="C108" t="str">
            <v>5100118888</v>
          </cell>
          <cell r="D108">
            <v>37032.6</v>
          </cell>
          <cell r="E108">
            <v>37032.6</v>
          </cell>
          <cell r="F108">
            <v>38700</v>
          </cell>
          <cell r="G108">
            <v>38693</v>
          </cell>
        </row>
        <row r="109">
          <cell r="A109" t="str">
            <v>Merico Abatement Contractor, ILongview TX</v>
          </cell>
          <cell r="B109" t="str">
            <v>2000168721</v>
          </cell>
          <cell r="C109" t="str">
            <v>5100120795</v>
          </cell>
          <cell r="D109">
            <v>50884.6</v>
          </cell>
          <cell r="E109">
            <v>50884.6</v>
          </cell>
          <cell r="F109">
            <v>38702</v>
          </cell>
          <cell r="G109">
            <v>38701</v>
          </cell>
        </row>
        <row r="110">
          <cell r="A110" t="str">
            <v>Merico Abatement Contractor, ILongview TX</v>
          </cell>
          <cell r="B110" t="str">
            <v>2000169747</v>
          </cell>
          <cell r="C110" t="str">
            <v>5100121551</v>
          </cell>
          <cell r="D110">
            <v>28227.75</v>
          </cell>
          <cell r="E110">
            <v>28227.75</v>
          </cell>
          <cell r="F110">
            <v>38715</v>
          </cell>
          <cell r="G110">
            <v>38687</v>
          </cell>
        </row>
        <row r="111">
          <cell r="A111" t="str">
            <v>Merico Abatement Contractor, ILongview TX</v>
          </cell>
          <cell r="B111" t="str">
            <v>2000170091</v>
          </cell>
          <cell r="C111" t="str">
            <v>5100123183</v>
          </cell>
          <cell r="D111">
            <v>108120.63</v>
          </cell>
          <cell r="E111">
            <v>128749.33</v>
          </cell>
          <cell r="F111">
            <v>38716</v>
          </cell>
          <cell r="G111">
            <v>38694</v>
          </cell>
        </row>
        <row r="112">
          <cell r="A112" t="str">
            <v>NGK-LOCKE, INC. Atlanta GA</v>
          </cell>
          <cell r="B112" t="str">
            <v>2000168296</v>
          </cell>
          <cell r="C112" t="str">
            <v>5100120948</v>
          </cell>
          <cell r="D112">
            <v>95600</v>
          </cell>
          <cell r="E112">
            <v>95600</v>
          </cell>
          <cell r="F112">
            <v>38700</v>
          </cell>
          <cell r="G112">
            <v>38684</v>
          </cell>
        </row>
        <row r="113">
          <cell r="A113" t="str">
            <v>Nustats Partners LP Austin TX</v>
          </cell>
          <cell r="B113" t="str">
            <v>2000167639</v>
          </cell>
          <cell r="C113" t="str">
            <v>5100109671</v>
          </cell>
          <cell r="D113">
            <v>27003.68</v>
          </cell>
          <cell r="E113">
            <v>27003.68</v>
          </cell>
          <cell r="F113">
            <v>38692</v>
          </cell>
          <cell r="G113">
            <v>38691</v>
          </cell>
        </row>
        <row r="114">
          <cell r="A114" t="str">
            <v>Onyx Environmental Services, LChicago IL</v>
          </cell>
          <cell r="B114" t="str">
            <v>2000169849</v>
          </cell>
          <cell r="C114" t="str">
            <v>5100123633</v>
          </cell>
          <cell r="D114">
            <v>60550.239999999998</v>
          </cell>
          <cell r="E114">
            <v>86530.880000000005</v>
          </cell>
          <cell r="F114">
            <v>38714</v>
          </cell>
          <cell r="G114">
            <v>38698</v>
          </cell>
        </row>
        <row r="115">
          <cell r="A115" t="str">
            <v>Pacific Air Switch Corp Forest Grove OR</v>
          </cell>
          <cell r="B115" t="str">
            <v>2000168585</v>
          </cell>
          <cell r="C115" t="str">
            <v>5100121068</v>
          </cell>
          <cell r="D115">
            <v>28390</v>
          </cell>
          <cell r="E115">
            <v>29190</v>
          </cell>
          <cell r="F115">
            <v>38701</v>
          </cell>
          <cell r="G115">
            <v>38694</v>
          </cell>
        </row>
        <row r="116">
          <cell r="A116" t="str">
            <v>PBS&amp;J Dallas TX</v>
          </cell>
          <cell r="B116" t="str">
            <v>2000169822</v>
          </cell>
          <cell r="C116" t="str">
            <v>5100120862</v>
          </cell>
          <cell r="D116">
            <v>28767.94</v>
          </cell>
          <cell r="E116">
            <v>41277.07</v>
          </cell>
          <cell r="F116">
            <v>38714</v>
          </cell>
          <cell r="G116">
            <v>38684</v>
          </cell>
        </row>
        <row r="117">
          <cell r="A117" t="str">
            <v>Pike Electric Inc CHARLOTTE NC</v>
          </cell>
          <cell r="B117" t="str">
            <v>2000168580</v>
          </cell>
          <cell r="C117" t="str">
            <v>5100118866</v>
          </cell>
          <cell r="D117">
            <v>31606.27</v>
          </cell>
          <cell r="E117">
            <v>85362.75</v>
          </cell>
          <cell r="F117">
            <v>38701</v>
          </cell>
          <cell r="G117">
            <v>38699</v>
          </cell>
        </row>
        <row r="118">
          <cell r="A118" t="str">
            <v>Pike Electric Inc CHARLOTTE NC</v>
          </cell>
          <cell r="B118" t="str">
            <v>2000168580</v>
          </cell>
          <cell r="C118" t="str">
            <v>5100118867</v>
          </cell>
          <cell r="D118">
            <v>53756.480000000003</v>
          </cell>
          <cell r="E118">
            <v>85362.75</v>
          </cell>
          <cell r="F118">
            <v>38701</v>
          </cell>
          <cell r="G118">
            <v>38699</v>
          </cell>
        </row>
        <row r="119">
          <cell r="A119" t="str">
            <v>Powell Electrical Mfg Co Dallas TX</v>
          </cell>
          <cell r="B119" t="str">
            <v>2000169739</v>
          </cell>
          <cell r="C119" t="str">
            <v>5100124519</v>
          </cell>
          <cell r="D119">
            <v>346103</v>
          </cell>
          <cell r="E119">
            <v>346103</v>
          </cell>
          <cell r="F119">
            <v>38715</v>
          </cell>
          <cell r="G119">
            <v>38706</v>
          </cell>
        </row>
        <row r="120">
          <cell r="A120" t="str">
            <v>Power Costs Inc NORMAN OK</v>
          </cell>
          <cell r="B120" t="str">
            <v>2000168621</v>
          </cell>
          <cell r="C120" t="str">
            <v>5100124003</v>
          </cell>
          <cell r="D120">
            <v>110110.67</v>
          </cell>
          <cell r="E120">
            <v>123906.63</v>
          </cell>
          <cell r="F120">
            <v>38702</v>
          </cell>
          <cell r="G120">
            <v>38700</v>
          </cell>
        </row>
        <row r="121">
          <cell r="A121" t="str">
            <v>Power Measurement USA, Inc. Saanichton BC</v>
          </cell>
          <cell r="B121" t="str">
            <v>2000168238</v>
          </cell>
          <cell r="C121" t="str">
            <v>5100122572</v>
          </cell>
          <cell r="D121">
            <v>30635.17</v>
          </cell>
          <cell r="E121">
            <v>1835.17</v>
          </cell>
          <cell r="F121">
            <v>38698</v>
          </cell>
          <cell r="G121">
            <v>38693</v>
          </cell>
        </row>
        <row r="122">
          <cell r="A122" t="str">
            <v>Priester Supply Company, Inc. Dallas TX</v>
          </cell>
          <cell r="B122" t="str">
            <v>2000168279</v>
          </cell>
          <cell r="C122" t="str">
            <v>5100123830</v>
          </cell>
          <cell r="D122">
            <v>96080.58</v>
          </cell>
          <cell r="E122">
            <v>156783.45000000001</v>
          </cell>
          <cell r="F122">
            <v>38700</v>
          </cell>
          <cell r="G122">
            <v>38699</v>
          </cell>
        </row>
        <row r="123">
          <cell r="A123" t="str">
            <v>Priester Supply Company, Inc. Dallas TX</v>
          </cell>
          <cell r="B123" t="str">
            <v>2000169506</v>
          </cell>
          <cell r="C123" t="str">
            <v>5100123502</v>
          </cell>
          <cell r="D123">
            <v>26775</v>
          </cell>
          <cell r="E123">
            <v>27023</v>
          </cell>
          <cell r="F123">
            <v>38709</v>
          </cell>
          <cell r="G123">
            <v>38698</v>
          </cell>
        </row>
        <row r="124">
          <cell r="A124" t="str">
            <v>Priester Supply Company, Inc. Dallas TX</v>
          </cell>
          <cell r="B124" t="str">
            <v>2000170076</v>
          </cell>
          <cell r="C124" t="str">
            <v>5100122691</v>
          </cell>
          <cell r="D124">
            <v>26934.5</v>
          </cell>
          <cell r="E124">
            <v>54145.25</v>
          </cell>
          <cell r="F124">
            <v>38716</v>
          </cell>
          <cell r="G124">
            <v>38693</v>
          </cell>
        </row>
        <row r="125">
          <cell r="A125" t="str">
            <v>Priester Supply Company, Inc. Dallas TX</v>
          </cell>
          <cell r="B125" t="str">
            <v>2000170076</v>
          </cell>
          <cell r="C125" t="str">
            <v>5100122692</v>
          </cell>
          <cell r="D125">
            <v>26908.75</v>
          </cell>
          <cell r="E125">
            <v>54145.25</v>
          </cell>
          <cell r="F125">
            <v>38716</v>
          </cell>
          <cell r="G125">
            <v>38693</v>
          </cell>
        </row>
        <row r="126">
          <cell r="A126" t="str">
            <v>Priester-Mell &amp; Nicholson, IncSan Antonio TX</v>
          </cell>
          <cell r="B126" t="str">
            <v>2000168087</v>
          </cell>
          <cell r="C126" t="str">
            <v>5100119379</v>
          </cell>
          <cell r="D126">
            <v>63840</v>
          </cell>
          <cell r="E126">
            <v>234456.5</v>
          </cell>
          <cell r="F126">
            <v>38695</v>
          </cell>
          <cell r="G126">
            <v>38672</v>
          </cell>
        </row>
        <row r="127">
          <cell r="A127" t="str">
            <v>Priester-Mell &amp; Nicholson, IncSan Antonio TX</v>
          </cell>
          <cell r="B127" t="str">
            <v>2000168087</v>
          </cell>
          <cell r="C127" t="str">
            <v>5100119648</v>
          </cell>
          <cell r="D127">
            <v>49970</v>
          </cell>
          <cell r="E127">
            <v>234456.5</v>
          </cell>
          <cell r="F127">
            <v>38695</v>
          </cell>
          <cell r="G127">
            <v>38674</v>
          </cell>
        </row>
        <row r="128">
          <cell r="A128" t="str">
            <v>Priester-Mell &amp; Nicholson, IncSan Antonio TX</v>
          </cell>
          <cell r="B128" t="str">
            <v>2000168087</v>
          </cell>
          <cell r="C128" t="str">
            <v>5100121996</v>
          </cell>
          <cell r="D128">
            <v>27756</v>
          </cell>
          <cell r="E128">
            <v>234456.5</v>
          </cell>
          <cell r="F128">
            <v>38695</v>
          </cell>
          <cell r="G128">
            <v>38691</v>
          </cell>
        </row>
        <row r="129">
          <cell r="A129" t="str">
            <v>Priester-Mell &amp; Nicholson, IncSan Antonio TX</v>
          </cell>
          <cell r="B129" t="str">
            <v>2000168087</v>
          </cell>
          <cell r="C129" t="str">
            <v>5100121998</v>
          </cell>
          <cell r="D129">
            <v>59595</v>
          </cell>
          <cell r="E129">
            <v>234456.5</v>
          </cell>
          <cell r="F129">
            <v>38695</v>
          </cell>
          <cell r="G129">
            <v>38691</v>
          </cell>
        </row>
        <row r="130">
          <cell r="A130" t="str">
            <v>Priester-Mell &amp; Nicholson, IncSan Antonio TX</v>
          </cell>
          <cell r="B130" t="str">
            <v>2000168696</v>
          </cell>
          <cell r="C130" t="str">
            <v>5100123279</v>
          </cell>
          <cell r="D130">
            <v>77376</v>
          </cell>
          <cell r="E130">
            <v>129893.18</v>
          </cell>
          <cell r="F130">
            <v>38702</v>
          </cell>
          <cell r="G130">
            <v>38695</v>
          </cell>
        </row>
        <row r="131">
          <cell r="A131" t="str">
            <v>Priester-Mell &amp; Nicholson, IncSan Antonio TX</v>
          </cell>
          <cell r="B131" t="str">
            <v>2000169452</v>
          </cell>
          <cell r="C131" t="str">
            <v>5100120969</v>
          </cell>
          <cell r="D131">
            <v>28696.25</v>
          </cell>
          <cell r="E131">
            <v>83481.399999999994</v>
          </cell>
          <cell r="F131">
            <v>38708</v>
          </cell>
          <cell r="G131">
            <v>38684</v>
          </cell>
        </row>
        <row r="132">
          <cell r="A132" t="str">
            <v>PSC Industrial Outsourcing, InHouston TX</v>
          </cell>
          <cell r="B132" t="str">
            <v>2000167423</v>
          </cell>
          <cell r="C132" t="str">
            <v>5100118719</v>
          </cell>
          <cell r="D132">
            <v>43705</v>
          </cell>
          <cell r="E132">
            <v>43705</v>
          </cell>
          <cell r="F132">
            <v>38687</v>
          </cell>
          <cell r="G132">
            <v>38670</v>
          </cell>
        </row>
        <row r="133">
          <cell r="A133" t="str">
            <v>PSC Industrial Outsourcing, InHouston TX</v>
          </cell>
          <cell r="B133" t="str">
            <v>2000169058</v>
          </cell>
          <cell r="C133" t="str">
            <v>5100121536</v>
          </cell>
          <cell r="D133">
            <v>141991.25</v>
          </cell>
          <cell r="E133">
            <v>141991.25</v>
          </cell>
          <cell r="F133">
            <v>38706</v>
          </cell>
          <cell r="G133">
            <v>38687</v>
          </cell>
        </row>
        <row r="134">
          <cell r="A134" t="str">
            <v>Rail Bearing Service CorporatiPalatine IL</v>
          </cell>
          <cell r="B134" t="str">
            <v>2000169821</v>
          </cell>
          <cell r="C134" t="str">
            <v>5100123211</v>
          </cell>
          <cell r="D134">
            <v>37956</v>
          </cell>
          <cell r="E134">
            <v>37956</v>
          </cell>
          <cell r="F134">
            <v>38714</v>
          </cell>
          <cell r="G134">
            <v>38694</v>
          </cell>
        </row>
        <row r="135">
          <cell r="A135" t="str">
            <v>San Antonio Express News San Antonio TX</v>
          </cell>
          <cell r="B135" t="str">
            <v>2000167602</v>
          </cell>
          <cell r="C135" t="str">
            <v>5100121818</v>
          </cell>
          <cell r="D135">
            <v>47860.44</v>
          </cell>
          <cell r="E135">
            <v>47860.44</v>
          </cell>
          <cell r="F135">
            <v>38691</v>
          </cell>
          <cell r="G135">
            <v>38688</v>
          </cell>
        </row>
        <row r="136">
          <cell r="A136" t="str">
            <v>San Antonio Water System San Antonio TX</v>
          </cell>
          <cell r="B136" t="str">
            <v>2000169259</v>
          </cell>
          <cell r="C136" t="str">
            <v>5100121248</v>
          </cell>
          <cell r="D136">
            <v>141845.82999999999</v>
          </cell>
          <cell r="E136">
            <v>141917.32999999999</v>
          </cell>
          <cell r="F136">
            <v>38707</v>
          </cell>
          <cell r="G136">
            <v>38687</v>
          </cell>
        </row>
        <row r="137">
          <cell r="A137" t="str">
            <v>SBC Dallas TX</v>
          </cell>
          <cell r="B137" t="str">
            <v>2000168877</v>
          </cell>
          <cell r="C137" t="str">
            <v>5100125572</v>
          </cell>
          <cell r="D137">
            <v>49459.01</v>
          </cell>
          <cell r="E137">
            <v>74348.009999999995</v>
          </cell>
          <cell r="F137">
            <v>38713</v>
          </cell>
          <cell r="G137">
            <v>38709</v>
          </cell>
        </row>
        <row r="138">
          <cell r="A138" t="str">
            <v>SBC Southwestern Bell Saginaw MI</v>
          </cell>
          <cell r="B138" t="str">
            <v>2000168127</v>
          </cell>
          <cell r="C138" t="str">
            <v>5100117373</v>
          </cell>
          <cell r="D138">
            <v>65910</v>
          </cell>
          <cell r="E138">
            <v>65910</v>
          </cell>
          <cell r="F138">
            <v>38695</v>
          </cell>
          <cell r="G138">
            <v>38693</v>
          </cell>
        </row>
        <row r="139">
          <cell r="A139" t="str">
            <v>Schweitzer Engineering Lab., IPullman WA</v>
          </cell>
          <cell r="B139" t="str">
            <v>2000170075</v>
          </cell>
          <cell r="C139" t="str">
            <v>5100124504</v>
          </cell>
          <cell r="D139">
            <v>35507.199999999997</v>
          </cell>
          <cell r="E139">
            <v>43109.599999999999</v>
          </cell>
          <cell r="F139">
            <v>38716</v>
          </cell>
          <cell r="G139">
            <v>38705</v>
          </cell>
        </row>
        <row r="140">
          <cell r="A140" t="str">
            <v>Shannon-Monk Inc San Antonio</v>
          </cell>
          <cell r="B140" t="str">
            <v>2000168258</v>
          </cell>
          <cell r="C140" t="str">
            <v>5100118195</v>
          </cell>
          <cell r="D140">
            <v>56000</v>
          </cell>
          <cell r="E140">
            <v>56000</v>
          </cell>
          <cell r="F140">
            <v>38700</v>
          </cell>
          <cell r="G140">
            <v>38699</v>
          </cell>
        </row>
        <row r="141">
          <cell r="A141" t="str">
            <v>Shannon-Monk Inc San Antonio</v>
          </cell>
          <cell r="B141" t="str">
            <v>2000169594</v>
          </cell>
          <cell r="C141" t="str">
            <v>5100121591</v>
          </cell>
          <cell r="D141">
            <v>56000</v>
          </cell>
          <cell r="E141">
            <v>56000</v>
          </cell>
          <cell r="F141">
            <v>38716</v>
          </cell>
          <cell r="G141">
            <v>38687</v>
          </cell>
        </row>
        <row r="142">
          <cell r="A142" t="str">
            <v>Siemens Power Transmission &amp; Palatine IL</v>
          </cell>
          <cell r="B142" t="str">
            <v>2000168063</v>
          </cell>
          <cell r="C142" t="str">
            <v>5100119827</v>
          </cell>
          <cell r="D142">
            <v>26264</v>
          </cell>
          <cell r="E142">
            <v>27555.5</v>
          </cell>
          <cell r="F142">
            <v>38695</v>
          </cell>
          <cell r="G142">
            <v>38673</v>
          </cell>
        </row>
        <row r="143">
          <cell r="A143" t="str">
            <v>Siemens Power Transmission &amp; Palatine IL</v>
          </cell>
          <cell r="B143" t="str">
            <v>2000168266</v>
          </cell>
          <cell r="C143" t="str">
            <v>5100119350</v>
          </cell>
          <cell r="D143">
            <v>82196</v>
          </cell>
          <cell r="E143">
            <v>82196</v>
          </cell>
          <cell r="F143">
            <v>38700</v>
          </cell>
          <cell r="G143">
            <v>38672</v>
          </cell>
        </row>
        <row r="144">
          <cell r="A144" t="str">
            <v>Siemens Power Transmission &amp; Palatine IL</v>
          </cell>
          <cell r="B144" t="str">
            <v>2000168571</v>
          </cell>
          <cell r="C144" t="str">
            <v>5100123501</v>
          </cell>
          <cell r="D144">
            <v>30000</v>
          </cell>
          <cell r="E144">
            <v>30000</v>
          </cell>
          <cell r="F144">
            <v>38701</v>
          </cell>
          <cell r="G144">
            <v>38698</v>
          </cell>
        </row>
        <row r="145">
          <cell r="A145" t="str">
            <v>Siemens Power Transmission &amp; Palatine IL</v>
          </cell>
          <cell r="B145" t="str">
            <v>2000169234</v>
          </cell>
          <cell r="C145" t="str">
            <v>5100124518</v>
          </cell>
          <cell r="D145">
            <v>74822.5</v>
          </cell>
          <cell r="E145">
            <v>71000</v>
          </cell>
          <cell r="F145">
            <v>38707</v>
          </cell>
          <cell r="G145">
            <v>38706</v>
          </cell>
        </row>
        <row r="146">
          <cell r="A146" t="str">
            <v>SimplexGrinnell LP Palatine IL</v>
          </cell>
          <cell r="B146" t="str">
            <v>2000167547</v>
          </cell>
          <cell r="C146" t="str">
            <v>5100117374</v>
          </cell>
          <cell r="D146">
            <v>39154.400000000001</v>
          </cell>
          <cell r="E146">
            <v>39154.400000000001</v>
          </cell>
          <cell r="F146">
            <v>38688</v>
          </cell>
          <cell r="G146">
            <v>38660</v>
          </cell>
        </row>
        <row r="147">
          <cell r="A147" t="str">
            <v>STAPLES Business Advantage CHICAGO IL</v>
          </cell>
          <cell r="B147" t="str">
            <v>2000169536</v>
          </cell>
          <cell r="C147" t="str">
            <v>5100120471</v>
          </cell>
          <cell r="D147">
            <v>26826.13</v>
          </cell>
          <cell r="E147">
            <v>26418.59</v>
          </cell>
          <cell r="F147">
            <v>38709</v>
          </cell>
          <cell r="G147">
            <v>38684</v>
          </cell>
        </row>
        <row r="148">
          <cell r="A148" t="str">
            <v>Stoddard Construction Co San Antonio</v>
          </cell>
          <cell r="B148" t="str">
            <v>2000169177</v>
          </cell>
          <cell r="C148" t="str">
            <v>5100125218</v>
          </cell>
          <cell r="D148">
            <v>79653.8</v>
          </cell>
          <cell r="E148">
            <v>186148</v>
          </cell>
          <cell r="F148">
            <v>38709</v>
          </cell>
          <cell r="G148">
            <v>38708</v>
          </cell>
        </row>
        <row r="149">
          <cell r="A149" t="str">
            <v>Sun Enterprises Blanco TX</v>
          </cell>
          <cell r="B149" t="str">
            <v>2000167476</v>
          </cell>
          <cell r="C149" t="str">
            <v>5100121250</v>
          </cell>
          <cell r="D149">
            <v>37199.5</v>
          </cell>
          <cell r="E149">
            <v>44246.5</v>
          </cell>
          <cell r="F149">
            <v>38688</v>
          </cell>
          <cell r="G149">
            <v>38685</v>
          </cell>
        </row>
        <row r="150">
          <cell r="A150" t="str">
            <v>Survcon Inc. CHICAGO IL</v>
          </cell>
          <cell r="B150" t="str">
            <v>2000170118</v>
          </cell>
          <cell r="C150" t="str">
            <v>5100123163</v>
          </cell>
          <cell r="D150">
            <v>70984.12</v>
          </cell>
          <cell r="E150">
            <v>70984.12</v>
          </cell>
          <cell r="F150">
            <v>38716</v>
          </cell>
          <cell r="G150">
            <v>38694</v>
          </cell>
        </row>
        <row r="151">
          <cell r="A151" t="str">
            <v>T&amp;W Tire Oklahoma City OK</v>
          </cell>
          <cell r="B151" t="str">
            <v>2000167404</v>
          </cell>
          <cell r="C151" t="str">
            <v>5100121356</v>
          </cell>
          <cell r="D151">
            <v>29747.26</v>
          </cell>
          <cell r="E151">
            <v>29747.26</v>
          </cell>
          <cell r="F151">
            <v>38687</v>
          </cell>
          <cell r="G151">
            <v>38686</v>
          </cell>
        </row>
        <row r="152">
          <cell r="A152" t="str">
            <v>Techline Inc Dallas TX</v>
          </cell>
          <cell r="B152" t="str">
            <v>2000167996</v>
          </cell>
          <cell r="C152" t="str">
            <v>5100119111</v>
          </cell>
          <cell r="D152">
            <v>32775.68</v>
          </cell>
          <cell r="E152">
            <v>566314.01</v>
          </cell>
          <cell r="F152">
            <v>38694</v>
          </cell>
          <cell r="G152">
            <v>38671</v>
          </cell>
        </row>
        <row r="153">
          <cell r="A153" t="str">
            <v>Techline Inc Dallas TX</v>
          </cell>
          <cell r="B153" t="str">
            <v>2000167996</v>
          </cell>
          <cell r="C153" t="str">
            <v>5100119114</v>
          </cell>
          <cell r="D153">
            <v>93325.440000000002</v>
          </cell>
          <cell r="E153">
            <v>566314.01</v>
          </cell>
          <cell r="F153">
            <v>38694</v>
          </cell>
          <cell r="G153">
            <v>38671</v>
          </cell>
        </row>
        <row r="154">
          <cell r="A154" t="str">
            <v>Techline Inc Dallas TX</v>
          </cell>
          <cell r="B154" t="str">
            <v>2000167996</v>
          </cell>
          <cell r="C154" t="str">
            <v>5100119117</v>
          </cell>
          <cell r="D154">
            <v>93151.94</v>
          </cell>
          <cell r="E154">
            <v>566314.01</v>
          </cell>
          <cell r="F154">
            <v>38694</v>
          </cell>
          <cell r="G154">
            <v>38671</v>
          </cell>
        </row>
        <row r="155">
          <cell r="A155" t="str">
            <v>Techline Inc Dallas TX</v>
          </cell>
          <cell r="B155" t="str">
            <v>2000167996</v>
          </cell>
          <cell r="C155" t="str">
            <v>5100119856</v>
          </cell>
          <cell r="D155">
            <v>40700</v>
          </cell>
          <cell r="E155">
            <v>566314.01</v>
          </cell>
          <cell r="F155">
            <v>38694</v>
          </cell>
          <cell r="G155">
            <v>38673</v>
          </cell>
        </row>
        <row r="156">
          <cell r="A156" t="str">
            <v>Techline Inc Dallas TX</v>
          </cell>
          <cell r="B156" t="str">
            <v>2000168071</v>
          </cell>
          <cell r="C156" t="str">
            <v>5100122970</v>
          </cell>
          <cell r="D156">
            <v>79777</v>
          </cell>
          <cell r="E156">
            <v>79777</v>
          </cell>
          <cell r="F156">
            <v>38695</v>
          </cell>
          <cell r="G156">
            <v>38694</v>
          </cell>
        </row>
        <row r="157">
          <cell r="A157" t="str">
            <v>Techline Inc Dallas TX</v>
          </cell>
          <cell r="B157" t="str">
            <v>2000168573</v>
          </cell>
          <cell r="C157" t="str">
            <v>5100121874</v>
          </cell>
          <cell r="D157">
            <v>61169.95</v>
          </cell>
          <cell r="E157">
            <v>80358.44</v>
          </cell>
          <cell r="F157">
            <v>38701</v>
          </cell>
          <cell r="G157">
            <v>38688</v>
          </cell>
        </row>
        <row r="158">
          <cell r="A158" t="str">
            <v>Techline Inc Dallas TX</v>
          </cell>
          <cell r="B158" t="str">
            <v>2000169238</v>
          </cell>
          <cell r="C158" t="str">
            <v>5100121060</v>
          </cell>
          <cell r="D158">
            <v>65220.47</v>
          </cell>
          <cell r="E158">
            <v>75599.55</v>
          </cell>
          <cell r="F158">
            <v>38707</v>
          </cell>
          <cell r="G158">
            <v>38684</v>
          </cell>
        </row>
        <row r="159">
          <cell r="A159" t="str">
            <v>Techline Inc Dallas TX</v>
          </cell>
          <cell r="B159" t="str">
            <v>2000169444</v>
          </cell>
          <cell r="C159" t="str">
            <v>5100120691</v>
          </cell>
          <cell r="D159">
            <v>55258.06</v>
          </cell>
          <cell r="E159">
            <v>68673.09</v>
          </cell>
          <cell r="F159">
            <v>38708</v>
          </cell>
          <cell r="G159">
            <v>38686</v>
          </cell>
        </row>
        <row r="160">
          <cell r="A160" t="str">
            <v>Techline Inc Dallas TX</v>
          </cell>
          <cell r="B160" t="str">
            <v>2000169731</v>
          </cell>
          <cell r="C160" t="str">
            <v>5100122299</v>
          </cell>
          <cell r="D160">
            <v>29120</v>
          </cell>
          <cell r="E160">
            <v>323071.68</v>
          </cell>
          <cell r="F160">
            <v>38715</v>
          </cell>
          <cell r="G160">
            <v>38692</v>
          </cell>
        </row>
        <row r="161">
          <cell r="A161" t="str">
            <v>Techline Inc Dallas TX</v>
          </cell>
          <cell r="B161" t="str">
            <v>2000169731</v>
          </cell>
          <cell r="C161" t="str">
            <v>5100122601</v>
          </cell>
          <cell r="D161">
            <v>34944</v>
          </cell>
          <cell r="E161">
            <v>323071.68</v>
          </cell>
          <cell r="F161">
            <v>38715</v>
          </cell>
          <cell r="G161">
            <v>38692</v>
          </cell>
        </row>
        <row r="162">
          <cell r="A162" t="str">
            <v>Techline Inc Dallas TX</v>
          </cell>
          <cell r="B162" t="str">
            <v>2000169731</v>
          </cell>
          <cell r="C162" t="str">
            <v>5100122606</v>
          </cell>
          <cell r="D162">
            <v>34944</v>
          </cell>
          <cell r="E162">
            <v>323071.68</v>
          </cell>
          <cell r="F162">
            <v>38715</v>
          </cell>
          <cell r="G162">
            <v>38692</v>
          </cell>
        </row>
        <row r="163">
          <cell r="A163" t="str">
            <v>Techline Inc Dallas TX</v>
          </cell>
          <cell r="B163" t="str">
            <v>2000169731</v>
          </cell>
          <cell r="C163" t="str">
            <v>5100122608</v>
          </cell>
          <cell r="D163">
            <v>34944</v>
          </cell>
          <cell r="E163">
            <v>323071.68</v>
          </cell>
          <cell r="F163">
            <v>38715</v>
          </cell>
          <cell r="G163">
            <v>38692</v>
          </cell>
        </row>
        <row r="164">
          <cell r="A164" t="str">
            <v>Techline Inc Dallas TX</v>
          </cell>
          <cell r="B164" t="str">
            <v>2000169731</v>
          </cell>
          <cell r="C164" t="str">
            <v>5100122648</v>
          </cell>
          <cell r="D164">
            <v>46025.75</v>
          </cell>
          <cell r="E164">
            <v>323071.68</v>
          </cell>
          <cell r="F164">
            <v>38715</v>
          </cell>
          <cell r="G164">
            <v>38692</v>
          </cell>
        </row>
        <row r="165">
          <cell r="A165" t="str">
            <v>Terasen Utility Services Milwaukee WI</v>
          </cell>
          <cell r="B165" t="str">
            <v>2000168054</v>
          </cell>
          <cell r="C165" t="str">
            <v>5100118282</v>
          </cell>
          <cell r="D165">
            <v>74728.86</v>
          </cell>
          <cell r="E165">
            <v>74728.86</v>
          </cell>
          <cell r="F165">
            <v>38695</v>
          </cell>
          <cell r="G165">
            <v>38666</v>
          </cell>
        </row>
        <row r="166">
          <cell r="A166" t="str">
            <v>Texas Electric Cooperatives, IDallas TX</v>
          </cell>
          <cell r="B166" t="str">
            <v>2000168103</v>
          </cell>
          <cell r="C166" t="str">
            <v>5100118919</v>
          </cell>
          <cell r="D166">
            <v>30685.9</v>
          </cell>
          <cell r="E166">
            <v>94166.8</v>
          </cell>
          <cell r="F166">
            <v>38695</v>
          </cell>
          <cell r="G166">
            <v>38670</v>
          </cell>
        </row>
        <row r="167">
          <cell r="A167" t="str">
            <v>Texas Meter &amp; Device Waco TX</v>
          </cell>
          <cell r="B167" t="str">
            <v>2000168034</v>
          </cell>
          <cell r="C167" t="str">
            <v>5100120217</v>
          </cell>
          <cell r="D167">
            <v>310141.44</v>
          </cell>
          <cell r="E167">
            <v>310141.44</v>
          </cell>
          <cell r="F167">
            <v>38695</v>
          </cell>
          <cell r="G167">
            <v>38677</v>
          </cell>
        </row>
        <row r="168">
          <cell r="A168" t="str">
            <v>Texas Meter &amp; Device Waco TX</v>
          </cell>
          <cell r="B168" t="str">
            <v>2000169170</v>
          </cell>
          <cell r="C168" t="str">
            <v>5100122461</v>
          </cell>
          <cell r="D168">
            <v>115585.12</v>
          </cell>
          <cell r="E168">
            <v>115585.12</v>
          </cell>
          <cell r="F168">
            <v>38709</v>
          </cell>
          <cell r="G168">
            <v>38692</v>
          </cell>
        </row>
        <row r="169">
          <cell r="A169" t="str">
            <v>Texas Meter &amp; Device Waco TX</v>
          </cell>
          <cell r="B169" t="str">
            <v>2000169723</v>
          </cell>
          <cell r="C169" t="str">
            <v>5100122459</v>
          </cell>
          <cell r="D169">
            <v>85248</v>
          </cell>
          <cell r="E169">
            <v>85248</v>
          </cell>
          <cell r="F169">
            <v>38715</v>
          </cell>
          <cell r="G169">
            <v>38692</v>
          </cell>
        </row>
        <row r="170">
          <cell r="A170" t="str">
            <v>The Concours Group Kingwood TX</v>
          </cell>
          <cell r="B170" t="str">
            <v>2000167377</v>
          </cell>
          <cell r="C170" t="str">
            <v>5100118278</v>
          </cell>
          <cell r="D170">
            <v>32500</v>
          </cell>
          <cell r="E170">
            <v>32500</v>
          </cell>
          <cell r="F170">
            <v>38687</v>
          </cell>
          <cell r="G170">
            <v>38666</v>
          </cell>
        </row>
        <row r="171">
          <cell r="A171" t="str">
            <v>The Concours Group Kingwood TX</v>
          </cell>
          <cell r="B171" t="str">
            <v>2000167495</v>
          </cell>
          <cell r="C171" t="str">
            <v>5100118527</v>
          </cell>
          <cell r="D171">
            <v>100930.86</v>
          </cell>
          <cell r="E171">
            <v>100930.86</v>
          </cell>
          <cell r="F171">
            <v>38688</v>
          </cell>
          <cell r="G171">
            <v>38666</v>
          </cell>
        </row>
        <row r="172">
          <cell r="A172" t="str">
            <v>The L.E. Myers Co. Chicago IL</v>
          </cell>
          <cell r="B172" t="str">
            <v>2000167546</v>
          </cell>
          <cell r="C172" t="str">
            <v>5100117074</v>
          </cell>
          <cell r="D172">
            <v>122760.9</v>
          </cell>
          <cell r="E172">
            <v>368094.24</v>
          </cell>
          <cell r="F172">
            <v>38688</v>
          </cell>
          <cell r="G172">
            <v>38659</v>
          </cell>
        </row>
        <row r="173">
          <cell r="A173" t="str">
            <v>The L.E. Myers Co. Chicago IL</v>
          </cell>
          <cell r="B173" t="str">
            <v>2000167546</v>
          </cell>
          <cell r="C173" t="str">
            <v>5100117383</v>
          </cell>
          <cell r="D173">
            <v>108799.65</v>
          </cell>
          <cell r="E173">
            <v>368094.24</v>
          </cell>
          <cell r="F173">
            <v>38688</v>
          </cell>
          <cell r="G173">
            <v>38660</v>
          </cell>
        </row>
        <row r="174">
          <cell r="A174" t="str">
            <v>The L.E. Myers Co. Chicago IL</v>
          </cell>
          <cell r="B174" t="str">
            <v>2000167546</v>
          </cell>
          <cell r="C174" t="str">
            <v>5100117385</v>
          </cell>
          <cell r="D174">
            <v>129017.92</v>
          </cell>
          <cell r="E174">
            <v>368094.24</v>
          </cell>
          <cell r="F174">
            <v>38688</v>
          </cell>
          <cell r="G174">
            <v>38660</v>
          </cell>
        </row>
        <row r="175">
          <cell r="A175" t="str">
            <v>The L.E. Myers Co. Chicago IL</v>
          </cell>
          <cell r="B175" t="str">
            <v>2000167879</v>
          </cell>
          <cell r="C175" t="str">
            <v>5100117868</v>
          </cell>
          <cell r="D175">
            <v>189238.07</v>
          </cell>
          <cell r="E175">
            <v>189238.07</v>
          </cell>
          <cell r="F175">
            <v>38693</v>
          </cell>
          <cell r="G175">
            <v>38664</v>
          </cell>
        </row>
        <row r="176">
          <cell r="A176" t="str">
            <v>The L.E. Myers Co. Chicago IL</v>
          </cell>
          <cell r="B176" t="str">
            <v>2000170104</v>
          </cell>
          <cell r="C176" t="str">
            <v>5100122056</v>
          </cell>
          <cell r="D176">
            <v>507735.61</v>
          </cell>
          <cell r="E176">
            <v>517557.82</v>
          </cell>
          <cell r="F176">
            <v>38716</v>
          </cell>
          <cell r="G176">
            <v>38691</v>
          </cell>
        </row>
        <row r="177">
          <cell r="A177" t="str">
            <v>Thermal Engineering InternatioPITTSBURGH PA</v>
          </cell>
          <cell r="B177" t="str">
            <v>2000167634</v>
          </cell>
          <cell r="C177" t="str">
            <v>5100113464</v>
          </cell>
          <cell r="D177">
            <v>54438</v>
          </cell>
          <cell r="E177">
            <v>54438</v>
          </cell>
          <cell r="F177">
            <v>38691</v>
          </cell>
          <cell r="G177">
            <v>38687</v>
          </cell>
        </row>
        <row r="178">
          <cell r="A178" t="str">
            <v>Thomas &amp; Betts Corp. CHICAGO IL</v>
          </cell>
          <cell r="B178" t="str">
            <v>2000167385</v>
          </cell>
          <cell r="C178" t="str">
            <v>5100118327</v>
          </cell>
          <cell r="D178">
            <v>1089668</v>
          </cell>
          <cell r="E178">
            <v>1089668</v>
          </cell>
          <cell r="F178">
            <v>38687</v>
          </cell>
          <cell r="G178">
            <v>38665</v>
          </cell>
        </row>
        <row r="179">
          <cell r="A179" t="str">
            <v>Trac-Work Inc Ennis TX</v>
          </cell>
          <cell r="B179" t="str">
            <v>2000167391</v>
          </cell>
          <cell r="C179" t="str">
            <v>5100121220</v>
          </cell>
          <cell r="D179">
            <v>42364.66</v>
          </cell>
          <cell r="E179">
            <v>42364.66</v>
          </cell>
          <cell r="F179">
            <v>38687</v>
          </cell>
          <cell r="G179">
            <v>38685</v>
          </cell>
        </row>
        <row r="180">
          <cell r="A180" t="str">
            <v>TUI Consulting Tacoma WA</v>
          </cell>
          <cell r="B180" t="str">
            <v>2000167962</v>
          </cell>
          <cell r="C180" t="str">
            <v>5100117394</v>
          </cell>
          <cell r="D180">
            <v>99660</v>
          </cell>
          <cell r="E180">
            <v>99660</v>
          </cell>
          <cell r="F180">
            <v>38694</v>
          </cell>
          <cell r="G180">
            <v>38692</v>
          </cell>
        </row>
        <row r="181">
          <cell r="A181" t="str">
            <v>USC Consulting Group LLC TAMPA FL</v>
          </cell>
          <cell r="B181" t="str">
            <v>2000168062</v>
          </cell>
          <cell r="C181" t="str">
            <v>5100118496</v>
          </cell>
          <cell r="D181">
            <v>25000</v>
          </cell>
          <cell r="E181">
            <v>25000</v>
          </cell>
          <cell r="F181">
            <v>38695</v>
          </cell>
          <cell r="G181">
            <v>38667</v>
          </cell>
        </row>
        <row r="182">
          <cell r="A182" t="str">
            <v>USC Consulting Group LLC TAMPA FL</v>
          </cell>
          <cell r="B182" t="str">
            <v>2000169016</v>
          </cell>
          <cell r="C182" t="str">
            <v>5100121202</v>
          </cell>
          <cell r="D182">
            <v>25000</v>
          </cell>
          <cell r="E182">
            <v>25000</v>
          </cell>
          <cell r="F182">
            <v>38705</v>
          </cell>
          <cell r="G182">
            <v>38687</v>
          </cell>
        </row>
        <row r="183">
          <cell r="A183" t="str">
            <v>USC Consulting Group LLC TAMPA FL</v>
          </cell>
          <cell r="B183" t="str">
            <v>2000169189</v>
          </cell>
          <cell r="C183" t="str">
            <v>5100121453</v>
          </cell>
          <cell r="D183">
            <v>25000</v>
          </cell>
          <cell r="E183">
            <v>27919.41</v>
          </cell>
          <cell r="F183">
            <v>38709</v>
          </cell>
          <cell r="G183">
            <v>38687</v>
          </cell>
        </row>
        <row r="184">
          <cell r="A184" t="str">
            <v>USC Consulting Group LLC TAMPA FL</v>
          </cell>
          <cell r="B184" t="str">
            <v>2000170020</v>
          </cell>
          <cell r="C184" t="str">
            <v>5100122386</v>
          </cell>
          <cell r="D184">
            <v>25000</v>
          </cell>
          <cell r="E184">
            <v>25000</v>
          </cell>
          <cell r="F184">
            <v>38716</v>
          </cell>
          <cell r="G184">
            <v>38692</v>
          </cell>
        </row>
        <row r="185">
          <cell r="A185" t="str">
            <v>Utilx Cincinnatti OH</v>
          </cell>
          <cell r="B185" t="str">
            <v>2000167858</v>
          </cell>
          <cell r="C185" t="str">
            <v>5100117916</v>
          </cell>
          <cell r="D185">
            <v>37321.5</v>
          </cell>
          <cell r="E185">
            <v>42375.9</v>
          </cell>
          <cell r="F185">
            <v>38693</v>
          </cell>
          <cell r="G185">
            <v>38664</v>
          </cell>
        </row>
        <row r="186">
          <cell r="A186" t="str">
            <v>Utilx Cincinnatti OH</v>
          </cell>
          <cell r="B186" t="str">
            <v>2000168271</v>
          </cell>
          <cell r="C186" t="str">
            <v>5100119314</v>
          </cell>
          <cell r="D186">
            <v>55389.64</v>
          </cell>
          <cell r="E186">
            <v>66725.279999999999</v>
          </cell>
          <cell r="F186">
            <v>38700</v>
          </cell>
          <cell r="G186">
            <v>38671</v>
          </cell>
        </row>
        <row r="187">
          <cell r="A187" t="str">
            <v>Utilx Cincinnatti OH</v>
          </cell>
          <cell r="B187" t="str">
            <v>2000169244</v>
          </cell>
          <cell r="C187" t="str">
            <v>5100120344</v>
          </cell>
          <cell r="D187">
            <v>48499.01</v>
          </cell>
          <cell r="E187">
            <v>52542.53</v>
          </cell>
          <cell r="F187">
            <v>38707</v>
          </cell>
          <cell r="G187">
            <v>38677</v>
          </cell>
        </row>
        <row r="188">
          <cell r="A188" t="str">
            <v>Utilx Cincinnatti OH</v>
          </cell>
          <cell r="B188" t="str">
            <v>2000170045</v>
          </cell>
          <cell r="C188" t="str">
            <v>5100121599</v>
          </cell>
          <cell r="D188">
            <v>57061.78</v>
          </cell>
          <cell r="E188">
            <v>61105.3</v>
          </cell>
          <cell r="F188">
            <v>38716</v>
          </cell>
          <cell r="G188">
            <v>38687</v>
          </cell>
        </row>
        <row r="189">
          <cell r="A189" t="str">
            <v>Valmont-Newmark ATLANTA GA</v>
          </cell>
          <cell r="B189" t="str">
            <v>2000167508</v>
          </cell>
          <cell r="C189" t="str">
            <v>5100118445</v>
          </cell>
          <cell r="D189">
            <v>242938</v>
          </cell>
          <cell r="E189">
            <v>242938</v>
          </cell>
          <cell r="F189">
            <v>38688</v>
          </cell>
          <cell r="G189">
            <v>38666</v>
          </cell>
        </row>
        <row r="190">
          <cell r="A190" t="str">
            <v>WABASH NATIONAL TRAILER CENTERCHICAGO IL</v>
          </cell>
          <cell r="B190" t="str">
            <v>2000170116</v>
          </cell>
          <cell r="C190" t="str">
            <v>5100121864</v>
          </cell>
          <cell r="D190">
            <v>26013</v>
          </cell>
          <cell r="E190">
            <v>26013</v>
          </cell>
          <cell r="F190">
            <v>38716</v>
          </cell>
          <cell r="G190">
            <v>38688</v>
          </cell>
        </row>
        <row r="191">
          <cell r="A191" t="str">
            <v>Wesco Distribution Inc San Antonio TX</v>
          </cell>
          <cell r="B191" t="str">
            <v>2000168019</v>
          </cell>
          <cell r="C191" t="str">
            <v>5100120997</v>
          </cell>
          <cell r="D191">
            <v>35797</v>
          </cell>
          <cell r="E191">
            <v>76830.03</v>
          </cell>
          <cell r="F191">
            <v>38695</v>
          </cell>
          <cell r="G191">
            <v>38684</v>
          </cell>
        </row>
        <row r="192">
          <cell r="A192" t="str">
            <v>Wesco Distribution Inc San Antonio TX</v>
          </cell>
          <cell r="B192" t="str">
            <v>2000168625</v>
          </cell>
          <cell r="C192" t="str">
            <v>5100124114</v>
          </cell>
          <cell r="D192">
            <v>33504</v>
          </cell>
          <cell r="E192">
            <v>90759.8</v>
          </cell>
          <cell r="F192">
            <v>38702</v>
          </cell>
          <cell r="G192">
            <v>38701</v>
          </cell>
        </row>
        <row r="193">
          <cell r="A193" t="str">
            <v>Wesco Distribution Inc San Antonio TX</v>
          </cell>
          <cell r="B193" t="str">
            <v>2000169563</v>
          </cell>
          <cell r="C193" t="str">
            <v>5100123197</v>
          </cell>
          <cell r="D193">
            <v>70388.679999999993</v>
          </cell>
          <cell r="E193">
            <v>85837.61</v>
          </cell>
          <cell r="F193">
            <v>38716</v>
          </cell>
          <cell r="G193">
            <v>38694</v>
          </cell>
        </row>
        <row r="194">
          <cell r="A194" t="str">
            <v>Zachry Construction Corp San Antonio TX</v>
          </cell>
          <cell r="B194" t="str">
            <v>2000168075</v>
          </cell>
          <cell r="C194" t="str">
            <v>5100118431</v>
          </cell>
          <cell r="D194">
            <v>33563.17</v>
          </cell>
          <cell r="E194">
            <v>455458.67</v>
          </cell>
          <cell r="F194">
            <v>38695</v>
          </cell>
          <cell r="G194">
            <v>38688</v>
          </cell>
        </row>
        <row r="195">
          <cell r="A195" t="str">
            <v>Zachry Construction Corp San Antonio TX</v>
          </cell>
          <cell r="B195" t="str">
            <v>2000168075</v>
          </cell>
          <cell r="C195" t="str">
            <v>5100118433</v>
          </cell>
          <cell r="D195">
            <v>88210.59</v>
          </cell>
          <cell r="E195">
            <v>455458.67</v>
          </cell>
          <cell r="F195">
            <v>38695</v>
          </cell>
          <cell r="G195">
            <v>38677</v>
          </cell>
        </row>
        <row r="196">
          <cell r="A196" t="str">
            <v>Zachry Construction Corp San Antonio TX</v>
          </cell>
          <cell r="B196" t="str">
            <v>2000168075</v>
          </cell>
          <cell r="C196" t="str">
            <v>5100118436</v>
          </cell>
          <cell r="D196">
            <v>81617.64</v>
          </cell>
          <cell r="E196">
            <v>455458.67</v>
          </cell>
          <cell r="F196">
            <v>38695</v>
          </cell>
          <cell r="G196">
            <v>38666</v>
          </cell>
        </row>
        <row r="197">
          <cell r="A197" t="str">
            <v>Zachry Construction Corp San Antonio TX</v>
          </cell>
          <cell r="B197" t="str">
            <v>2000168075</v>
          </cell>
          <cell r="C197" t="str">
            <v>5100118441</v>
          </cell>
          <cell r="D197">
            <v>97427.25</v>
          </cell>
          <cell r="E197">
            <v>455458.67</v>
          </cell>
          <cell r="F197">
            <v>38695</v>
          </cell>
          <cell r="G197">
            <v>38688</v>
          </cell>
        </row>
        <row r="198">
          <cell r="A198" t="str">
            <v>Zachry Construction Corp San Antonio TX</v>
          </cell>
          <cell r="B198" t="str">
            <v>2000168075</v>
          </cell>
          <cell r="C198" t="str">
            <v>5100118446</v>
          </cell>
          <cell r="D198">
            <v>73780</v>
          </cell>
          <cell r="E198">
            <v>455458.67</v>
          </cell>
          <cell r="F198">
            <v>38695</v>
          </cell>
          <cell r="G198">
            <v>38688</v>
          </cell>
        </row>
      </sheetData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ions"/>
      <sheetName val="BalanceSheet-Final"/>
      <sheetName val="BS Wksht"/>
      <sheetName val="IncStmt-Final"/>
      <sheetName val="IncStmt Wksht Comparison"/>
      <sheetName val="IncStmt Wksht B"/>
      <sheetName val="Statistics-Final"/>
      <sheetName val="Stats Wksht"/>
      <sheetName val="Stats GenMix Wksh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"/>
      <sheetName val="Forecasted Data"/>
      <sheetName val="FRCST-P-Month Data"/>
      <sheetName val="FRCST-Accounts Receivable"/>
      <sheetName val="FRCST-Nuc&amp;NonNucMat&amp;AccPay"/>
      <sheetName val="FRCST-Inflation Rate (FY 200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CASH FLOW DATA REQUEST  -  FIGURES IN THOUSANDS OF DOLLARS</v>
          </cell>
        </row>
        <row r="3">
          <cell r="B3" t="str">
            <v>BALANCE</v>
          </cell>
          <cell r="E3" t="str">
            <v>|</v>
          </cell>
          <cell r="F3" t="str">
            <v>BALANCE</v>
          </cell>
          <cell r="I3" t="str">
            <v>|</v>
          </cell>
          <cell r="J3" t="str">
            <v>TOTAL</v>
          </cell>
        </row>
        <row r="4">
          <cell r="B4" t="str">
            <v>NUCLEAR</v>
          </cell>
          <cell r="E4" t="str">
            <v>|</v>
          </cell>
          <cell r="F4" t="str">
            <v>NON-NUCLEAR</v>
          </cell>
          <cell r="I4" t="str">
            <v>|</v>
          </cell>
          <cell r="J4" t="str">
            <v>BALANCE</v>
          </cell>
        </row>
        <row r="5">
          <cell r="B5" t="str">
            <v>MATERIALS</v>
          </cell>
          <cell r="C5" t="str">
            <v>CHANGE FROM</v>
          </cell>
          <cell r="E5" t="str">
            <v>|</v>
          </cell>
          <cell r="F5" t="str">
            <v>MATERIALS</v>
          </cell>
          <cell r="G5" t="str">
            <v>CHANGE FROM</v>
          </cell>
          <cell r="I5" t="str">
            <v>|</v>
          </cell>
          <cell r="J5" t="str">
            <v>MATERIALS</v>
          </cell>
        </row>
        <row r="6">
          <cell r="A6" t="str">
            <v>ACTUALS</v>
          </cell>
          <cell r="B6" t="str">
            <v>&amp; SUPPLIES</v>
          </cell>
          <cell r="C6" t="str">
            <v>PRIOR YEAR</v>
          </cell>
          <cell r="D6" t="str">
            <v>% CHANGE</v>
          </cell>
          <cell r="E6" t="str">
            <v>|</v>
          </cell>
          <cell r="F6" t="str">
            <v>&amp; SUPPLIES</v>
          </cell>
          <cell r="G6" t="str">
            <v>PRIOR YEAR</v>
          </cell>
          <cell r="H6" t="str">
            <v>% CHANGE</v>
          </cell>
          <cell r="I6" t="str">
            <v>|</v>
          </cell>
          <cell r="J6" t="str">
            <v>&amp; SUPPLIES</v>
          </cell>
        </row>
        <row r="7">
          <cell r="A7" t="str">
            <v>1989-90</v>
          </cell>
          <cell r="B7">
            <v>22947</v>
          </cell>
          <cell r="C7" t="str">
            <v xml:space="preserve">--  </v>
          </cell>
          <cell r="D7" t="str">
            <v xml:space="preserve">--  </v>
          </cell>
          <cell r="E7" t="str">
            <v>|</v>
          </cell>
          <cell r="F7">
            <v>23425</v>
          </cell>
          <cell r="G7" t="str">
            <v xml:space="preserve">--  </v>
          </cell>
          <cell r="H7" t="str">
            <v xml:space="preserve">--  </v>
          </cell>
          <cell r="I7" t="str">
            <v>|</v>
          </cell>
          <cell r="J7">
            <v>46371</v>
          </cell>
        </row>
        <row r="8">
          <cell r="A8" t="str">
            <v>1990-91</v>
          </cell>
          <cell r="B8">
            <v>25911</v>
          </cell>
          <cell r="C8">
            <v>2964</v>
          </cell>
          <cell r="D8">
            <v>0.12916721140018303</v>
          </cell>
          <cell r="E8" t="str">
            <v>|</v>
          </cell>
          <cell r="F8">
            <v>20491</v>
          </cell>
          <cell r="G8">
            <v>-2934</v>
          </cell>
          <cell r="H8">
            <v>-0.12525080042689435</v>
          </cell>
          <cell r="I8" t="str">
            <v>|</v>
          </cell>
          <cell r="J8">
            <v>46402</v>
          </cell>
        </row>
        <row r="9">
          <cell r="A9" t="str">
            <v>1991-92</v>
          </cell>
          <cell r="B9">
            <v>27272</v>
          </cell>
          <cell r="C9">
            <v>1361</v>
          </cell>
          <cell r="D9">
            <v>5.2525954227934081E-2</v>
          </cell>
          <cell r="E9" t="str">
            <v>|</v>
          </cell>
          <cell r="F9">
            <v>22017</v>
          </cell>
          <cell r="G9">
            <v>1526</v>
          </cell>
          <cell r="H9">
            <v>7.4471719291396218E-2</v>
          </cell>
          <cell r="I9" t="str">
            <v>|</v>
          </cell>
          <cell r="J9">
            <v>49288</v>
          </cell>
        </row>
        <row r="10">
          <cell r="A10" t="str">
            <v>1992-93</v>
          </cell>
          <cell r="B10">
            <v>27739</v>
          </cell>
          <cell r="C10">
            <v>467</v>
          </cell>
          <cell r="D10">
            <v>1.7123789967732474E-2</v>
          </cell>
          <cell r="E10" t="str">
            <v>|</v>
          </cell>
          <cell r="F10">
            <v>26265</v>
          </cell>
          <cell r="G10">
            <v>4248</v>
          </cell>
          <cell r="H10">
            <v>0.19294181768633328</v>
          </cell>
          <cell r="I10" t="str">
            <v>|</v>
          </cell>
          <cell r="J10">
            <v>54004</v>
          </cell>
        </row>
        <row r="11">
          <cell r="A11" t="str">
            <v>1993-94</v>
          </cell>
          <cell r="B11">
            <v>27047</v>
          </cell>
          <cell r="C11">
            <v>-692</v>
          </cell>
          <cell r="D11">
            <v>-2.4946825768773207E-2</v>
          </cell>
          <cell r="E11" t="str">
            <v>|</v>
          </cell>
          <cell r="F11">
            <v>24251</v>
          </cell>
          <cell r="G11">
            <v>-2014</v>
          </cell>
          <cell r="H11">
            <v>-7.6679992385303639E-2</v>
          </cell>
          <cell r="I11" t="str">
            <v>|</v>
          </cell>
          <cell r="J11">
            <v>51298</v>
          </cell>
        </row>
        <row r="12">
          <cell r="A12" t="str">
            <v>1994-95</v>
          </cell>
          <cell r="B12">
            <v>27473</v>
          </cell>
          <cell r="C12">
            <v>426</v>
          </cell>
          <cell r="D12">
            <v>1.5750360483602618E-2</v>
          </cell>
          <cell r="E12" t="str">
            <v>|</v>
          </cell>
          <cell r="F12">
            <v>28324</v>
          </cell>
          <cell r="G12">
            <v>4073</v>
          </cell>
          <cell r="H12">
            <v>0.16795183703764793</v>
          </cell>
          <cell r="I12" t="str">
            <v>|</v>
          </cell>
          <cell r="J12">
            <v>55797</v>
          </cell>
        </row>
        <row r="13">
          <cell r="A13" t="str">
            <v>1995-96</v>
          </cell>
          <cell r="B13">
            <v>27542</v>
          </cell>
          <cell r="C13">
            <v>69</v>
          </cell>
          <cell r="D13">
            <v>2.5115568012230188E-3</v>
          </cell>
          <cell r="E13" t="str">
            <v>|</v>
          </cell>
          <cell r="F13">
            <v>28507</v>
          </cell>
          <cell r="G13">
            <v>183</v>
          </cell>
          <cell r="H13">
            <v>6.4609518429600337E-3</v>
          </cell>
          <cell r="I13" t="str">
            <v>|</v>
          </cell>
          <cell r="J13">
            <v>56049</v>
          </cell>
        </row>
        <row r="14">
          <cell r="A14" t="str">
            <v>1996-97</v>
          </cell>
          <cell r="B14">
            <v>26711</v>
          </cell>
          <cell r="C14">
            <v>-831</v>
          </cell>
          <cell r="D14">
            <v>-3.0172100791518407E-2</v>
          </cell>
          <cell r="E14" t="str">
            <v>|</v>
          </cell>
          <cell r="F14">
            <v>31718</v>
          </cell>
          <cell r="G14">
            <v>3211</v>
          </cell>
          <cell r="H14">
            <v>0.11263900094713579</v>
          </cell>
          <cell r="I14" t="str">
            <v>|</v>
          </cell>
          <cell r="J14">
            <v>58429</v>
          </cell>
        </row>
        <row r="15">
          <cell r="A15" t="str">
            <v>1997-98</v>
          </cell>
          <cell r="B15">
            <v>25762.487000000001</v>
          </cell>
          <cell r="C15">
            <v>-948.51299999999901</v>
          </cell>
          <cell r="D15">
            <v>-3.5510201789524881E-2</v>
          </cell>
          <cell r="E15" t="str">
            <v>|</v>
          </cell>
          <cell r="F15">
            <v>34374.995000000003</v>
          </cell>
          <cell r="G15">
            <v>2656.9950000000026</v>
          </cell>
          <cell r="H15">
            <v>8.3769310801437749E-2</v>
          </cell>
          <cell r="I15" t="str">
            <v>|</v>
          </cell>
          <cell r="J15">
            <v>60137.482000000004</v>
          </cell>
        </row>
        <row r="16">
          <cell r="A16" t="str">
            <v>1998-99</v>
          </cell>
          <cell r="B16">
            <v>24642.813999999998</v>
          </cell>
          <cell r="C16">
            <v>-1119.6730000000025</v>
          </cell>
          <cell r="D16">
            <v>-4.3461370790793701E-2</v>
          </cell>
          <cell r="E16" t="str">
            <v>|</v>
          </cell>
          <cell r="F16">
            <v>38848.493000000002</v>
          </cell>
          <cell r="G16">
            <v>4473.4979999999996</v>
          </cell>
          <cell r="H16">
            <v>0.13013814256554798</v>
          </cell>
          <cell r="I16" t="str">
            <v>|</v>
          </cell>
          <cell r="J16">
            <v>63491.307000000001</v>
          </cell>
        </row>
        <row r="17">
          <cell r="A17" t="str">
            <v>1999-00</v>
          </cell>
          <cell r="B17">
            <v>24194.532999999999</v>
          </cell>
          <cell r="C17">
            <v>-448.28099999999904</v>
          </cell>
          <cell r="D17">
            <v>-1.8191144891163771E-2</v>
          </cell>
          <cell r="E17" t="str">
            <v>|</v>
          </cell>
          <cell r="F17">
            <v>42782.423999999999</v>
          </cell>
          <cell r="G17">
            <v>3933.9309999999969</v>
          </cell>
          <cell r="H17">
            <v>0.10126341322943973</v>
          </cell>
          <cell r="I17" t="str">
            <v>|</v>
          </cell>
          <cell r="J17">
            <v>66976.956999999995</v>
          </cell>
        </row>
        <row r="18">
          <cell r="A18" t="str">
            <v>2000-01</v>
          </cell>
          <cell r="B18">
            <v>24059.482</v>
          </cell>
          <cell r="C18">
            <v>-135.05099999999948</v>
          </cell>
          <cell r="D18">
            <v>-5.5818808323351184E-3</v>
          </cell>
          <cell r="E18" t="str">
            <v>|</v>
          </cell>
          <cell r="F18">
            <v>49419.991000000002</v>
          </cell>
          <cell r="G18">
            <v>6637.5670000000027</v>
          </cell>
          <cell r="H18">
            <v>0.15514705291126102</v>
          </cell>
          <cell r="I18" t="str">
            <v>|</v>
          </cell>
          <cell r="J18">
            <v>73479.472999999998</v>
          </cell>
        </row>
        <row r="19">
          <cell r="A19" t="str">
            <v>2001-02</v>
          </cell>
          <cell r="B19" t="str">
            <v>&gt;</v>
          </cell>
          <cell r="C19" t="str">
            <v>&gt;</v>
          </cell>
          <cell r="D19" t="str">
            <v>&gt;</v>
          </cell>
          <cell r="E19" t="str">
            <v>&gt;</v>
          </cell>
          <cell r="F19" t="str">
            <v>&gt;</v>
          </cell>
          <cell r="G19" t="str">
            <v>&gt;</v>
          </cell>
          <cell r="H19" t="str">
            <v>&gt;</v>
          </cell>
          <cell r="I19" t="str">
            <v>&gt;</v>
          </cell>
          <cell r="J19">
            <v>74049.2935</v>
          </cell>
        </row>
        <row r="20">
          <cell r="E20" t="str">
            <v>|</v>
          </cell>
          <cell r="I20" t="str">
            <v>|</v>
          </cell>
          <cell r="J20">
            <v>77340.823829999994</v>
          </cell>
        </row>
        <row r="21">
          <cell r="H21" t="str">
            <v>FISCAL YEAR</v>
          </cell>
          <cell r="I21" t="str">
            <v>INFLATION</v>
          </cell>
          <cell r="J21" t="str">
            <v>FORECASTED</v>
          </cell>
        </row>
        <row r="22">
          <cell r="A22" t="str">
            <v>ESTIMATES</v>
          </cell>
          <cell r="H22" t="str">
            <v>ENDING</v>
          </cell>
          <cell r="I22" t="str">
            <v>FACTOR</v>
          </cell>
          <cell r="J22" t="str">
            <v>AMOUNT</v>
          </cell>
        </row>
        <row r="23">
          <cell r="A23" t="str">
            <v>2001-02</v>
          </cell>
        </row>
        <row r="24">
          <cell r="A24" t="str">
            <v>2002-03</v>
          </cell>
          <cell r="H24" t="str">
            <v>2002-03</v>
          </cell>
          <cell r="I24">
            <v>1.3315018315018357E-2</v>
          </cell>
          <cell r="J24">
            <v>77340.823829999994</v>
          </cell>
        </row>
        <row r="25">
          <cell r="A25" t="str">
            <v>2003-04</v>
          </cell>
          <cell r="H25" t="str">
            <v>2003-04</v>
          </cell>
          <cell r="I25">
            <v>1.8683453237410053E-2</v>
          </cell>
          <cell r="J25">
            <v>78785.817495370575</v>
          </cell>
        </row>
        <row r="26">
          <cell r="A26" t="str">
            <v>2004-05</v>
          </cell>
          <cell r="H26" t="str">
            <v>2004-05</v>
          </cell>
          <cell r="I26">
            <v>2.1026431718061733E-2</v>
          </cell>
          <cell r="J26">
            <v>80442.402107288653</v>
          </cell>
        </row>
        <row r="27">
          <cell r="A27" t="str">
            <v>2005-06</v>
          </cell>
          <cell r="H27" t="str">
            <v>2005-06</v>
          </cell>
          <cell r="I27">
            <v>2.2413793103448265E-2</v>
          </cell>
          <cell r="J27">
            <v>82245.421464865809</v>
          </cell>
        </row>
        <row r="28">
          <cell r="A28" t="str">
            <v>2006-07</v>
          </cell>
          <cell r="H28" t="str">
            <v>2006-07</v>
          </cell>
          <cell r="I28">
            <v>2.3765598650927533E-2</v>
          </cell>
          <cell r="J28">
            <v>84200.033142276196</v>
          </cell>
        </row>
        <row r="29">
          <cell r="A29" t="str">
            <v>2007-08</v>
          </cell>
          <cell r="H29" t="str">
            <v>2007-08</v>
          </cell>
          <cell r="I29">
            <v>2.4732069249793875E-2</v>
          </cell>
          <cell r="J29">
            <v>86282.474192785914</v>
          </cell>
        </row>
        <row r="30">
          <cell r="A30" t="str">
            <v>2008-09</v>
          </cell>
          <cell r="H30" t="str">
            <v>2008-09</v>
          </cell>
          <cell r="I30">
            <v>2.3939662107803628E-2</v>
          </cell>
          <cell r="J30">
            <v>88348.047470786492</v>
          </cell>
        </row>
        <row r="31">
          <cell r="A31" t="str">
            <v>2009-10</v>
          </cell>
          <cell r="H31" t="str">
            <v>2009-10</v>
          </cell>
          <cell r="I31">
            <v>2.3547880690737877E-2</v>
          </cell>
          <cell r="J31">
            <v>90428.456751888225</v>
          </cell>
        </row>
        <row r="32">
          <cell r="A32" t="str">
            <v>2010-11</v>
          </cell>
          <cell r="H32" t="str">
            <v>2010-11</v>
          </cell>
          <cell r="I32">
            <v>2.3773006134969243E-2</v>
          </cell>
          <cell r="J32">
            <v>92578.213009026658</v>
          </cell>
        </row>
        <row r="33">
          <cell r="A33" t="str">
            <v>2011-12</v>
          </cell>
          <cell r="H33" t="str">
            <v>2011-12</v>
          </cell>
          <cell r="I33">
            <v>2.397003745318349E-2</v>
          </cell>
          <cell r="J33">
            <v>94797.316242201821</v>
          </cell>
        </row>
        <row r="34">
          <cell r="A34" t="str">
            <v>2012-13</v>
          </cell>
          <cell r="H34" t="str">
            <v>2012-13</v>
          </cell>
          <cell r="I34">
            <v>2.2677395757132679E-2</v>
          </cell>
          <cell r="J34">
            <v>96947.072499340298</v>
          </cell>
        </row>
        <row r="35">
          <cell r="A35" t="str">
            <v>2013-14</v>
          </cell>
          <cell r="H35" t="str">
            <v>2013-14</v>
          </cell>
          <cell r="I35">
            <v>2.3605150214592197E-2</v>
          </cell>
          <cell r="J35">
            <v>99235.522708552191</v>
          </cell>
        </row>
        <row r="36">
          <cell r="A36" t="str">
            <v>2014-15</v>
          </cell>
          <cell r="H36" t="str">
            <v>2014-15</v>
          </cell>
          <cell r="I36">
            <v>2.2361984626135589E-2</v>
          </cell>
          <cell r="J36">
            <v>101454.62594172737</v>
          </cell>
        </row>
        <row r="37">
          <cell r="A37" t="str">
            <v>2015-16</v>
          </cell>
          <cell r="H37" t="str">
            <v>2015-16</v>
          </cell>
          <cell r="I37">
            <v>2.2556390977443552E-2</v>
          </cell>
          <cell r="J37">
            <v>103743.07615093926</v>
          </cell>
        </row>
        <row r="38">
          <cell r="A38" t="str">
            <v>2016-17</v>
          </cell>
          <cell r="H38" t="str">
            <v>2016-17</v>
          </cell>
          <cell r="I38">
            <v>2.2058823529411908E-2</v>
          </cell>
          <cell r="J38">
            <v>106031.52636015117</v>
          </cell>
        </row>
        <row r="39">
          <cell r="A39" t="str">
            <v>2017-18</v>
          </cell>
          <cell r="H39" t="str">
            <v>2017-18</v>
          </cell>
          <cell r="I39">
            <v>2.2236756049705653E-2</v>
          </cell>
          <cell r="J39">
            <v>108389.32354539979</v>
          </cell>
        </row>
        <row r="40">
          <cell r="A40" t="str">
            <v>2018-19</v>
          </cell>
          <cell r="H40" t="str">
            <v>2018-19</v>
          </cell>
          <cell r="I40">
            <v>2.1113243761996081E-2</v>
          </cell>
          <cell r="J40">
            <v>110677.77375461168</v>
          </cell>
        </row>
        <row r="41">
          <cell r="A41" t="str">
            <v>2019-20</v>
          </cell>
          <cell r="H41" t="str">
            <v>2019-20</v>
          </cell>
          <cell r="I41">
            <v>2.130325814536338E-2</v>
          </cell>
          <cell r="J41">
            <v>113035.57093986031</v>
          </cell>
        </row>
        <row r="42">
          <cell r="A42" t="str">
            <v>2020-21</v>
          </cell>
          <cell r="H42" t="str">
            <v>2020-21</v>
          </cell>
          <cell r="I42">
            <v>2.1472392638036908E-2</v>
          </cell>
          <cell r="J42">
            <v>115462.71510114566</v>
          </cell>
        </row>
        <row r="43">
          <cell r="A43" t="str">
            <v>2021-22</v>
          </cell>
          <cell r="H43" t="str">
            <v>2021-22</v>
          </cell>
          <cell r="I43">
            <v>2.042042042042036E-2</v>
          </cell>
          <cell r="J43">
            <v>117820.51228639427</v>
          </cell>
        </row>
        <row r="44">
          <cell r="A44" t="str">
            <v>2022-23</v>
          </cell>
          <cell r="H44" t="str">
            <v>2022-23</v>
          </cell>
          <cell r="I44">
            <v>2.0600353148911177E-2</v>
          </cell>
          <cell r="J44">
            <v>120247.65644767962</v>
          </cell>
        </row>
        <row r="45">
          <cell r="A45" t="str">
            <v>2023-24</v>
          </cell>
          <cell r="H45" t="str">
            <v>2023-24</v>
          </cell>
          <cell r="I45">
            <v>2.0184544405997595E-2</v>
          </cell>
          <cell r="J45">
            <v>122674.80060896496</v>
          </cell>
        </row>
        <row r="46">
          <cell r="A46" t="str">
            <v>2024-25</v>
          </cell>
          <cell r="H46" t="str">
            <v>2024-25</v>
          </cell>
          <cell r="I46">
            <v>1.9785189372526935E-2</v>
          </cell>
          <cell r="J46">
            <v>125101.94477025031</v>
          </cell>
        </row>
        <row r="47">
          <cell r="A47" t="str">
            <v>2025-26</v>
          </cell>
          <cell r="H47" t="str">
            <v>2025-26</v>
          </cell>
          <cell r="I47">
            <v>1.9401330376940029E-2</v>
          </cell>
          <cell r="J47">
            <v>127529.08893153565</v>
          </cell>
        </row>
        <row r="48">
          <cell r="A48" t="str">
            <v>2026-27</v>
          </cell>
          <cell r="H48" t="str">
            <v>2026-27</v>
          </cell>
          <cell r="I48">
            <v>1.9032082653616111E-2</v>
          </cell>
          <cell r="J48">
            <v>129956.233092821</v>
          </cell>
        </row>
        <row r="49">
          <cell r="A49" t="str">
            <v>2027-28</v>
          </cell>
          <cell r="H49" t="str">
            <v>2027-28</v>
          </cell>
          <cell r="I49">
            <v>1.9210245464247544E-2</v>
          </cell>
          <cell r="J49">
            <v>132452.72423014307</v>
          </cell>
        </row>
        <row r="50">
          <cell r="A50" t="str">
            <v>2028-29</v>
          </cell>
          <cell r="E50" t="str">
            <v>|</v>
          </cell>
          <cell r="F50" t="str">
            <v>GDP Deflator 1999 Forcast Index was used for future periods</v>
          </cell>
          <cell r="H50" t="str">
            <v>2028-29</v>
          </cell>
          <cell r="I50">
            <v>1.884816753926688E-2</v>
          </cell>
          <cell r="J50">
            <v>134949.21536746511</v>
          </cell>
        </row>
        <row r="51">
          <cell r="A51" t="str">
            <v xml:space="preserve">GDP Deflator 1999 Forcast Index was used for future periods </v>
          </cell>
          <cell r="E51" t="str">
            <v>|</v>
          </cell>
        </row>
      </sheetData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"/>
      <sheetName val="CF_Months"/>
      <sheetName val="CF_Annual"/>
      <sheetName val="IS_Months"/>
      <sheetName val="IS_Annual"/>
      <sheetName val="Balance_Months"/>
      <sheetName val="Balance"/>
      <sheetName val="Funds_Months"/>
      <sheetName val="Funds_Annual"/>
      <sheetName val="Statistics"/>
      <sheetName val="Construction"/>
      <sheetName val="Rating Agency Calc_Months"/>
      <sheetName val="Rating Agency Calc_Annual"/>
      <sheetName val="Test_Months"/>
      <sheetName val="Test_Annual"/>
      <sheetName val="Amort_Months"/>
      <sheetName val="Amort_Annual"/>
      <sheetName val="InvestP&amp;I"/>
      <sheetName val="Rate_Months"/>
      <sheetName val="Rate_Annual"/>
      <sheetName val="Commercial Paper"/>
      <sheetName val="Ratios"/>
      <sheetName val="Import - Monthly"/>
      <sheetName val="Import - Annual"/>
      <sheetName val="RawDataForecasts"/>
      <sheetName val="RawDataAmort"/>
      <sheetName val="SPI - Electric"/>
      <sheetName val="SPI - Gas"/>
      <sheetName val="Cash Flow Checklist"/>
    </sheetNames>
    <sheetDataSet>
      <sheetData sheetId="0" refreshError="1">
        <row r="144">
          <cell r="D144">
            <v>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.bin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Relationship Id="rId4" Type="http://schemas.openxmlformats.org/officeDocument/2006/relationships/printerSettings" Target="../printerSettings/printerSettings4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4" Type="http://schemas.openxmlformats.org/officeDocument/2006/relationships/printerSettings" Target="../printerSettings/printerSettings4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5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4" Type="http://schemas.openxmlformats.org/officeDocument/2006/relationships/printerSettings" Target="../printerSettings/printerSettings5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.bin"/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Relationship Id="rId4" Type="http://schemas.openxmlformats.org/officeDocument/2006/relationships/printerSettings" Target="../printerSettings/printerSettings62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4" Type="http://schemas.openxmlformats.org/officeDocument/2006/relationships/printerSettings" Target="../printerSettings/printerSettings6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7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.bin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4" Type="http://schemas.openxmlformats.org/officeDocument/2006/relationships/printerSettings" Target="../printerSettings/printerSettings7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7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1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4" Type="http://schemas.openxmlformats.org/officeDocument/2006/relationships/printerSettings" Target="../printerSettings/printerSettings8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5.bin"/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Relationship Id="rId4" Type="http://schemas.openxmlformats.org/officeDocument/2006/relationships/printerSettings" Target="../printerSettings/printerSettings8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9.bin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Relationship Id="rId4" Type="http://schemas.openxmlformats.org/officeDocument/2006/relationships/printerSettings" Target="../printerSettings/printerSettings90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3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4" Type="http://schemas.openxmlformats.org/officeDocument/2006/relationships/printerSettings" Target="../printerSettings/printerSettings9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7.bin"/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Relationship Id="rId4" Type="http://schemas.openxmlformats.org/officeDocument/2006/relationships/printerSettings" Target="../printerSettings/printerSettings98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Relationship Id="rId4" Type="http://schemas.openxmlformats.org/officeDocument/2006/relationships/printerSettings" Target="../printerSettings/printerSettings10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6.bin"/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Relationship Id="rId4" Type="http://schemas.openxmlformats.org/officeDocument/2006/relationships/printerSettings" Target="../printerSettings/printerSettings10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0.bin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Relationship Id="rId4" Type="http://schemas.openxmlformats.org/officeDocument/2006/relationships/printerSettings" Target="../printerSettings/printerSettings11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4.bin"/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Relationship Id="rId4" Type="http://schemas.openxmlformats.org/officeDocument/2006/relationships/printerSettings" Target="../printerSettings/printerSettings115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8.bin"/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Relationship Id="rId4" Type="http://schemas.openxmlformats.org/officeDocument/2006/relationships/printerSettings" Target="../printerSettings/printerSettings119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2.bin"/><Relationship Id="rId2" Type="http://schemas.openxmlformats.org/officeDocument/2006/relationships/printerSettings" Target="../printerSettings/printerSettings121.bin"/><Relationship Id="rId1" Type="http://schemas.openxmlformats.org/officeDocument/2006/relationships/printerSettings" Target="../printerSettings/printerSettings120.bin"/><Relationship Id="rId4" Type="http://schemas.openxmlformats.org/officeDocument/2006/relationships/printerSettings" Target="../printerSettings/printerSettings12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6.bin"/><Relationship Id="rId2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24.bin"/><Relationship Id="rId4" Type="http://schemas.openxmlformats.org/officeDocument/2006/relationships/printerSettings" Target="../printerSettings/printerSettings1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1.bin"/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Relationship Id="rId4" Type="http://schemas.openxmlformats.org/officeDocument/2006/relationships/printerSettings" Target="../printerSettings/printerSettings1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printerSettings" Target="../printerSettings/printerSettings10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0.bin"/><Relationship Id="rId2" Type="http://schemas.openxmlformats.org/officeDocument/2006/relationships/printerSettings" Target="../printerSettings/printerSettings139.bin"/><Relationship Id="rId1" Type="http://schemas.openxmlformats.org/officeDocument/2006/relationships/printerSettings" Target="../printerSettings/printerSettings138.bin"/><Relationship Id="rId4" Type="http://schemas.openxmlformats.org/officeDocument/2006/relationships/printerSettings" Target="../printerSettings/printerSettings141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4.bin"/><Relationship Id="rId2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42.bin"/><Relationship Id="rId4" Type="http://schemas.openxmlformats.org/officeDocument/2006/relationships/printerSettings" Target="../printerSettings/printerSettings14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8.bin"/><Relationship Id="rId2" Type="http://schemas.openxmlformats.org/officeDocument/2006/relationships/printerSettings" Target="../printerSettings/printerSettings147.bin"/><Relationship Id="rId1" Type="http://schemas.openxmlformats.org/officeDocument/2006/relationships/printerSettings" Target="../printerSettings/printerSettings146.bin"/><Relationship Id="rId4" Type="http://schemas.openxmlformats.org/officeDocument/2006/relationships/printerSettings" Target="../printerSettings/printerSettings149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2.bin"/><Relationship Id="rId2" Type="http://schemas.openxmlformats.org/officeDocument/2006/relationships/printerSettings" Target="../printerSettings/printerSettings151.bin"/><Relationship Id="rId1" Type="http://schemas.openxmlformats.org/officeDocument/2006/relationships/printerSettings" Target="../printerSettings/printerSettings150.bin"/><Relationship Id="rId4" Type="http://schemas.openxmlformats.org/officeDocument/2006/relationships/printerSettings" Target="../printerSettings/printerSettings15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2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2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4" Type="http://schemas.openxmlformats.org/officeDocument/2006/relationships/printerSettings" Target="../printerSettings/printerSettings3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6"/>
  <sheetViews>
    <sheetView tabSelected="1" zoomScale="75" zoomScaleNormal="75" workbookViewId="0">
      <pane ySplit="1" topLeftCell="A2" activePane="bottomLeft" state="frozen"/>
      <selection activeCell="B56" sqref="A1:XFD1048576"/>
      <selection pane="bottomLeft" activeCell="A2" sqref="A2"/>
    </sheetView>
  </sheetViews>
  <sheetFormatPr defaultColWidth="9.1796875" defaultRowHeight="13" x14ac:dyDescent="0.3"/>
  <cols>
    <col min="1" max="1" width="3.81640625" style="147" customWidth="1"/>
    <col min="2" max="2" width="4.453125" style="147" customWidth="1"/>
    <col min="3" max="3" width="31" style="147" customWidth="1"/>
    <col min="4" max="4" width="1.54296875" style="147" customWidth="1"/>
    <col min="5" max="5" width="45" style="147" bestFit="1" customWidth="1"/>
    <col min="6" max="6" width="73.81640625" style="37" bestFit="1" customWidth="1"/>
    <col min="7" max="9" width="9.1796875" style="37"/>
    <col min="10" max="16384" width="9.1796875" style="147"/>
  </cols>
  <sheetData>
    <row r="1" spans="1:9" s="341" customFormat="1" x14ac:dyDescent="0.3">
      <c r="A1" s="339" t="s">
        <v>199</v>
      </c>
      <c r="B1" s="339"/>
      <c r="C1" s="339"/>
      <c r="D1" s="339"/>
      <c r="E1" s="339"/>
      <c r="F1" s="339"/>
      <c r="G1" s="340"/>
      <c r="H1" s="340"/>
      <c r="I1" s="340"/>
    </row>
    <row r="4" spans="1:9" x14ac:dyDescent="0.3">
      <c r="A4" s="148" t="s">
        <v>200</v>
      </c>
      <c r="B4" s="147" t="s">
        <v>201</v>
      </c>
    </row>
    <row r="6" spans="1:9" x14ac:dyDescent="0.3">
      <c r="C6" s="37" t="s">
        <v>202</v>
      </c>
      <c r="D6" s="37"/>
      <c r="E6" s="37" t="s">
        <v>203</v>
      </c>
      <c r="F6" s="37" t="s">
        <v>204</v>
      </c>
    </row>
    <row r="7" spans="1:9" x14ac:dyDescent="0.3">
      <c r="C7" s="37" t="s">
        <v>1137</v>
      </c>
      <c r="D7" s="37"/>
      <c r="E7" s="37" t="s">
        <v>1124</v>
      </c>
    </row>
    <row r="8" spans="1:9" x14ac:dyDescent="0.3">
      <c r="C8" s="37"/>
      <c r="D8" s="37"/>
      <c r="E8" s="37"/>
    </row>
    <row r="9" spans="1:9" x14ac:dyDescent="0.3">
      <c r="A9" s="149" t="s">
        <v>205</v>
      </c>
      <c r="B9" s="147" t="s">
        <v>206</v>
      </c>
      <c r="C9" s="37"/>
      <c r="D9" s="37"/>
      <c r="E9" s="37"/>
    </row>
    <row r="10" spans="1:9" x14ac:dyDescent="0.3">
      <c r="C10" s="37"/>
      <c r="D10" s="37"/>
      <c r="E10" s="37"/>
    </row>
    <row r="11" spans="1:9" x14ac:dyDescent="0.3">
      <c r="C11" s="37" t="s">
        <v>207</v>
      </c>
      <c r="D11" s="37"/>
      <c r="E11" s="37" t="s">
        <v>208</v>
      </c>
      <c r="F11" s="37" t="s">
        <v>204</v>
      </c>
    </row>
    <row r="12" spans="1:9" x14ac:dyDescent="0.3">
      <c r="C12" s="37" t="s">
        <v>209</v>
      </c>
      <c r="D12" s="37"/>
      <c r="E12" s="37" t="s">
        <v>210</v>
      </c>
      <c r="F12" s="37" t="s">
        <v>211</v>
      </c>
    </row>
    <row r="13" spans="1:9" x14ac:dyDescent="0.3">
      <c r="C13" s="37" t="s">
        <v>212</v>
      </c>
      <c r="D13" s="37"/>
      <c r="E13" s="37" t="s">
        <v>213</v>
      </c>
    </row>
    <row r="14" spans="1:9" x14ac:dyDescent="0.3">
      <c r="C14" s="37"/>
      <c r="D14" s="37"/>
      <c r="E14" s="37"/>
    </row>
    <row r="15" spans="1:9" x14ac:dyDescent="0.3">
      <c r="A15" s="149" t="s">
        <v>214</v>
      </c>
      <c r="B15" s="147" t="s">
        <v>215</v>
      </c>
      <c r="C15" s="37"/>
      <c r="D15" s="37"/>
      <c r="E15" s="37"/>
    </row>
    <row r="16" spans="1:9" x14ac:dyDescent="0.3">
      <c r="C16" s="37" t="s">
        <v>216</v>
      </c>
      <c r="D16" s="37"/>
      <c r="E16" s="37"/>
    </row>
    <row r="17" spans="1:6" x14ac:dyDescent="0.3">
      <c r="C17" s="37"/>
      <c r="D17" s="37"/>
      <c r="E17" s="37"/>
    </row>
    <row r="18" spans="1:6" x14ac:dyDescent="0.3">
      <c r="C18" s="37" t="s">
        <v>217</v>
      </c>
      <c r="D18" s="37"/>
      <c r="E18" s="37" t="s">
        <v>218</v>
      </c>
      <c r="F18" s="37" t="s">
        <v>204</v>
      </c>
    </row>
    <row r="19" spans="1:6" x14ac:dyDescent="0.3">
      <c r="C19" s="37" t="s">
        <v>219</v>
      </c>
      <c r="D19" s="37"/>
      <c r="E19" s="37" t="s">
        <v>210</v>
      </c>
      <c r="F19" s="37" t="s">
        <v>211</v>
      </c>
    </row>
    <row r="20" spans="1:6" x14ac:dyDescent="0.3">
      <c r="C20" s="37" t="s">
        <v>220</v>
      </c>
      <c r="D20" s="37"/>
      <c r="E20" s="37" t="s">
        <v>213</v>
      </c>
    </row>
    <row r="21" spans="1:6" x14ac:dyDescent="0.3">
      <c r="C21" s="37"/>
      <c r="D21" s="37"/>
      <c r="E21" s="37"/>
    </row>
    <row r="22" spans="1:6" x14ac:dyDescent="0.3">
      <c r="A22" s="149" t="s">
        <v>221</v>
      </c>
      <c r="B22" s="147" t="s">
        <v>215</v>
      </c>
      <c r="C22" s="37"/>
      <c r="D22" s="37"/>
      <c r="E22" s="37"/>
    </row>
    <row r="23" spans="1:6" x14ac:dyDescent="0.3">
      <c r="C23" s="37" t="s">
        <v>222</v>
      </c>
      <c r="D23" s="37"/>
      <c r="E23" s="37"/>
    </row>
    <row r="24" spans="1:6" x14ac:dyDescent="0.3">
      <c r="C24" s="37"/>
      <c r="D24" s="37"/>
      <c r="E24" s="37"/>
      <c r="F24" s="37" t="s">
        <v>223</v>
      </c>
    </row>
    <row r="25" spans="1:6" x14ac:dyDescent="0.3">
      <c r="C25" s="37" t="s">
        <v>1356</v>
      </c>
      <c r="D25" s="37"/>
      <c r="E25" s="37" t="s">
        <v>218</v>
      </c>
      <c r="F25" s="37" t="s">
        <v>224</v>
      </c>
    </row>
    <row r="26" spans="1:6" x14ac:dyDescent="0.3">
      <c r="C26" s="37" t="s">
        <v>225</v>
      </c>
      <c r="D26" s="37"/>
      <c r="E26" s="37" t="s">
        <v>210</v>
      </c>
      <c r="F26" s="37" t="s">
        <v>226</v>
      </c>
    </row>
    <row r="27" spans="1:6" x14ac:dyDescent="0.3">
      <c r="C27" s="37"/>
      <c r="D27" s="37"/>
      <c r="E27" s="37"/>
    </row>
    <row r="28" spans="1:6" x14ac:dyDescent="0.3">
      <c r="A28" s="149" t="s">
        <v>227</v>
      </c>
      <c r="B28" s="147" t="s">
        <v>228</v>
      </c>
      <c r="C28" s="37"/>
      <c r="D28" s="37"/>
      <c r="E28" s="37"/>
    </row>
    <row r="29" spans="1:6" x14ac:dyDescent="0.3">
      <c r="C29" s="37"/>
      <c r="D29" s="37"/>
      <c r="E29" s="37"/>
    </row>
    <row r="30" spans="1:6" x14ac:dyDescent="0.3">
      <c r="C30" s="37" t="s">
        <v>229</v>
      </c>
      <c r="D30" s="37"/>
      <c r="E30" s="37" t="s">
        <v>230</v>
      </c>
    </row>
    <row r="31" spans="1:6" x14ac:dyDescent="0.3">
      <c r="C31" s="37" t="s">
        <v>231</v>
      </c>
      <c r="D31" s="37"/>
      <c r="E31" s="37" t="s">
        <v>230</v>
      </c>
    </row>
    <row r="32" spans="1:6" x14ac:dyDescent="0.3">
      <c r="C32" s="37"/>
      <c r="D32" s="37"/>
      <c r="E32" s="37"/>
    </row>
    <row r="33" spans="1:6" x14ac:dyDescent="0.3">
      <c r="A33" s="149" t="s">
        <v>232</v>
      </c>
      <c r="B33" s="147" t="s">
        <v>233</v>
      </c>
      <c r="C33" s="37"/>
      <c r="D33" s="37"/>
      <c r="E33" s="37"/>
    </row>
    <row r="34" spans="1:6" x14ac:dyDescent="0.3">
      <c r="C34" s="37"/>
      <c r="D34" s="37"/>
      <c r="E34" s="37"/>
    </row>
    <row r="35" spans="1:6" x14ac:dyDescent="0.3">
      <c r="C35" s="37" t="s">
        <v>234</v>
      </c>
      <c r="D35" s="37"/>
      <c r="E35" s="37" t="s">
        <v>218</v>
      </c>
      <c r="F35" s="37" t="s">
        <v>204</v>
      </c>
    </row>
    <row r="36" spans="1:6" x14ac:dyDescent="0.3">
      <c r="C36" s="37" t="s">
        <v>235</v>
      </c>
      <c r="D36" s="37"/>
      <c r="E36" s="37" t="s">
        <v>210</v>
      </c>
      <c r="F36" s="37" t="s">
        <v>211</v>
      </c>
    </row>
    <row r="37" spans="1:6" x14ac:dyDescent="0.3">
      <c r="C37" s="37" t="s">
        <v>236</v>
      </c>
      <c r="D37" s="37"/>
      <c r="E37" s="37" t="s">
        <v>213</v>
      </c>
    </row>
    <row r="38" spans="1:6" x14ac:dyDescent="0.3">
      <c r="C38" s="37"/>
      <c r="D38" s="37"/>
      <c r="E38" s="37"/>
    </row>
    <row r="39" spans="1:6" x14ac:dyDescent="0.3">
      <c r="A39" s="149" t="s">
        <v>237</v>
      </c>
      <c r="B39" s="147" t="s">
        <v>238</v>
      </c>
      <c r="C39" s="37"/>
      <c r="D39" s="37"/>
      <c r="E39" s="37"/>
    </row>
    <row r="40" spans="1:6" x14ac:dyDescent="0.3">
      <c r="A40" s="149"/>
      <c r="C40" s="37"/>
      <c r="D40" s="37"/>
      <c r="E40" s="37"/>
      <c r="F40" s="37" t="s">
        <v>239</v>
      </c>
    </row>
    <row r="41" spans="1:6" x14ac:dyDescent="0.3">
      <c r="C41" s="37" t="s">
        <v>240</v>
      </c>
      <c r="D41" s="37"/>
      <c r="E41" s="37" t="s">
        <v>218</v>
      </c>
      <c r="F41" s="37" t="s">
        <v>241</v>
      </c>
    </row>
    <row r="42" spans="1:6" x14ac:dyDescent="0.3">
      <c r="C42" s="37" t="s">
        <v>242</v>
      </c>
      <c r="D42" s="37"/>
      <c r="E42" s="37" t="s">
        <v>210</v>
      </c>
      <c r="F42" s="37" t="s">
        <v>243</v>
      </c>
    </row>
    <row r="43" spans="1:6" x14ac:dyDescent="0.3">
      <c r="C43" s="37" t="s">
        <v>244</v>
      </c>
      <c r="D43" s="37"/>
      <c r="E43" s="37" t="s">
        <v>213</v>
      </c>
    </row>
    <row r="44" spans="1:6" x14ac:dyDescent="0.3">
      <c r="C44" s="37" t="s">
        <v>1357</v>
      </c>
      <c r="D44" s="37"/>
      <c r="E44" s="37" t="s">
        <v>1358</v>
      </c>
    </row>
    <row r="45" spans="1:6" x14ac:dyDescent="0.3">
      <c r="C45" s="37"/>
      <c r="D45" s="37"/>
      <c r="E45" s="37"/>
    </row>
    <row r="46" spans="1:6" x14ac:dyDescent="0.3">
      <c r="A46" s="149" t="s">
        <v>245</v>
      </c>
      <c r="B46" s="147" t="s">
        <v>1338</v>
      </c>
      <c r="C46" s="37"/>
      <c r="D46" s="37"/>
      <c r="E46" s="37"/>
    </row>
    <row r="47" spans="1:6" x14ac:dyDescent="0.3">
      <c r="C47" s="37"/>
      <c r="D47" s="37"/>
      <c r="E47" s="37"/>
    </row>
    <row r="48" spans="1:6" x14ac:dyDescent="0.3">
      <c r="C48" s="37" t="s">
        <v>1359</v>
      </c>
      <c r="D48" s="37"/>
      <c r="E48" s="37" t="s">
        <v>218</v>
      </c>
      <c r="F48" s="37" t="s">
        <v>204</v>
      </c>
    </row>
    <row r="49" spans="1:6" x14ac:dyDescent="0.3">
      <c r="C49" s="37" t="s">
        <v>246</v>
      </c>
      <c r="D49" s="37"/>
      <c r="E49" s="37" t="s">
        <v>210</v>
      </c>
      <c r="F49" s="37" t="s">
        <v>211</v>
      </c>
    </row>
    <row r="50" spans="1:6" x14ac:dyDescent="0.3">
      <c r="C50" s="37"/>
      <c r="D50" s="37"/>
      <c r="E50" s="37"/>
    </row>
    <row r="51" spans="1:6" x14ac:dyDescent="0.3">
      <c r="A51" s="149" t="s">
        <v>247</v>
      </c>
      <c r="B51" s="147" t="s">
        <v>248</v>
      </c>
      <c r="C51" s="37"/>
      <c r="D51" s="37"/>
      <c r="E51" s="37"/>
    </row>
    <row r="52" spans="1:6" x14ac:dyDescent="0.3">
      <c r="C52" s="37"/>
      <c r="D52" s="37"/>
      <c r="E52" s="37"/>
    </row>
    <row r="53" spans="1:6" x14ac:dyDescent="0.3">
      <c r="C53" s="37" t="s">
        <v>249</v>
      </c>
      <c r="D53" s="37"/>
      <c r="E53" s="37" t="s">
        <v>250</v>
      </c>
      <c r="F53" s="37" t="s">
        <v>251</v>
      </c>
    </row>
    <row r="54" spans="1:6" x14ac:dyDescent="0.3">
      <c r="C54" s="37" t="s">
        <v>252</v>
      </c>
      <c r="D54" s="37"/>
      <c r="E54" s="37" t="s">
        <v>253</v>
      </c>
      <c r="F54" s="37" t="s">
        <v>211</v>
      </c>
    </row>
    <row r="55" spans="1:6" x14ac:dyDescent="0.3">
      <c r="C55" s="37"/>
      <c r="D55" s="37"/>
      <c r="E55" s="37"/>
    </row>
    <row r="56" spans="1:6" x14ac:dyDescent="0.3">
      <c r="A56" s="149" t="s">
        <v>254</v>
      </c>
      <c r="B56" s="147" t="s">
        <v>255</v>
      </c>
      <c r="C56" s="37"/>
      <c r="D56" s="37"/>
      <c r="E56" s="37"/>
    </row>
    <row r="57" spans="1:6" x14ac:dyDescent="0.3">
      <c r="C57" s="37"/>
      <c r="D57" s="37"/>
      <c r="E57" s="37"/>
    </row>
    <row r="58" spans="1:6" x14ac:dyDescent="0.3">
      <c r="C58" s="150" t="s">
        <v>256</v>
      </c>
      <c r="D58" s="150"/>
      <c r="E58" s="150" t="s">
        <v>257</v>
      </c>
    </row>
    <row r="59" spans="1:6" x14ac:dyDescent="0.3">
      <c r="C59" s="37" t="s">
        <v>1361</v>
      </c>
      <c r="D59" s="37"/>
      <c r="E59" s="37" t="s">
        <v>1360</v>
      </c>
    </row>
    <row r="60" spans="1:6" x14ac:dyDescent="0.3">
      <c r="C60" s="37" t="s">
        <v>258</v>
      </c>
      <c r="D60" s="37"/>
      <c r="E60" s="37" t="s">
        <v>259</v>
      </c>
      <c r="F60" s="37" t="s">
        <v>260</v>
      </c>
    </row>
    <row r="61" spans="1:6" x14ac:dyDescent="0.3">
      <c r="C61" s="37" t="s">
        <v>261</v>
      </c>
      <c r="D61" s="37"/>
      <c r="E61" s="37" t="s">
        <v>262</v>
      </c>
    </row>
    <row r="62" spans="1:6" x14ac:dyDescent="0.3">
      <c r="C62" s="37" t="s">
        <v>263</v>
      </c>
      <c r="D62" s="37"/>
      <c r="E62" s="37" t="s">
        <v>264</v>
      </c>
    </row>
    <row r="63" spans="1:6" x14ac:dyDescent="0.3">
      <c r="C63" s="37" t="s">
        <v>1362</v>
      </c>
      <c r="D63" s="37"/>
      <c r="E63" s="37" t="s">
        <v>265</v>
      </c>
    </row>
    <row r="64" spans="1:6" x14ac:dyDescent="0.3">
      <c r="C64" s="37" t="s">
        <v>266</v>
      </c>
      <c r="D64" s="37"/>
      <c r="E64" s="37" t="s">
        <v>267</v>
      </c>
    </row>
    <row r="65" spans="1:6" x14ac:dyDescent="0.3">
      <c r="C65" s="37" t="s">
        <v>1363</v>
      </c>
      <c r="D65" s="37"/>
      <c r="E65" s="37" t="s">
        <v>268</v>
      </c>
    </row>
    <row r="66" spans="1:6" x14ac:dyDescent="0.3">
      <c r="C66" s="37" t="s">
        <v>1364</v>
      </c>
      <c r="D66" s="37"/>
      <c r="E66" s="37" t="s">
        <v>269</v>
      </c>
      <c r="F66" s="37" t="s">
        <v>270</v>
      </c>
    </row>
    <row r="67" spans="1:6" x14ac:dyDescent="0.3">
      <c r="C67" s="37" t="s">
        <v>271</v>
      </c>
      <c r="D67" s="37"/>
      <c r="E67" s="37" t="s">
        <v>276</v>
      </c>
    </row>
    <row r="68" spans="1:6" x14ac:dyDescent="0.3">
      <c r="C68" s="37" t="s">
        <v>277</v>
      </c>
      <c r="D68" s="37"/>
      <c r="E68" s="37" t="s">
        <v>278</v>
      </c>
      <c r="F68" s="37" t="s">
        <v>338</v>
      </c>
    </row>
    <row r="69" spans="1:6" x14ac:dyDescent="0.3">
      <c r="C69" s="150" t="s">
        <v>279</v>
      </c>
      <c r="D69" s="150"/>
      <c r="E69" s="150" t="s">
        <v>337</v>
      </c>
    </row>
    <row r="70" spans="1:6" x14ac:dyDescent="0.3">
      <c r="C70" s="37" t="s">
        <v>280</v>
      </c>
      <c r="D70" s="37"/>
      <c r="E70" s="37" t="s">
        <v>281</v>
      </c>
      <c r="F70" s="37" t="s">
        <v>282</v>
      </c>
    </row>
    <row r="71" spans="1:6" x14ac:dyDescent="0.3">
      <c r="C71" s="150" t="s">
        <v>283</v>
      </c>
      <c r="D71" s="150"/>
      <c r="E71" s="150" t="s">
        <v>33</v>
      </c>
    </row>
    <row r="72" spans="1:6" x14ac:dyDescent="0.3">
      <c r="C72" s="151" t="s">
        <v>284</v>
      </c>
      <c r="D72" s="151"/>
      <c r="E72" s="151" t="s">
        <v>285</v>
      </c>
    </row>
    <row r="73" spans="1:6" x14ac:dyDescent="0.3">
      <c r="C73" s="151" t="s">
        <v>286</v>
      </c>
      <c r="D73" s="151"/>
      <c r="E73" s="151" t="s">
        <v>287</v>
      </c>
      <c r="F73" s="37" t="s">
        <v>288</v>
      </c>
    </row>
    <row r="74" spans="1:6" x14ac:dyDescent="0.3">
      <c r="C74" s="151" t="s">
        <v>289</v>
      </c>
      <c r="D74" s="151"/>
      <c r="E74" s="151" t="s">
        <v>290</v>
      </c>
    </row>
    <row r="75" spans="1:6" x14ac:dyDescent="0.3">
      <c r="C75" s="151" t="s">
        <v>291</v>
      </c>
      <c r="D75" s="151"/>
      <c r="E75" s="151" t="s">
        <v>292</v>
      </c>
      <c r="F75" s="37" t="s">
        <v>293</v>
      </c>
    </row>
    <row r="77" spans="1:6" x14ac:dyDescent="0.3">
      <c r="A77" s="149" t="s">
        <v>294</v>
      </c>
      <c r="B77" s="147" t="s">
        <v>295</v>
      </c>
    </row>
    <row r="79" spans="1:6" x14ac:dyDescent="0.3">
      <c r="C79" s="147" t="s">
        <v>296</v>
      </c>
      <c r="E79" s="147" t="s">
        <v>297</v>
      </c>
    </row>
    <row r="80" spans="1:6" x14ac:dyDescent="0.3">
      <c r="C80" s="147" t="s">
        <v>1365</v>
      </c>
      <c r="E80" s="147" t="s">
        <v>298</v>
      </c>
    </row>
    <row r="81" spans="1:5" x14ac:dyDescent="0.3">
      <c r="C81" s="152" t="s">
        <v>1366</v>
      </c>
      <c r="D81" s="152"/>
      <c r="E81" s="152" t="s">
        <v>298</v>
      </c>
    </row>
    <row r="83" spans="1:5" x14ac:dyDescent="0.3">
      <c r="A83" s="147" t="s">
        <v>1368</v>
      </c>
    </row>
    <row r="84" spans="1:5" x14ac:dyDescent="0.3">
      <c r="C84" s="147" t="s">
        <v>1367</v>
      </c>
      <c r="E84" s="147" t="s">
        <v>1369</v>
      </c>
    </row>
    <row r="86" spans="1:5" x14ac:dyDescent="0.3">
      <c r="A86" s="151" t="s">
        <v>299</v>
      </c>
      <c r="B86" s="151"/>
      <c r="C86" s="152" t="s">
        <v>291</v>
      </c>
      <c r="E86" s="147" t="s">
        <v>1339</v>
      </c>
    </row>
  </sheetData>
  <phoneticPr fontId="9" type="noConversion"/>
  <printOptions horizontalCentered="1"/>
  <pageMargins left="0.25" right="0.25" top="0.75" bottom="0.75" header="0.25" footer="0.25"/>
  <pageSetup scale="57" orientation="portrait" r:id="rId1"/>
  <headerFooter alignWithMargins="0">
    <oddFooter>&amp;LCPS Energy&amp;C&amp;P&amp;R&amp;D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299"/>
  <sheetViews>
    <sheetView zoomScale="80" zoomScaleNormal="80" workbookViewId="0">
      <pane xSplit="2" ySplit="7" topLeftCell="C8" activePane="bottomRight" state="frozen"/>
      <selection activeCell="C368" sqref="C368"/>
      <selection pane="topRight" activeCell="C368" sqref="C368"/>
      <selection pane="bottomLeft" activeCell="C368" sqref="C368"/>
      <selection pane="bottomRight" activeCell="C8" sqref="C8"/>
    </sheetView>
  </sheetViews>
  <sheetFormatPr defaultColWidth="9.1796875" defaultRowHeight="13" x14ac:dyDescent="0.3"/>
  <cols>
    <col min="1" max="1" width="11.1796875" style="4" customWidth="1"/>
    <col min="2" max="2" width="38.81640625" style="4" customWidth="1"/>
    <col min="3" max="3" width="16.453125" style="4" bestFit="1" customWidth="1"/>
    <col min="4" max="4" width="14.1796875" style="17" customWidth="1"/>
    <col min="5" max="5" width="12" style="1" customWidth="1"/>
    <col min="6" max="6" width="14" style="4" bestFit="1" customWidth="1"/>
    <col min="7" max="7" width="14.453125" style="17" customWidth="1"/>
    <col min="8" max="8" width="14" style="17" bestFit="1" customWidth="1"/>
    <col min="9" max="9" width="14" style="4" bestFit="1" customWidth="1"/>
    <col min="10" max="10" width="13.54296875" style="17" customWidth="1"/>
    <col min="11" max="11" width="12.81640625" style="17" bestFit="1" customWidth="1"/>
    <col min="12" max="16" width="12" style="17" customWidth="1"/>
    <col min="17" max="17" width="10.1796875" style="17" bestFit="1" customWidth="1"/>
    <col min="18" max="18" width="12" style="17" customWidth="1"/>
    <col min="19" max="19" width="13.453125" style="4" bestFit="1" customWidth="1"/>
    <col min="20" max="20" width="11.54296875" style="4" bestFit="1" customWidth="1"/>
    <col min="21" max="36" width="9.1796875" style="4"/>
    <col min="37" max="37" width="12.81640625" style="4" bestFit="1" customWidth="1"/>
    <col min="38" max="16384" width="9.1796875" style="4"/>
  </cols>
  <sheetData>
    <row r="1" spans="1:21" x14ac:dyDescent="0.3">
      <c r="A1" s="343" t="str">
        <f>'1. RB-i'!A1</f>
        <v>CPS Energy</v>
      </c>
      <c r="B1" s="207"/>
      <c r="C1" s="207"/>
      <c r="D1" s="207"/>
      <c r="E1" s="207"/>
      <c r="F1" s="207"/>
      <c r="G1" s="353"/>
      <c r="H1" s="353"/>
      <c r="I1" s="207"/>
      <c r="J1" s="353"/>
      <c r="K1" s="353"/>
      <c r="L1" s="353"/>
      <c r="M1" s="353"/>
      <c r="N1" s="353"/>
      <c r="O1" s="353"/>
      <c r="P1" s="353"/>
      <c r="Q1" s="354"/>
    </row>
    <row r="2" spans="1:21" x14ac:dyDescent="0.3">
      <c r="A2" s="346" t="s">
        <v>897</v>
      </c>
      <c r="B2" s="191"/>
      <c r="C2" s="191"/>
      <c r="D2" s="256"/>
      <c r="E2" s="191"/>
      <c r="F2" s="191"/>
      <c r="G2" s="256"/>
      <c r="H2" s="256"/>
      <c r="I2" s="191"/>
      <c r="J2" s="256"/>
      <c r="K2" s="256"/>
      <c r="L2" s="256"/>
      <c r="M2" s="256"/>
      <c r="N2" s="256"/>
      <c r="O2" s="256"/>
      <c r="P2" s="256"/>
      <c r="Q2" s="355"/>
    </row>
    <row r="3" spans="1:21" x14ac:dyDescent="0.3">
      <c r="A3" s="346" t="s">
        <v>1293</v>
      </c>
      <c r="B3" s="191"/>
      <c r="C3" s="191"/>
      <c r="D3" s="256"/>
      <c r="E3" s="191"/>
      <c r="F3" s="191"/>
      <c r="G3" s="256"/>
      <c r="H3" s="256"/>
      <c r="I3" s="191"/>
      <c r="J3" s="256"/>
      <c r="K3" s="256"/>
      <c r="L3" s="256"/>
      <c r="M3" s="256"/>
      <c r="N3" s="256"/>
      <c r="O3" s="256"/>
      <c r="P3" s="256"/>
      <c r="Q3" s="355"/>
    </row>
    <row r="4" spans="1:21" x14ac:dyDescent="0.3">
      <c r="A4" s="268"/>
      <c r="B4" s="191"/>
      <c r="C4" s="191"/>
      <c r="D4" s="256"/>
      <c r="E4" s="191"/>
      <c r="F4" s="191"/>
      <c r="G4" s="256"/>
      <c r="H4" s="256"/>
      <c r="I4" s="191"/>
      <c r="J4" s="256"/>
      <c r="K4" s="256"/>
      <c r="L4" s="256"/>
      <c r="M4" s="256"/>
      <c r="N4" s="256"/>
      <c r="O4" s="256"/>
      <c r="P4" s="256"/>
      <c r="Q4" s="355"/>
    </row>
    <row r="5" spans="1:21" x14ac:dyDescent="0.3">
      <c r="A5" s="450"/>
      <c r="B5" s="216" t="s">
        <v>359</v>
      </c>
      <c r="C5" s="216" t="s">
        <v>352</v>
      </c>
      <c r="D5" s="269" t="s">
        <v>353</v>
      </c>
      <c r="E5" s="215" t="s">
        <v>354</v>
      </c>
      <c r="F5" s="215" t="s">
        <v>355</v>
      </c>
      <c r="G5" s="215" t="s">
        <v>356</v>
      </c>
      <c r="H5" s="215" t="s">
        <v>355</v>
      </c>
      <c r="I5" s="215" t="s">
        <v>357</v>
      </c>
      <c r="J5" s="419" t="s">
        <v>10</v>
      </c>
      <c r="K5" s="419" t="s">
        <v>10</v>
      </c>
      <c r="L5" s="419" t="s">
        <v>10</v>
      </c>
      <c r="M5" s="419" t="s">
        <v>10</v>
      </c>
      <c r="N5" s="419" t="s">
        <v>10</v>
      </c>
      <c r="O5" s="419" t="s">
        <v>10</v>
      </c>
      <c r="P5" s="419" t="s">
        <v>10</v>
      </c>
      <c r="Q5" s="420" t="s">
        <v>10</v>
      </c>
      <c r="R5" s="45"/>
      <c r="S5" s="4" t="s">
        <v>832</v>
      </c>
    </row>
    <row r="6" spans="1:21" x14ac:dyDescent="0.3">
      <c r="A6" s="451" t="s">
        <v>539</v>
      </c>
      <c r="B6" s="447"/>
      <c r="C6" s="187" t="s">
        <v>360</v>
      </c>
      <c r="D6" s="199" t="s">
        <v>361</v>
      </c>
      <c r="E6" s="186" t="s">
        <v>362</v>
      </c>
      <c r="F6" s="186"/>
      <c r="G6" s="186" t="s">
        <v>363</v>
      </c>
      <c r="H6" s="186" t="s">
        <v>364</v>
      </c>
      <c r="I6" s="186" t="s">
        <v>365</v>
      </c>
      <c r="J6" s="186" t="s">
        <v>544</v>
      </c>
      <c r="K6" s="198" t="s">
        <v>366</v>
      </c>
      <c r="L6" s="198" t="s">
        <v>367</v>
      </c>
      <c r="M6" s="198" t="s">
        <v>907</v>
      </c>
      <c r="N6" s="198" t="s">
        <v>909</v>
      </c>
      <c r="O6" s="198" t="s">
        <v>910</v>
      </c>
      <c r="P6" s="198" t="s">
        <v>912</v>
      </c>
      <c r="Q6" s="421" t="s">
        <v>913</v>
      </c>
      <c r="R6" s="45"/>
      <c r="S6" s="4" t="s">
        <v>833</v>
      </c>
      <c r="T6" s="4" t="s">
        <v>824</v>
      </c>
    </row>
    <row r="7" spans="1:21" ht="13.5" thickBot="1" x14ac:dyDescent="0.35">
      <c r="A7" s="452" t="s">
        <v>545</v>
      </c>
      <c r="B7" s="448"/>
      <c r="C7" s="448"/>
      <c r="D7" s="453" t="s">
        <v>815</v>
      </c>
      <c r="E7" s="234" t="s">
        <v>816</v>
      </c>
      <c r="F7" s="234" t="s">
        <v>817</v>
      </c>
      <c r="G7" s="234" t="s">
        <v>818</v>
      </c>
      <c r="H7" s="234" t="s">
        <v>819</v>
      </c>
      <c r="I7" s="234" t="s">
        <v>820</v>
      </c>
      <c r="J7" s="234" t="s">
        <v>821</v>
      </c>
      <c r="K7" s="234" t="s">
        <v>822</v>
      </c>
      <c r="L7" s="234" t="s">
        <v>823</v>
      </c>
      <c r="M7" s="234" t="s">
        <v>908</v>
      </c>
      <c r="N7" s="234" t="s">
        <v>914</v>
      </c>
      <c r="O7" s="234" t="s">
        <v>915</v>
      </c>
      <c r="P7" s="234" t="s">
        <v>916</v>
      </c>
      <c r="Q7" s="235" t="s">
        <v>917</v>
      </c>
      <c r="R7" s="5"/>
    </row>
    <row r="8" spans="1:21" x14ac:dyDescent="0.3">
      <c r="A8" s="44"/>
      <c r="B8" s="31"/>
      <c r="C8" s="31"/>
      <c r="J8" s="3"/>
      <c r="K8" s="3"/>
    </row>
    <row r="9" spans="1:21" x14ac:dyDescent="0.3">
      <c r="A9" s="460" t="s">
        <v>547</v>
      </c>
      <c r="B9" s="461"/>
      <c r="C9" s="461"/>
      <c r="D9" s="171"/>
      <c r="E9" s="62"/>
      <c r="F9" s="62"/>
      <c r="G9" s="171"/>
      <c r="H9" s="171"/>
      <c r="I9" s="62"/>
      <c r="J9" s="171"/>
      <c r="K9" s="171"/>
      <c r="L9" s="171"/>
      <c r="M9" s="171"/>
      <c r="N9" s="171"/>
      <c r="O9" s="171"/>
      <c r="P9" s="171"/>
      <c r="Q9" s="171"/>
      <c r="R9" s="171"/>
      <c r="S9" s="62"/>
      <c r="T9" s="62"/>
      <c r="U9" s="62"/>
    </row>
    <row r="10" spans="1:21" x14ac:dyDescent="0.3">
      <c r="A10" s="462"/>
      <c r="B10" s="461"/>
      <c r="C10" s="461"/>
      <c r="D10" s="171"/>
      <c r="E10" s="62"/>
      <c r="F10" s="62"/>
      <c r="G10" s="171"/>
      <c r="H10" s="171"/>
      <c r="I10" s="62"/>
      <c r="J10" s="171"/>
      <c r="K10" s="171"/>
      <c r="L10" s="171"/>
      <c r="M10" s="171"/>
      <c r="N10" s="171"/>
      <c r="O10" s="171"/>
      <c r="P10" s="171"/>
      <c r="Q10" s="171"/>
      <c r="R10" s="171"/>
      <c r="S10" s="62"/>
      <c r="T10" s="62"/>
      <c r="U10" s="62"/>
    </row>
    <row r="11" spans="1:21" x14ac:dyDescent="0.3">
      <c r="A11" s="462"/>
      <c r="B11" s="463" t="s">
        <v>548</v>
      </c>
      <c r="C11" s="463"/>
      <c r="D11" s="171"/>
      <c r="E11" s="62"/>
      <c r="F11" s="62"/>
      <c r="G11" s="171"/>
      <c r="H11" s="171"/>
      <c r="I11" s="62"/>
      <c r="J11" s="171"/>
      <c r="K11" s="171"/>
      <c r="L11" s="171"/>
      <c r="M11" s="171"/>
      <c r="N11" s="171"/>
      <c r="O11" s="171"/>
      <c r="P11" s="171"/>
      <c r="Q11" s="171"/>
      <c r="R11" s="171"/>
      <c r="S11" s="62"/>
      <c r="T11" s="62"/>
      <c r="U11" s="62"/>
    </row>
    <row r="12" spans="1:21" x14ac:dyDescent="0.3">
      <c r="A12" s="462"/>
      <c r="B12" s="464" t="s">
        <v>549</v>
      </c>
      <c r="C12" s="464"/>
      <c r="D12" s="171"/>
      <c r="E12" s="62"/>
      <c r="F12" s="62"/>
      <c r="G12" s="171"/>
      <c r="H12" s="171"/>
      <c r="I12" s="62"/>
      <c r="J12" s="171"/>
      <c r="K12" s="171"/>
      <c r="L12" s="171"/>
      <c r="M12" s="171"/>
      <c r="N12" s="171"/>
      <c r="O12" s="171"/>
      <c r="P12" s="171"/>
      <c r="Q12" s="171"/>
      <c r="R12" s="171"/>
      <c r="S12" s="62"/>
      <c r="T12" s="62"/>
      <c r="U12" s="62"/>
    </row>
    <row r="13" spans="1:21" s="1" customFormat="1" x14ac:dyDescent="0.3">
      <c r="A13" s="465">
        <v>500</v>
      </c>
      <c r="B13" s="466" t="s">
        <v>551</v>
      </c>
      <c r="C13" s="466"/>
      <c r="D13" s="696"/>
      <c r="E13" s="678"/>
      <c r="F13" s="678"/>
      <c r="G13" s="696"/>
      <c r="H13" s="678"/>
      <c r="I13" s="669"/>
      <c r="J13" s="678"/>
      <c r="K13" s="678"/>
      <c r="L13" s="678"/>
      <c r="M13" s="678"/>
      <c r="N13" s="678"/>
      <c r="O13" s="678"/>
      <c r="P13" s="678"/>
      <c r="Q13" s="678"/>
      <c r="R13" s="171"/>
      <c r="S13" s="62">
        <f>SUM(J13:Q13)</f>
        <v>0</v>
      </c>
      <c r="T13" s="62">
        <f t="shared" ref="T13:T22" si="0">H13-S13</f>
        <v>0</v>
      </c>
      <c r="U13" s="62"/>
    </row>
    <row r="14" spans="1:21" s="1" customFormat="1" x14ac:dyDescent="0.3">
      <c r="A14" s="465">
        <v>501</v>
      </c>
      <c r="B14" s="461" t="s">
        <v>553</v>
      </c>
      <c r="C14" s="461"/>
      <c r="D14" s="696"/>
      <c r="E14" s="699"/>
      <c r="F14" s="678"/>
      <c r="G14" s="696"/>
      <c r="H14" s="678"/>
      <c r="I14" s="669"/>
      <c r="J14" s="678"/>
      <c r="K14" s="678"/>
      <c r="L14" s="678"/>
      <c r="M14" s="678"/>
      <c r="N14" s="678"/>
      <c r="O14" s="678"/>
      <c r="P14" s="678"/>
      <c r="Q14" s="678"/>
      <c r="R14" s="171"/>
      <c r="S14" s="62">
        <f t="shared" ref="S14:S22" si="1">SUM(J14:Q14)</f>
        <v>0</v>
      </c>
      <c r="T14" s="62">
        <f t="shared" si="0"/>
        <v>0</v>
      </c>
      <c r="U14" s="62"/>
    </row>
    <row r="15" spans="1:21" s="1" customFormat="1" x14ac:dyDescent="0.3">
      <c r="A15" s="465">
        <v>501</v>
      </c>
      <c r="B15" s="466" t="s">
        <v>554</v>
      </c>
      <c r="C15" s="466"/>
      <c r="D15" s="696"/>
      <c r="E15" s="679"/>
      <c r="F15" s="678"/>
      <c r="G15" s="696"/>
      <c r="H15" s="678"/>
      <c r="I15" s="669"/>
      <c r="J15" s="678"/>
      <c r="K15" s="678"/>
      <c r="L15" s="678"/>
      <c r="M15" s="678"/>
      <c r="N15" s="678"/>
      <c r="O15" s="678"/>
      <c r="P15" s="678"/>
      <c r="Q15" s="678"/>
      <c r="R15" s="171"/>
      <c r="S15" s="62">
        <f t="shared" si="1"/>
        <v>0</v>
      </c>
      <c r="T15" s="62">
        <f t="shared" si="0"/>
        <v>0</v>
      </c>
      <c r="U15" s="62"/>
    </row>
    <row r="16" spans="1:21" s="1" customFormat="1" x14ac:dyDescent="0.3">
      <c r="A16" s="465">
        <v>502</v>
      </c>
      <c r="B16" s="461" t="s">
        <v>556</v>
      </c>
      <c r="C16" s="461"/>
      <c r="D16" s="696"/>
      <c r="E16" s="699"/>
      <c r="F16" s="678"/>
      <c r="G16" s="696"/>
      <c r="H16" s="678"/>
      <c r="I16" s="669"/>
      <c r="J16" s="678"/>
      <c r="K16" s="678"/>
      <c r="L16" s="678"/>
      <c r="M16" s="678"/>
      <c r="N16" s="678"/>
      <c r="O16" s="678"/>
      <c r="P16" s="678"/>
      <c r="Q16" s="678"/>
      <c r="R16" s="171"/>
      <c r="S16" s="62">
        <f t="shared" si="1"/>
        <v>0</v>
      </c>
      <c r="T16" s="62">
        <f t="shared" si="0"/>
        <v>0</v>
      </c>
      <c r="U16" s="62"/>
    </row>
    <row r="17" spans="1:21" s="1" customFormat="1" x14ac:dyDescent="0.3">
      <c r="A17" s="465">
        <v>503</v>
      </c>
      <c r="B17" s="461" t="s">
        <v>558</v>
      </c>
      <c r="C17" s="461"/>
      <c r="D17" s="696"/>
      <c r="E17" s="699"/>
      <c r="F17" s="678"/>
      <c r="G17" s="696"/>
      <c r="H17" s="678"/>
      <c r="I17" s="669"/>
      <c r="J17" s="678"/>
      <c r="K17" s="678"/>
      <c r="L17" s="678"/>
      <c r="M17" s="678"/>
      <c r="N17" s="678"/>
      <c r="O17" s="678"/>
      <c r="P17" s="678"/>
      <c r="Q17" s="678"/>
      <c r="R17" s="171"/>
      <c r="S17" s="62">
        <f t="shared" si="1"/>
        <v>0</v>
      </c>
      <c r="T17" s="62">
        <f t="shared" si="0"/>
        <v>0</v>
      </c>
      <c r="U17" s="62"/>
    </row>
    <row r="18" spans="1:21" s="1" customFormat="1" x14ac:dyDescent="0.3">
      <c r="A18" s="465">
        <v>505</v>
      </c>
      <c r="B18" s="461" t="s">
        <v>560</v>
      </c>
      <c r="C18" s="461"/>
      <c r="D18" s="696"/>
      <c r="E18" s="699"/>
      <c r="F18" s="678"/>
      <c r="G18" s="696"/>
      <c r="H18" s="678"/>
      <c r="I18" s="669"/>
      <c r="J18" s="678"/>
      <c r="K18" s="678"/>
      <c r="L18" s="678"/>
      <c r="M18" s="678"/>
      <c r="N18" s="678"/>
      <c r="O18" s="678"/>
      <c r="P18" s="678"/>
      <c r="Q18" s="678"/>
      <c r="R18" s="171"/>
      <c r="S18" s="62">
        <f t="shared" si="1"/>
        <v>0</v>
      </c>
      <c r="T18" s="62">
        <f t="shared" si="0"/>
        <v>0</v>
      </c>
      <c r="U18" s="62"/>
    </row>
    <row r="19" spans="1:21" s="1" customFormat="1" x14ac:dyDescent="0.3">
      <c r="A19" s="465">
        <v>506</v>
      </c>
      <c r="B19" s="461" t="s">
        <v>562</v>
      </c>
      <c r="C19" s="461"/>
      <c r="D19" s="696"/>
      <c r="E19" s="699"/>
      <c r="F19" s="678"/>
      <c r="G19" s="696"/>
      <c r="H19" s="678"/>
      <c r="I19" s="669"/>
      <c r="J19" s="678"/>
      <c r="K19" s="678"/>
      <c r="L19" s="678"/>
      <c r="M19" s="678"/>
      <c r="N19" s="678"/>
      <c r="O19" s="678"/>
      <c r="P19" s="678"/>
      <c r="Q19" s="678"/>
      <c r="R19" s="171"/>
      <c r="S19" s="62">
        <f t="shared" si="1"/>
        <v>0</v>
      </c>
      <c r="T19" s="62">
        <f t="shared" si="0"/>
        <v>0</v>
      </c>
      <c r="U19" s="62"/>
    </row>
    <row r="20" spans="1:21" s="1" customFormat="1" x14ac:dyDescent="0.3">
      <c r="A20" s="465">
        <v>507</v>
      </c>
      <c r="B20" s="461" t="s">
        <v>564</v>
      </c>
      <c r="C20" s="461"/>
      <c r="D20" s="696"/>
      <c r="E20" s="678"/>
      <c r="F20" s="678"/>
      <c r="G20" s="696"/>
      <c r="H20" s="678"/>
      <c r="I20" s="669"/>
      <c r="J20" s="678"/>
      <c r="K20" s="678"/>
      <c r="L20" s="678"/>
      <c r="M20" s="678"/>
      <c r="N20" s="678"/>
      <c r="O20" s="678"/>
      <c r="P20" s="678"/>
      <c r="Q20" s="678"/>
      <c r="R20" s="171"/>
      <c r="S20" s="62">
        <f t="shared" si="1"/>
        <v>0</v>
      </c>
      <c r="T20" s="62">
        <f t="shared" si="0"/>
        <v>0</v>
      </c>
      <c r="U20" s="62"/>
    </row>
    <row r="21" spans="1:21" s="1" customFormat="1" ht="14.5" x14ac:dyDescent="0.45">
      <c r="A21" s="461">
        <v>508</v>
      </c>
      <c r="B21" s="461" t="s">
        <v>893</v>
      </c>
      <c r="C21" s="461"/>
      <c r="D21" s="700"/>
      <c r="E21" s="678"/>
      <c r="F21" s="681"/>
      <c r="G21" s="700"/>
      <c r="H21" s="681"/>
      <c r="I21" s="701"/>
      <c r="J21" s="681"/>
      <c r="K21" s="678"/>
      <c r="L21" s="678"/>
      <c r="M21" s="678"/>
      <c r="N21" s="678"/>
      <c r="O21" s="678"/>
      <c r="P21" s="678"/>
      <c r="Q21" s="678"/>
      <c r="R21" s="171"/>
      <c r="S21" s="62">
        <f t="shared" si="1"/>
        <v>0</v>
      </c>
      <c r="T21" s="62">
        <f t="shared" si="0"/>
        <v>0</v>
      </c>
      <c r="U21" s="62"/>
    </row>
    <row r="22" spans="1:21" s="1" customFormat="1" x14ac:dyDescent="0.3">
      <c r="A22" s="461"/>
      <c r="B22" s="474" t="s">
        <v>524</v>
      </c>
      <c r="C22" s="474"/>
      <c r="D22" s="678"/>
      <c r="E22" s="678"/>
      <c r="F22" s="678"/>
      <c r="G22" s="678"/>
      <c r="H22" s="678"/>
      <c r="I22" s="678"/>
      <c r="J22" s="678"/>
      <c r="K22" s="678"/>
      <c r="L22" s="678"/>
      <c r="M22" s="678"/>
      <c r="N22" s="678"/>
      <c r="O22" s="678"/>
      <c r="P22" s="678"/>
      <c r="Q22" s="678"/>
      <c r="R22" s="171"/>
      <c r="S22" s="62">
        <f t="shared" si="1"/>
        <v>0</v>
      </c>
      <c r="T22" s="62">
        <f t="shared" si="0"/>
        <v>0</v>
      </c>
      <c r="U22" s="62"/>
    </row>
    <row r="23" spans="1:21" s="1" customFormat="1" x14ac:dyDescent="0.3">
      <c r="A23" s="461"/>
      <c r="B23" s="461"/>
      <c r="C23" s="461"/>
      <c r="D23" s="678"/>
      <c r="E23" s="677"/>
      <c r="F23" s="677"/>
      <c r="G23" s="678"/>
      <c r="H23" s="678"/>
      <c r="I23" s="677"/>
      <c r="J23" s="678"/>
      <c r="K23" s="678"/>
      <c r="L23" s="678"/>
      <c r="M23" s="678"/>
      <c r="N23" s="678"/>
      <c r="O23" s="678"/>
      <c r="P23" s="678"/>
      <c r="Q23" s="678"/>
      <c r="R23" s="171"/>
      <c r="S23" s="62"/>
      <c r="T23" s="62"/>
      <c r="U23" s="62"/>
    </row>
    <row r="24" spans="1:21" s="1" customFormat="1" x14ac:dyDescent="0.3">
      <c r="A24" s="461"/>
      <c r="B24" s="464" t="s">
        <v>565</v>
      </c>
      <c r="C24" s="464"/>
      <c r="D24" s="678"/>
      <c r="E24" s="677"/>
      <c r="F24" s="677"/>
      <c r="G24" s="678"/>
      <c r="H24" s="678"/>
      <c r="I24" s="677"/>
      <c r="J24" s="678"/>
      <c r="K24" s="678"/>
      <c r="L24" s="678"/>
      <c r="M24" s="678"/>
      <c r="N24" s="678"/>
      <c r="O24" s="678"/>
      <c r="P24" s="678"/>
      <c r="Q24" s="678"/>
      <c r="R24" s="171"/>
      <c r="S24" s="62"/>
      <c r="T24" s="62"/>
      <c r="U24" s="62"/>
    </row>
    <row r="25" spans="1:21" s="1" customFormat="1" x14ac:dyDescent="0.3">
      <c r="A25" s="465">
        <v>510</v>
      </c>
      <c r="B25" s="466" t="s">
        <v>567</v>
      </c>
      <c r="C25" s="466"/>
      <c r="D25" s="696"/>
      <c r="E25" s="699"/>
      <c r="F25" s="678"/>
      <c r="G25" s="696"/>
      <c r="H25" s="678"/>
      <c r="I25" s="669"/>
      <c r="J25" s="678"/>
      <c r="K25" s="678"/>
      <c r="L25" s="678"/>
      <c r="M25" s="678"/>
      <c r="N25" s="678"/>
      <c r="O25" s="678"/>
      <c r="P25" s="678"/>
      <c r="Q25" s="678"/>
      <c r="R25" s="171"/>
      <c r="S25" s="62">
        <f t="shared" ref="S25:S31" si="2">SUM(J25:Q25)</f>
        <v>0</v>
      </c>
      <c r="T25" s="62">
        <f t="shared" ref="T25:T31" si="3">H25-S25</f>
        <v>0</v>
      </c>
      <c r="U25" s="62"/>
    </row>
    <row r="26" spans="1:21" s="1" customFormat="1" x14ac:dyDescent="0.3">
      <c r="A26" s="465">
        <v>511</v>
      </c>
      <c r="B26" s="466" t="s">
        <v>569</v>
      </c>
      <c r="C26" s="466"/>
      <c r="D26" s="696"/>
      <c r="E26" s="699"/>
      <c r="F26" s="678"/>
      <c r="G26" s="696"/>
      <c r="H26" s="678"/>
      <c r="I26" s="669"/>
      <c r="J26" s="678"/>
      <c r="K26" s="678"/>
      <c r="L26" s="678"/>
      <c r="M26" s="678"/>
      <c r="N26" s="678"/>
      <c r="O26" s="678"/>
      <c r="P26" s="678"/>
      <c r="Q26" s="678"/>
      <c r="R26" s="171"/>
      <c r="S26" s="62">
        <f t="shared" si="2"/>
        <v>0</v>
      </c>
      <c r="T26" s="62">
        <f t="shared" si="3"/>
        <v>0</v>
      </c>
      <c r="U26" s="62"/>
    </row>
    <row r="27" spans="1:21" s="1" customFormat="1" x14ac:dyDescent="0.3">
      <c r="A27" s="465">
        <v>512</v>
      </c>
      <c r="B27" s="461" t="s">
        <v>571</v>
      </c>
      <c r="C27" s="461"/>
      <c r="D27" s="696"/>
      <c r="E27" s="699"/>
      <c r="F27" s="678"/>
      <c r="G27" s="696"/>
      <c r="H27" s="678"/>
      <c r="I27" s="669"/>
      <c r="J27" s="678"/>
      <c r="K27" s="678"/>
      <c r="L27" s="678"/>
      <c r="M27" s="678"/>
      <c r="N27" s="678"/>
      <c r="O27" s="678"/>
      <c r="P27" s="678"/>
      <c r="Q27" s="678"/>
      <c r="R27" s="171"/>
      <c r="S27" s="62">
        <f t="shared" si="2"/>
        <v>0</v>
      </c>
      <c r="T27" s="62">
        <f t="shared" si="3"/>
        <v>0</v>
      </c>
      <c r="U27" s="62"/>
    </row>
    <row r="28" spans="1:21" s="1" customFormat="1" x14ac:dyDescent="0.3">
      <c r="A28" s="465">
        <v>513</v>
      </c>
      <c r="B28" s="461" t="s">
        <v>573</v>
      </c>
      <c r="C28" s="461"/>
      <c r="D28" s="696"/>
      <c r="E28" s="699"/>
      <c r="F28" s="678"/>
      <c r="G28" s="696"/>
      <c r="H28" s="678"/>
      <c r="I28" s="669"/>
      <c r="J28" s="678"/>
      <c r="K28" s="678"/>
      <c r="L28" s="678"/>
      <c r="M28" s="678"/>
      <c r="N28" s="678"/>
      <c r="O28" s="678"/>
      <c r="P28" s="678"/>
      <c r="Q28" s="678"/>
      <c r="R28" s="171"/>
      <c r="S28" s="62">
        <f t="shared" si="2"/>
        <v>0</v>
      </c>
      <c r="T28" s="62">
        <f t="shared" si="3"/>
        <v>0</v>
      </c>
      <c r="U28" s="62"/>
    </row>
    <row r="29" spans="1:21" s="1" customFormat="1" x14ac:dyDescent="0.3">
      <c r="A29" s="465">
        <v>514</v>
      </c>
      <c r="B29" s="461" t="s">
        <v>575</v>
      </c>
      <c r="C29" s="461"/>
      <c r="D29" s="696"/>
      <c r="E29" s="702"/>
      <c r="F29" s="678"/>
      <c r="G29" s="696"/>
      <c r="H29" s="678"/>
      <c r="I29" s="669"/>
      <c r="J29" s="678"/>
      <c r="K29" s="678"/>
      <c r="L29" s="678"/>
      <c r="M29" s="678"/>
      <c r="N29" s="678"/>
      <c r="O29" s="678"/>
      <c r="P29" s="678"/>
      <c r="Q29" s="678"/>
      <c r="R29" s="171"/>
      <c r="S29" s="62">
        <f t="shared" si="2"/>
        <v>0</v>
      </c>
      <c r="T29" s="62">
        <f t="shared" si="3"/>
        <v>0</v>
      </c>
      <c r="U29" s="62"/>
    </row>
    <row r="30" spans="1:21" s="1" customFormat="1" ht="14.5" x14ac:dyDescent="0.45">
      <c r="A30" s="465">
        <v>516</v>
      </c>
      <c r="B30" s="461" t="s">
        <v>891</v>
      </c>
      <c r="C30" s="461"/>
      <c r="D30" s="700"/>
      <c r="E30" s="702"/>
      <c r="F30" s="681"/>
      <c r="G30" s="700"/>
      <c r="H30" s="678"/>
      <c r="I30" s="669"/>
      <c r="J30" s="678"/>
      <c r="K30" s="678"/>
      <c r="L30" s="678"/>
      <c r="M30" s="678"/>
      <c r="N30" s="678"/>
      <c r="O30" s="678"/>
      <c r="P30" s="678"/>
      <c r="Q30" s="678"/>
      <c r="R30" s="171"/>
      <c r="S30" s="62">
        <f t="shared" si="2"/>
        <v>0</v>
      </c>
      <c r="T30" s="62">
        <f t="shared" si="3"/>
        <v>0</v>
      </c>
      <c r="U30" s="62"/>
    </row>
    <row r="31" spans="1:21" s="1" customFormat="1" x14ac:dyDescent="0.3">
      <c r="A31" s="461"/>
      <c r="B31" s="474" t="s">
        <v>524</v>
      </c>
      <c r="C31" s="474"/>
      <c r="D31" s="678"/>
      <c r="E31" s="703"/>
      <c r="F31" s="678"/>
      <c r="G31" s="678"/>
      <c r="H31" s="678"/>
      <c r="I31" s="678"/>
      <c r="J31" s="678"/>
      <c r="K31" s="678"/>
      <c r="L31" s="678"/>
      <c r="M31" s="678"/>
      <c r="N31" s="678"/>
      <c r="O31" s="678"/>
      <c r="P31" s="678"/>
      <c r="Q31" s="678"/>
      <c r="R31" s="171"/>
      <c r="S31" s="62">
        <f t="shared" si="2"/>
        <v>0</v>
      </c>
      <c r="T31" s="62">
        <f t="shared" si="3"/>
        <v>0</v>
      </c>
      <c r="U31" s="62"/>
    </row>
    <row r="32" spans="1:21" s="1" customFormat="1" x14ac:dyDescent="0.3">
      <c r="A32" s="461"/>
      <c r="B32" s="474"/>
      <c r="C32" s="474"/>
      <c r="D32" s="678"/>
      <c r="E32" s="703"/>
      <c r="F32" s="703"/>
      <c r="G32" s="678"/>
      <c r="H32" s="678"/>
      <c r="I32" s="677"/>
      <c r="J32" s="678"/>
      <c r="K32" s="678"/>
      <c r="L32" s="678"/>
      <c r="M32" s="678"/>
      <c r="N32" s="678"/>
      <c r="O32" s="678"/>
      <c r="P32" s="678"/>
      <c r="Q32" s="678"/>
      <c r="R32" s="171"/>
      <c r="S32" s="62"/>
      <c r="T32" s="62"/>
      <c r="U32" s="62"/>
    </row>
    <row r="33" spans="1:21" s="1" customFormat="1" x14ac:dyDescent="0.3">
      <c r="A33" s="461">
        <v>515</v>
      </c>
      <c r="B33" s="461" t="s">
        <v>577</v>
      </c>
      <c r="C33" s="461"/>
      <c r="D33" s="678"/>
      <c r="E33" s="699"/>
      <c r="F33" s="678"/>
      <c r="G33" s="678"/>
      <c r="H33" s="678"/>
      <c r="I33" s="678"/>
      <c r="J33" s="678"/>
      <c r="K33" s="678"/>
      <c r="L33" s="678"/>
      <c r="M33" s="678"/>
      <c r="N33" s="678"/>
      <c r="O33" s="678"/>
      <c r="P33" s="678"/>
      <c r="Q33" s="678"/>
      <c r="R33" s="171"/>
      <c r="S33" s="62">
        <f>SUM(J33:Q33)</f>
        <v>0</v>
      </c>
      <c r="T33" s="62">
        <f>H33-S33</f>
        <v>0</v>
      </c>
      <c r="U33" s="62"/>
    </row>
    <row r="34" spans="1:21" s="1" customFormat="1" x14ac:dyDescent="0.3">
      <c r="A34" s="461"/>
      <c r="B34" s="461"/>
      <c r="C34" s="461"/>
      <c r="D34" s="678"/>
      <c r="E34" s="699"/>
      <c r="F34" s="678"/>
      <c r="G34" s="678"/>
      <c r="H34" s="678"/>
      <c r="I34" s="669"/>
      <c r="J34" s="678"/>
      <c r="K34" s="678"/>
      <c r="L34" s="678"/>
      <c r="M34" s="678"/>
      <c r="N34" s="678"/>
      <c r="O34" s="678"/>
      <c r="P34" s="678"/>
      <c r="Q34" s="678"/>
      <c r="R34" s="171"/>
      <c r="S34" s="62"/>
      <c r="T34" s="62"/>
      <c r="U34" s="62"/>
    </row>
    <row r="35" spans="1:21" s="1" customFormat="1" x14ac:dyDescent="0.3">
      <c r="A35" s="461"/>
      <c r="B35" s="463" t="s">
        <v>578</v>
      </c>
      <c r="C35" s="463"/>
      <c r="D35" s="678"/>
      <c r="E35" s="677"/>
      <c r="F35" s="677"/>
      <c r="G35" s="678"/>
      <c r="H35" s="678"/>
      <c r="I35" s="677"/>
      <c r="J35" s="678"/>
      <c r="K35" s="678"/>
      <c r="L35" s="678"/>
      <c r="M35" s="678"/>
      <c r="N35" s="678"/>
      <c r="O35" s="678"/>
      <c r="P35" s="678"/>
      <c r="Q35" s="678"/>
      <c r="R35" s="171"/>
      <c r="S35" s="62"/>
      <c r="T35" s="62"/>
      <c r="U35" s="62"/>
    </row>
    <row r="36" spans="1:21" s="1" customFormat="1" x14ac:dyDescent="0.3">
      <c r="A36" s="461"/>
      <c r="B36" s="464" t="s">
        <v>549</v>
      </c>
      <c r="C36" s="464"/>
      <c r="D36" s="678"/>
      <c r="E36" s="677"/>
      <c r="F36" s="677"/>
      <c r="G36" s="678"/>
      <c r="H36" s="678"/>
      <c r="I36" s="677"/>
      <c r="J36" s="678"/>
      <c r="K36" s="678"/>
      <c r="L36" s="678"/>
      <c r="M36" s="678"/>
      <c r="N36" s="678"/>
      <c r="O36" s="678"/>
      <c r="P36" s="678"/>
      <c r="Q36" s="678"/>
      <c r="R36" s="171"/>
      <c r="S36" s="62"/>
      <c r="T36" s="62"/>
      <c r="U36" s="62"/>
    </row>
    <row r="37" spans="1:21" s="1" customFormat="1" x14ac:dyDescent="0.3">
      <c r="A37" s="461">
        <v>517</v>
      </c>
      <c r="B37" s="461" t="s">
        <v>580</v>
      </c>
      <c r="C37" s="461"/>
      <c r="D37" s="696"/>
      <c r="E37" s="699"/>
      <c r="F37" s="699"/>
      <c r="G37" s="696"/>
      <c r="H37" s="678"/>
      <c r="I37" s="703"/>
      <c r="J37" s="678"/>
      <c r="K37" s="678"/>
      <c r="L37" s="678"/>
      <c r="M37" s="678"/>
      <c r="N37" s="678"/>
      <c r="O37" s="678"/>
      <c r="P37" s="678"/>
      <c r="Q37" s="678"/>
      <c r="R37" s="171"/>
      <c r="S37" s="62">
        <f t="shared" ref="S37:S44" si="4">SUM(J37:Q37)</f>
        <v>0</v>
      </c>
      <c r="T37" s="62">
        <f t="shared" ref="T37:T44" si="5">H37-S37</f>
        <v>0</v>
      </c>
      <c r="U37" s="62"/>
    </row>
    <row r="38" spans="1:21" s="1" customFormat="1" x14ac:dyDescent="0.3">
      <c r="A38" s="461">
        <v>518</v>
      </c>
      <c r="B38" s="461" t="s">
        <v>582</v>
      </c>
      <c r="C38" s="461"/>
      <c r="D38" s="696"/>
      <c r="E38" s="699"/>
      <c r="F38" s="696"/>
      <c r="G38" s="696"/>
      <c r="H38" s="696"/>
      <c r="I38" s="696"/>
      <c r="J38" s="696"/>
      <c r="K38" s="678"/>
      <c r="L38" s="678"/>
      <c r="M38" s="678"/>
      <c r="N38" s="678"/>
      <c r="O38" s="678"/>
      <c r="P38" s="678"/>
      <c r="Q38" s="678"/>
      <c r="R38" s="171"/>
      <c r="S38" s="62">
        <f t="shared" si="4"/>
        <v>0</v>
      </c>
      <c r="T38" s="62">
        <f t="shared" si="5"/>
        <v>0</v>
      </c>
      <c r="U38" s="62"/>
    </row>
    <row r="39" spans="1:21" s="1" customFormat="1" x14ac:dyDescent="0.3">
      <c r="A39" s="461">
        <v>519</v>
      </c>
      <c r="B39" s="461" t="s">
        <v>584</v>
      </c>
      <c r="C39" s="461"/>
      <c r="D39" s="696"/>
      <c r="E39" s="699"/>
      <c r="F39" s="699"/>
      <c r="G39" s="696"/>
      <c r="H39" s="678"/>
      <c r="I39" s="703"/>
      <c r="J39" s="678"/>
      <c r="K39" s="678"/>
      <c r="L39" s="678"/>
      <c r="M39" s="678"/>
      <c r="N39" s="678"/>
      <c r="O39" s="678"/>
      <c r="P39" s="678"/>
      <c r="Q39" s="678"/>
      <c r="R39" s="171"/>
      <c r="S39" s="62">
        <f t="shared" si="4"/>
        <v>0</v>
      </c>
      <c r="T39" s="62">
        <f t="shared" si="5"/>
        <v>0</v>
      </c>
      <c r="U39" s="62"/>
    </row>
    <row r="40" spans="1:21" s="1" customFormat="1" x14ac:dyDescent="0.3">
      <c r="A40" s="461">
        <v>520</v>
      </c>
      <c r="B40" s="461" t="s">
        <v>556</v>
      </c>
      <c r="C40" s="461"/>
      <c r="D40" s="696"/>
      <c r="E40" s="699"/>
      <c r="F40" s="699"/>
      <c r="G40" s="696"/>
      <c r="H40" s="678"/>
      <c r="I40" s="703"/>
      <c r="J40" s="678"/>
      <c r="K40" s="678"/>
      <c r="L40" s="678"/>
      <c r="M40" s="678"/>
      <c r="N40" s="678"/>
      <c r="O40" s="678"/>
      <c r="P40" s="678"/>
      <c r="Q40" s="678"/>
      <c r="R40" s="171"/>
      <c r="S40" s="62">
        <f t="shared" si="4"/>
        <v>0</v>
      </c>
      <c r="T40" s="62">
        <f t="shared" si="5"/>
        <v>0</v>
      </c>
      <c r="U40" s="62"/>
    </row>
    <row r="41" spans="1:21" s="1" customFormat="1" x14ac:dyDescent="0.3">
      <c r="A41" s="461">
        <v>523</v>
      </c>
      <c r="B41" s="466" t="s">
        <v>587</v>
      </c>
      <c r="C41" s="466"/>
      <c r="D41" s="696"/>
      <c r="E41" s="699"/>
      <c r="F41" s="699"/>
      <c r="G41" s="696"/>
      <c r="H41" s="678"/>
      <c r="I41" s="703"/>
      <c r="J41" s="678"/>
      <c r="K41" s="678"/>
      <c r="L41" s="678"/>
      <c r="M41" s="678"/>
      <c r="N41" s="678"/>
      <c r="O41" s="678"/>
      <c r="P41" s="678"/>
      <c r="Q41" s="678"/>
      <c r="R41" s="171"/>
      <c r="S41" s="62">
        <f t="shared" si="4"/>
        <v>0</v>
      </c>
      <c r="T41" s="62">
        <f t="shared" si="5"/>
        <v>0</v>
      </c>
      <c r="U41" s="62"/>
    </row>
    <row r="42" spans="1:21" s="1" customFormat="1" x14ac:dyDescent="0.3">
      <c r="A42" s="461">
        <v>524</v>
      </c>
      <c r="B42" s="461" t="s">
        <v>589</v>
      </c>
      <c r="C42" s="461"/>
      <c r="D42" s="696"/>
      <c r="E42" s="699"/>
      <c r="F42" s="699"/>
      <c r="G42" s="696"/>
      <c r="H42" s="678"/>
      <c r="I42" s="703"/>
      <c r="J42" s="678"/>
      <c r="K42" s="678"/>
      <c r="L42" s="678"/>
      <c r="M42" s="678"/>
      <c r="N42" s="678"/>
      <c r="O42" s="678"/>
      <c r="P42" s="678"/>
      <c r="Q42" s="678"/>
      <c r="R42" s="171"/>
      <c r="S42" s="62">
        <f t="shared" si="4"/>
        <v>0</v>
      </c>
      <c r="T42" s="62">
        <f t="shared" si="5"/>
        <v>0</v>
      </c>
      <c r="U42" s="62"/>
    </row>
    <row r="43" spans="1:21" s="1" customFormat="1" ht="14.5" x14ac:dyDescent="0.45">
      <c r="A43" s="461">
        <v>525</v>
      </c>
      <c r="B43" s="461" t="s">
        <v>591</v>
      </c>
      <c r="C43" s="461"/>
      <c r="D43" s="700"/>
      <c r="E43" s="704"/>
      <c r="F43" s="700"/>
      <c r="G43" s="700"/>
      <c r="H43" s="700"/>
      <c r="I43" s="700"/>
      <c r="J43" s="700"/>
      <c r="K43" s="678"/>
      <c r="L43" s="678"/>
      <c r="M43" s="678"/>
      <c r="N43" s="678"/>
      <c r="O43" s="678"/>
      <c r="P43" s="678"/>
      <c r="Q43" s="678"/>
      <c r="R43" s="171"/>
      <c r="S43" s="62">
        <f t="shared" si="4"/>
        <v>0</v>
      </c>
      <c r="T43" s="62">
        <f t="shared" si="5"/>
        <v>0</v>
      </c>
      <c r="U43" s="62"/>
    </row>
    <row r="44" spans="1:21" s="1" customFormat="1" x14ac:dyDescent="0.3">
      <c r="A44" s="461"/>
      <c r="B44" s="474" t="s">
        <v>524</v>
      </c>
      <c r="C44" s="474"/>
      <c r="D44" s="678"/>
      <c r="E44" s="703"/>
      <c r="F44" s="678"/>
      <c r="G44" s="678"/>
      <c r="H44" s="678"/>
      <c r="I44" s="678"/>
      <c r="J44" s="678"/>
      <c r="K44" s="678"/>
      <c r="L44" s="678"/>
      <c r="M44" s="678"/>
      <c r="N44" s="678"/>
      <c r="O44" s="678"/>
      <c r="P44" s="678"/>
      <c r="Q44" s="678"/>
      <c r="R44" s="171"/>
      <c r="S44" s="62">
        <f t="shared" si="4"/>
        <v>0</v>
      </c>
      <c r="T44" s="62">
        <f t="shared" si="5"/>
        <v>0</v>
      </c>
      <c r="U44" s="62"/>
    </row>
    <row r="45" spans="1:21" s="1" customFormat="1" x14ac:dyDescent="0.3">
      <c r="A45" s="461"/>
      <c r="B45" s="461"/>
      <c r="C45" s="461"/>
      <c r="D45" s="678"/>
      <c r="E45" s="677"/>
      <c r="F45" s="677"/>
      <c r="G45" s="678"/>
      <c r="H45" s="678"/>
      <c r="I45" s="677"/>
      <c r="J45" s="678"/>
      <c r="K45" s="678"/>
      <c r="L45" s="678"/>
      <c r="M45" s="678"/>
      <c r="N45" s="678"/>
      <c r="O45" s="678"/>
      <c r="P45" s="678"/>
      <c r="Q45" s="678"/>
      <c r="R45" s="171"/>
      <c r="S45" s="62"/>
      <c r="T45" s="62"/>
      <c r="U45" s="62"/>
    </row>
    <row r="46" spans="1:21" s="1" customFormat="1" x14ac:dyDescent="0.3">
      <c r="A46" s="461"/>
      <c r="B46" s="464" t="s">
        <v>565</v>
      </c>
      <c r="C46" s="464"/>
      <c r="D46" s="678"/>
      <c r="E46" s="677"/>
      <c r="F46" s="677"/>
      <c r="G46" s="678"/>
      <c r="H46" s="678"/>
      <c r="I46" s="677"/>
      <c r="J46" s="678"/>
      <c r="K46" s="678"/>
      <c r="L46" s="678"/>
      <c r="M46" s="678"/>
      <c r="N46" s="678"/>
      <c r="O46" s="678"/>
      <c r="P46" s="678"/>
      <c r="Q46" s="678"/>
      <c r="R46" s="171"/>
      <c r="S46" s="62"/>
      <c r="T46" s="62"/>
      <c r="U46" s="62"/>
    </row>
    <row r="47" spans="1:21" s="1" customFormat="1" x14ac:dyDescent="0.3">
      <c r="A47" s="461">
        <v>528</v>
      </c>
      <c r="B47" s="461" t="s">
        <v>593</v>
      </c>
      <c r="C47" s="461"/>
      <c r="D47" s="696"/>
      <c r="E47" s="703"/>
      <c r="F47" s="703"/>
      <c r="G47" s="696"/>
      <c r="H47" s="678"/>
      <c r="I47" s="703"/>
      <c r="J47" s="678"/>
      <c r="K47" s="678"/>
      <c r="L47" s="678"/>
      <c r="M47" s="678"/>
      <c r="N47" s="678"/>
      <c r="O47" s="678"/>
      <c r="P47" s="678"/>
      <c r="Q47" s="678"/>
      <c r="R47" s="171"/>
      <c r="S47" s="62">
        <f t="shared" ref="S47:S52" si="6">SUM(J47:Q47)</f>
        <v>0</v>
      </c>
      <c r="T47" s="62">
        <f t="shared" ref="T47:T52" si="7">H47-S47</f>
        <v>0</v>
      </c>
      <c r="U47" s="62"/>
    </row>
    <row r="48" spans="1:21" s="1" customFormat="1" x14ac:dyDescent="0.3">
      <c r="A48" s="461">
        <v>529</v>
      </c>
      <c r="B48" s="461" t="s">
        <v>569</v>
      </c>
      <c r="C48" s="461"/>
      <c r="D48" s="696"/>
      <c r="E48" s="703"/>
      <c r="F48" s="703"/>
      <c r="G48" s="696"/>
      <c r="H48" s="678"/>
      <c r="I48" s="703"/>
      <c r="J48" s="678"/>
      <c r="K48" s="678"/>
      <c r="L48" s="678"/>
      <c r="M48" s="678"/>
      <c r="N48" s="678"/>
      <c r="O48" s="678"/>
      <c r="P48" s="678"/>
      <c r="Q48" s="678"/>
      <c r="R48" s="171"/>
      <c r="S48" s="62">
        <f t="shared" si="6"/>
        <v>0</v>
      </c>
      <c r="T48" s="62">
        <f t="shared" si="7"/>
        <v>0</v>
      </c>
      <c r="U48" s="62"/>
    </row>
    <row r="49" spans="1:21" s="1" customFormat="1" x14ac:dyDescent="0.3">
      <c r="A49" s="461">
        <v>530</v>
      </c>
      <c r="B49" s="461" t="s">
        <v>596</v>
      </c>
      <c r="C49" s="461"/>
      <c r="D49" s="696"/>
      <c r="E49" s="703"/>
      <c r="F49" s="703"/>
      <c r="G49" s="696"/>
      <c r="H49" s="678"/>
      <c r="I49" s="703"/>
      <c r="J49" s="678"/>
      <c r="K49" s="678"/>
      <c r="L49" s="678"/>
      <c r="M49" s="678"/>
      <c r="N49" s="678"/>
      <c r="O49" s="678"/>
      <c r="P49" s="678"/>
      <c r="Q49" s="678"/>
      <c r="R49" s="171"/>
      <c r="S49" s="62">
        <f t="shared" si="6"/>
        <v>0</v>
      </c>
      <c r="T49" s="62">
        <f t="shared" si="7"/>
        <v>0</v>
      </c>
      <c r="U49" s="62"/>
    </row>
    <row r="50" spans="1:21" s="1" customFormat="1" x14ac:dyDescent="0.3">
      <c r="A50" s="461">
        <v>531</v>
      </c>
      <c r="B50" s="461" t="s">
        <v>573</v>
      </c>
      <c r="C50" s="461"/>
      <c r="D50" s="696"/>
      <c r="E50" s="703"/>
      <c r="F50" s="703"/>
      <c r="G50" s="696"/>
      <c r="H50" s="678"/>
      <c r="I50" s="703"/>
      <c r="J50" s="678"/>
      <c r="K50" s="678"/>
      <c r="L50" s="678"/>
      <c r="M50" s="678"/>
      <c r="N50" s="678"/>
      <c r="O50" s="678"/>
      <c r="P50" s="678"/>
      <c r="Q50" s="678"/>
      <c r="R50" s="171"/>
      <c r="S50" s="62">
        <f t="shared" si="6"/>
        <v>0</v>
      </c>
      <c r="T50" s="62">
        <f t="shared" si="7"/>
        <v>0</v>
      </c>
      <c r="U50" s="62"/>
    </row>
    <row r="51" spans="1:21" s="1" customFormat="1" ht="14.5" x14ac:dyDescent="0.45">
      <c r="A51" s="461">
        <v>532</v>
      </c>
      <c r="B51" s="461" t="s">
        <v>599</v>
      </c>
      <c r="C51" s="461"/>
      <c r="D51" s="700"/>
      <c r="E51" s="704"/>
      <c r="F51" s="704"/>
      <c r="G51" s="700"/>
      <c r="H51" s="682"/>
      <c r="I51" s="704"/>
      <c r="J51" s="682"/>
      <c r="K51" s="678"/>
      <c r="L51" s="678"/>
      <c r="M51" s="678"/>
      <c r="N51" s="678"/>
      <c r="O51" s="678"/>
      <c r="P51" s="678"/>
      <c r="Q51" s="678"/>
      <c r="R51" s="171"/>
      <c r="S51" s="62">
        <f t="shared" si="6"/>
        <v>0</v>
      </c>
      <c r="T51" s="62">
        <f t="shared" si="7"/>
        <v>0</v>
      </c>
      <c r="U51" s="62"/>
    </row>
    <row r="52" spans="1:21" s="1" customFormat="1" x14ac:dyDescent="0.3">
      <c r="A52" s="461"/>
      <c r="B52" s="474" t="s">
        <v>524</v>
      </c>
      <c r="C52" s="474"/>
      <c r="D52" s="678"/>
      <c r="E52" s="703"/>
      <c r="F52" s="678"/>
      <c r="G52" s="678"/>
      <c r="H52" s="678"/>
      <c r="I52" s="678"/>
      <c r="J52" s="678"/>
      <c r="K52" s="678"/>
      <c r="L52" s="678"/>
      <c r="M52" s="678"/>
      <c r="N52" s="678"/>
      <c r="O52" s="678"/>
      <c r="P52" s="678"/>
      <c r="Q52" s="678"/>
      <c r="R52" s="171"/>
      <c r="S52" s="62">
        <f t="shared" si="6"/>
        <v>0</v>
      </c>
      <c r="T52" s="62">
        <f t="shared" si="7"/>
        <v>0</v>
      </c>
      <c r="U52" s="62"/>
    </row>
    <row r="53" spans="1:21" s="1" customFormat="1" x14ac:dyDescent="0.3">
      <c r="A53" s="461"/>
      <c r="B53" s="461"/>
      <c r="C53" s="461"/>
      <c r="D53" s="678"/>
      <c r="E53" s="677"/>
      <c r="F53" s="677"/>
      <c r="G53" s="678"/>
      <c r="H53" s="678"/>
      <c r="I53" s="677"/>
      <c r="J53" s="678"/>
      <c r="K53" s="678"/>
      <c r="L53" s="678"/>
      <c r="M53" s="678"/>
      <c r="N53" s="678"/>
      <c r="O53" s="678"/>
      <c r="P53" s="678"/>
      <c r="Q53" s="678"/>
      <c r="R53" s="171"/>
      <c r="S53" s="62"/>
      <c r="T53" s="62"/>
      <c r="U53" s="62"/>
    </row>
    <row r="54" spans="1:21" s="1" customFormat="1" x14ac:dyDescent="0.3">
      <c r="A54" s="461"/>
      <c r="B54" s="477" t="s">
        <v>1327</v>
      </c>
      <c r="C54" s="477"/>
      <c r="D54" s="678"/>
      <c r="E54" s="677"/>
      <c r="F54" s="677"/>
      <c r="G54" s="678"/>
      <c r="H54" s="678"/>
      <c r="I54" s="677"/>
      <c r="J54" s="678"/>
      <c r="K54" s="678"/>
      <c r="L54" s="678"/>
      <c r="M54" s="678"/>
      <c r="N54" s="678"/>
      <c r="O54" s="678"/>
      <c r="P54" s="678"/>
      <c r="Q54" s="678"/>
      <c r="R54" s="171"/>
      <c r="S54" s="62"/>
      <c r="T54" s="62"/>
      <c r="U54" s="62"/>
    </row>
    <row r="55" spans="1:21" s="1" customFormat="1" x14ac:dyDescent="0.3">
      <c r="A55" s="461"/>
      <c r="B55" s="464" t="s">
        <v>549</v>
      </c>
      <c r="C55" s="464"/>
      <c r="D55" s="678"/>
      <c r="E55" s="677"/>
      <c r="F55" s="677"/>
      <c r="G55" s="678"/>
      <c r="H55" s="678"/>
      <c r="I55" s="677"/>
      <c r="J55" s="678"/>
      <c r="K55" s="678"/>
      <c r="L55" s="678"/>
      <c r="M55" s="678"/>
      <c r="N55" s="678"/>
      <c r="O55" s="678"/>
      <c r="P55" s="678"/>
      <c r="Q55" s="678"/>
      <c r="R55" s="171"/>
      <c r="S55" s="62"/>
      <c r="T55" s="62"/>
      <c r="U55" s="62"/>
    </row>
    <row r="56" spans="1:21" s="1" customFormat="1" x14ac:dyDescent="0.3">
      <c r="A56" s="466">
        <v>535</v>
      </c>
      <c r="B56" s="461" t="s">
        <v>580</v>
      </c>
      <c r="C56" s="461"/>
      <c r="D56" s="696"/>
      <c r="E56" s="678"/>
      <c r="F56" s="678"/>
      <c r="G56" s="696"/>
      <c r="H56" s="678"/>
      <c r="I56" s="677"/>
      <c r="J56" s="678"/>
      <c r="K56" s="678"/>
      <c r="L56" s="678"/>
      <c r="M56" s="678"/>
      <c r="N56" s="678"/>
      <c r="O56" s="678"/>
      <c r="P56" s="678"/>
      <c r="Q56" s="678"/>
      <c r="R56" s="171"/>
      <c r="S56" s="62">
        <f t="shared" ref="S56:S62" si="8">SUM(J56:Q56)</f>
        <v>0</v>
      </c>
      <c r="T56" s="62">
        <f t="shared" ref="T56:T62" si="9">H56-S56</f>
        <v>0</v>
      </c>
      <c r="U56" s="62"/>
    </row>
    <row r="57" spans="1:21" s="1" customFormat="1" x14ac:dyDescent="0.3">
      <c r="A57" s="466">
        <v>536</v>
      </c>
      <c r="B57" s="466" t="s">
        <v>602</v>
      </c>
      <c r="C57" s="466"/>
      <c r="D57" s="696"/>
      <c r="E57" s="678"/>
      <c r="F57" s="678"/>
      <c r="G57" s="696"/>
      <c r="H57" s="678"/>
      <c r="I57" s="677"/>
      <c r="J57" s="678"/>
      <c r="K57" s="678"/>
      <c r="L57" s="678"/>
      <c r="M57" s="678"/>
      <c r="N57" s="678"/>
      <c r="O57" s="678"/>
      <c r="P57" s="678"/>
      <c r="Q57" s="678"/>
      <c r="R57" s="171"/>
      <c r="S57" s="62">
        <f t="shared" si="8"/>
        <v>0</v>
      </c>
      <c r="T57" s="62">
        <f t="shared" si="9"/>
        <v>0</v>
      </c>
      <c r="U57" s="62"/>
    </row>
    <row r="58" spans="1:21" s="1" customFormat="1" x14ac:dyDescent="0.3">
      <c r="A58" s="461">
        <v>537</v>
      </c>
      <c r="B58" s="461" t="s">
        <v>1328</v>
      </c>
      <c r="C58" s="461"/>
      <c r="D58" s="696"/>
      <c r="E58" s="678"/>
      <c r="F58" s="678"/>
      <c r="G58" s="696"/>
      <c r="H58" s="678"/>
      <c r="I58" s="677"/>
      <c r="J58" s="678"/>
      <c r="K58" s="678"/>
      <c r="L58" s="678"/>
      <c r="M58" s="678"/>
      <c r="N58" s="678"/>
      <c r="O58" s="678"/>
      <c r="P58" s="678"/>
      <c r="Q58" s="678"/>
      <c r="R58" s="171"/>
      <c r="S58" s="62">
        <f t="shared" si="8"/>
        <v>0</v>
      </c>
      <c r="T58" s="62">
        <f t="shared" si="9"/>
        <v>0</v>
      </c>
      <c r="U58" s="62"/>
    </row>
    <row r="59" spans="1:21" s="1" customFormat="1" x14ac:dyDescent="0.3">
      <c r="A59" s="461">
        <v>538</v>
      </c>
      <c r="B59" s="461" t="s">
        <v>560</v>
      </c>
      <c r="C59" s="461"/>
      <c r="D59" s="696"/>
      <c r="E59" s="678"/>
      <c r="F59" s="678"/>
      <c r="G59" s="696"/>
      <c r="H59" s="678"/>
      <c r="I59" s="677"/>
      <c r="J59" s="678"/>
      <c r="K59" s="678"/>
      <c r="L59" s="678"/>
      <c r="M59" s="678"/>
      <c r="N59" s="678"/>
      <c r="O59" s="678"/>
      <c r="P59" s="678"/>
      <c r="Q59" s="678"/>
      <c r="R59" s="171"/>
      <c r="S59" s="62">
        <f t="shared" si="8"/>
        <v>0</v>
      </c>
      <c r="T59" s="62">
        <f t="shared" si="9"/>
        <v>0</v>
      </c>
      <c r="U59" s="62"/>
    </row>
    <row r="60" spans="1:21" s="1" customFormat="1" x14ac:dyDescent="0.3">
      <c r="A60" s="461">
        <v>539</v>
      </c>
      <c r="B60" s="466" t="s">
        <v>1329</v>
      </c>
      <c r="C60" s="466"/>
      <c r="D60" s="696"/>
      <c r="E60" s="678"/>
      <c r="F60" s="678"/>
      <c r="G60" s="696"/>
      <c r="H60" s="678"/>
      <c r="I60" s="677"/>
      <c r="J60" s="678"/>
      <c r="K60" s="678"/>
      <c r="L60" s="678"/>
      <c r="M60" s="678"/>
      <c r="N60" s="678"/>
      <c r="O60" s="678"/>
      <c r="P60" s="678"/>
      <c r="Q60" s="678"/>
      <c r="R60" s="171"/>
      <c r="S60" s="62">
        <f t="shared" si="8"/>
        <v>0</v>
      </c>
      <c r="T60" s="62">
        <f t="shared" si="9"/>
        <v>0</v>
      </c>
      <c r="U60" s="62"/>
    </row>
    <row r="61" spans="1:21" s="1" customFormat="1" ht="14.5" x14ac:dyDescent="0.45">
      <c r="A61" s="461">
        <v>540</v>
      </c>
      <c r="B61" s="461" t="s">
        <v>564</v>
      </c>
      <c r="C61" s="461"/>
      <c r="D61" s="700"/>
      <c r="E61" s="678"/>
      <c r="F61" s="678"/>
      <c r="G61" s="700"/>
      <c r="H61" s="678"/>
      <c r="I61" s="677"/>
      <c r="J61" s="678"/>
      <c r="K61" s="678"/>
      <c r="L61" s="678"/>
      <c r="M61" s="678"/>
      <c r="N61" s="678"/>
      <c r="O61" s="678"/>
      <c r="P61" s="678"/>
      <c r="Q61" s="678"/>
      <c r="R61" s="171"/>
      <c r="S61" s="62">
        <f t="shared" si="8"/>
        <v>0</v>
      </c>
      <c r="T61" s="62">
        <f t="shared" si="9"/>
        <v>0</v>
      </c>
      <c r="U61" s="62"/>
    </row>
    <row r="62" spans="1:21" s="1" customFormat="1" x14ac:dyDescent="0.3">
      <c r="A62" s="466"/>
      <c r="B62" s="474" t="s">
        <v>524</v>
      </c>
      <c r="C62" s="474"/>
      <c r="D62" s="678"/>
      <c r="E62" s="678"/>
      <c r="F62" s="678"/>
      <c r="G62" s="678"/>
      <c r="H62" s="678"/>
      <c r="I62" s="677"/>
      <c r="J62" s="678"/>
      <c r="K62" s="678"/>
      <c r="L62" s="678"/>
      <c r="M62" s="678"/>
      <c r="N62" s="678"/>
      <c r="O62" s="678"/>
      <c r="P62" s="678"/>
      <c r="Q62" s="678"/>
      <c r="R62" s="171"/>
      <c r="S62" s="62">
        <f t="shared" si="8"/>
        <v>0</v>
      </c>
      <c r="T62" s="62">
        <f t="shared" si="9"/>
        <v>0</v>
      </c>
      <c r="U62" s="62"/>
    </row>
    <row r="63" spans="1:21" s="1" customFormat="1" x14ac:dyDescent="0.3">
      <c r="A63" s="461"/>
      <c r="B63" s="474"/>
      <c r="C63" s="474"/>
      <c r="D63" s="678"/>
      <c r="E63" s="677"/>
      <c r="F63" s="677"/>
      <c r="G63" s="678"/>
      <c r="H63" s="678"/>
      <c r="I63" s="677"/>
      <c r="J63" s="678"/>
      <c r="K63" s="678"/>
      <c r="L63" s="678"/>
      <c r="M63" s="678"/>
      <c r="N63" s="678"/>
      <c r="O63" s="678"/>
      <c r="P63" s="678"/>
      <c r="Q63" s="678"/>
      <c r="R63" s="171"/>
      <c r="S63" s="62"/>
      <c r="T63" s="62"/>
      <c r="U63" s="62"/>
    </row>
    <row r="64" spans="1:21" s="1" customFormat="1" x14ac:dyDescent="0.3">
      <c r="A64" s="461"/>
      <c r="B64" s="464" t="s">
        <v>565</v>
      </c>
      <c r="C64" s="464"/>
      <c r="D64" s="678"/>
      <c r="E64" s="677"/>
      <c r="F64" s="677"/>
      <c r="G64" s="678"/>
      <c r="H64" s="678"/>
      <c r="I64" s="677"/>
      <c r="J64" s="678"/>
      <c r="K64" s="678"/>
      <c r="L64" s="678"/>
      <c r="M64" s="678"/>
      <c r="N64" s="678"/>
      <c r="O64" s="678"/>
      <c r="P64" s="678"/>
      <c r="Q64" s="678"/>
      <c r="R64" s="171"/>
      <c r="S64" s="62"/>
      <c r="T64" s="62"/>
      <c r="U64" s="62"/>
    </row>
    <row r="65" spans="1:21" s="1" customFormat="1" x14ac:dyDescent="0.3">
      <c r="A65" s="466">
        <v>541</v>
      </c>
      <c r="B65" s="461" t="s">
        <v>593</v>
      </c>
      <c r="C65" s="461"/>
      <c r="D65" s="696"/>
      <c r="E65" s="678"/>
      <c r="F65" s="678"/>
      <c r="G65" s="696"/>
      <c r="H65" s="678"/>
      <c r="I65" s="677"/>
      <c r="J65" s="678"/>
      <c r="K65" s="678"/>
      <c r="L65" s="678"/>
      <c r="M65" s="678"/>
      <c r="N65" s="678"/>
      <c r="O65" s="678"/>
      <c r="P65" s="678"/>
      <c r="Q65" s="678"/>
      <c r="R65" s="171"/>
      <c r="S65" s="62">
        <f t="shared" ref="S65:S70" si="10">SUM(J65:Q65)</f>
        <v>0</v>
      </c>
      <c r="T65" s="62">
        <f t="shared" ref="T65:T70" si="11">H65-S65</f>
        <v>0</v>
      </c>
      <c r="U65" s="62"/>
    </row>
    <row r="66" spans="1:21" s="1" customFormat="1" x14ac:dyDescent="0.3">
      <c r="A66" s="466">
        <v>542</v>
      </c>
      <c r="B66" s="461" t="s">
        <v>569</v>
      </c>
      <c r="C66" s="461"/>
      <c r="D66" s="696"/>
      <c r="E66" s="678"/>
      <c r="F66" s="678"/>
      <c r="G66" s="696"/>
      <c r="H66" s="678"/>
      <c r="I66" s="677"/>
      <c r="J66" s="678"/>
      <c r="K66" s="678"/>
      <c r="L66" s="678"/>
      <c r="M66" s="678"/>
      <c r="N66" s="678"/>
      <c r="O66" s="678"/>
      <c r="P66" s="678"/>
      <c r="Q66" s="678"/>
      <c r="R66" s="171"/>
      <c r="S66" s="62">
        <f t="shared" si="10"/>
        <v>0</v>
      </c>
      <c r="T66" s="62">
        <f t="shared" si="11"/>
        <v>0</v>
      </c>
      <c r="U66" s="62"/>
    </row>
    <row r="67" spans="1:21" s="1" customFormat="1" x14ac:dyDescent="0.3">
      <c r="A67" s="466">
        <v>543</v>
      </c>
      <c r="B67" s="466" t="s">
        <v>610</v>
      </c>
      <c r="C67" s="466"/>
      <c r="D67" s="696"/>
      <c r="E67" s="678"/>
      <c r="F67" s="678"/>
      <c r="G67" s="696"/>
      <c r="H67" s="678"/>
      <c r="I67" s="677"/>
      <c r="J67" s="678"/>
      <c r="K67" s="678"/>
      <c r="L67" s="678"/>
      <c r="M67" s="678"/>
      <c r="N67" s="678"/>
      <c r="O67" s="678"/>
      <c r="P67" s="678"/>
      <c r="Q67" s="678"/>
      <c r="R67" s="171"/>
      <c r="S67" s="62">
        <f t="shared" si="10"/>
        <v>0</v>
      </c>
      <c r="T67" s="62">
        <f t="shared" si="11"/>
        <v>0</v>
      </c>
      <c r="U67" s="62"/>
    </row>
    <row r="68" spans="1:21" s="1" customFormat="1" x14ac:dyDescent="0.3">
      <c r="A68" s="466">
        <v>544</v>
      </c>
      <c r="B68" s="461" t="s">
        <v>573</v>
      </c>
      <c r="C68" s="461"/>
      <c r="D68" s="696"/>
      <c r="E68" s="678"/>
      <c r="F68" s="678"/>
      <c r="G68" s="696"/>
      <c r="H68" s="678"/>
      <c r="I68" s="677"/>
      <c r="J68" s="678"/>
      <c r="K68" s="678"/>
      <c r="L68" s="678"/>
      <c r="M68" s="678"/>
      <c r="N68" s="678"/>
      <c r="O68" s="678"/>
      <c r="P68" s="678"/>
      <c r="Q68" s="678"/>
      <c r="R68" s="171"/>
      <c r="S68" s="62">
        <f t="shared" si="10"/>
        <v>0</v>
      </c>
      <c r="T68" s="62">
        <f t="shared" si="11"/>
        <v>0</v>
      </c>
      <c r="U68" s="62"/>
    </row>
    <row r="69" spans="1:21" s="1" customFormat="1" ht="14.5" x14ac:dyDescent="0.45">
      <c r="A69" s="466">
        <v>545</v>
      </c>
      <c r="B69" s="466" t="s">
        <v>1330</v>
      </c>
      <c r="C69" s="466"/>
      <c r="D69" s="700"/>
      <c r="E69" s="678"/>
      <c r="F69" s="678"/>
      <c r="G69" s="700"/>
      <c r="H69" s="678"/>
      <c r="I69" s="677"/>
      <c r="J69" s="678"/>
      <c r="K69" s="678"/>
      <c r="L69" s="678"/>
      <c r="M69" s="678"/>
      <c r="N69" s="678"/>
      <c r="O69" s="678"/>
      <c r="P69" s="678"/>
      <c r="Q69" s="678"/>
      <c r="R69" s="171"/>
      <c r="S69" s="62">
        <f t="shared" si="10"/>
        <v>0</v>
      </c>
      <c r="T69" s="62">
        <f t="shared" si="11"/>
        <v>0</v>
      </c>
      <c r="U69" s="62"/>
    </row>
    <row r="70" spans="1:21" s="1" customFormat="1" x14ac:dyDescent="0.3">
      <c r="A70" s="461"/>
      <c r="B70" s="474" t="s">
        <v>524</v>
      </c>
      <c r="C70" s="474"/>
      <c r="D70" s="678"/>
      <c r="E70" s="669"/>
      <c r="F70" s="669"/>
      <c r="G70" s="678"/>
      <c r="H70" s="678"/>
      <c r="I70" s="677"/>
      <c r="J70" s="678"/>
      <c r="K70" s="678"/>
      <c r="L70" s="678"/>
      <c r="M70" s="678"/>
      <c r="N70" s="678"/>
      <c r="O70" s="678"/>
      <c r="P70" s="678"/>
      <c r="Q70" s="678"/>
      <c r="R70" s="171"/>
      <c r="S70" s="62">
        <f t="shared" si="10"/>
        <v>0</v>
      </c>
      <c r="T70" s="62">
        <f t="shared" si="11"/>
        <v>0</v>
      </c>
      <c r="U70" s="62"/>
    </row>
    <row r="71" spans="1:21" s="1" customFormat="1" x14ac:dyDescent="0.3">
      <c r="A71" s="461"/>
      <c r="B71" s="461"/>
      <c r="C71" s="461"/>
      <c r="D71" s="678"/>
      <c r="E71" s="677"/>
      <c r="F71" s="677"/>
      <c r="G71" s="678"/>
      <c r="H71" s="678"/>
      <c r="I71" s="677"/>
      <c r="J71" s="678"/>
      <c r="K71" s="678"/>
      <c r="L71" s="678"/>
      <c r="M71" s="678"/>
      <c r="N71" s="678"/>
      <c r="O71" s="678"/>
      <c r="P71" s="678"/>
      <c r="Q71" s="678"/>
      <c r="R71" s="171"/>
      <c r="S71" s="62"/>
      <c r="T71" s="62"/>
      <c r="U71" s="62"/>
    </row>
    <row r="72" spans="1:21" s="1" customFormat="1" x14ac:dyDescent="0.3">
      <c r="A72" s="461"/>
      <c r="B72" s="477" t="s">
        <v>613</v>
      </c>
      <c r="C72" s="477"/>
      <c r="D72" s="678"/>
      <c r="E72" s="677"/>
      <c r="F72" s="677"/>
      <c r="G72" s="678"/>
      <c r="H72" s="678"/>
      <c r="I72" s="677"/>
      <c r="J72" s="678"/>
      <c r="K72" s="678"/>
      <c r="L72" s="678"/>
      <c r="M72" s="678"/>
      <c r="N72" s="678"/>
      <c r="O72" s="678"/>
      <c r="P72" s="678"/>
      <c r="Q72" s="678"/>
      <c r="R72" s="171"/>
      <c r="S72" s="62"/>
      <c r="T72" s="62"/>
      <c r="U72" s="62"/>
    </row>
    <row r="73" spans="1:21" s="1" customFormat="1" x14ac:dyDescent="0.3">
      <c r="A73" s="461"/>
      <c r="B73" s="464" t="s">
        <v>549</v>
      </c>
      <c r="C73" s="464"/>
      <c r="D73" s="678"/>
      <c r="E73" s="677"/>
      <c r="F73" s="677"/>
      <c r="G73" s="678"/>
      <c r="H73" s="678"/>
      <c r="I73" s="677"/>
      <c r="J73" s="678"/>
      <c r="K73" s="678"/>
      <c r="L73" s="678"/>
      <c r="M73" s="678"/>
      <c r="N73" s="678"/>
      <c r="O73" s="678"/>
      <c r="P73" s="678"/>
      <c r="Q73" s="678"/>
      <c r="R73" s="171"/>
      <c r="S73" s="62">
        <f t="shared" ref="S73:S79" si="12">SUM(J73:Q73)</f>
        <v>0</v>
      </c>
      <c r="T73" s="62">
        <f t="shared" ref="T73:T79" si="13">H73-S73</f>
        <v>0</v>
      </c>
      <c r="U73" s="62"/>
    </row>
    <row r="74" spans="1:21" s="1" customFormat="1" x14ac:dyDescent="0.3">
      <c r="A74" s="465">
        <v>546</v>
      </c>
      <c r="B74" s="461" t="s">
        <v>615</v>
      </c>
      <c r="C74" s="461"/>
      <c r="D74" s="696"/>
      <c r="E74" s="678"/>
      <c r="F74" s="678"/>
      <c r="G74" s="696"/>
      <c r="H74" s="678"/>
      <c r="I74" s="677"/>
      <c r="J74" s="678"/>
      <c r="K74" s="678"/>
      <c r="L74" s="678"/>
      <c r="M74" s="678"/>
      <c r="N74" s="678"/>
      <c r="O74" s="678"/>
      <c r="P74" s="678"/>
      <c r="Q74" s="678"/>
      <c r="R74" s="171"/>
      <c r="S74" s="62">
        <f t="shared" si="12"/>
        <v>0</v>
      </c>
      <c r="T74" s="62">
        <f t="shared" si="13"/>
        <v>0</v>
      </c>
      <c r="U74" s="62"/>
    </row>
    <row r="75" spans="1:21" s="1" customFormat="1" x14ac:dyDescent="0.3">
      <c r="A75" s="465">
        <v>547</v>
      </c>
      <c r="B75" s="461" t="s">
        <v>617</v>
      </c>
      <c r="C75" s="461"/>
      <c r="D75" s="696"/>
      <c r="E75" s="678"/>
      <c r="F75" s="678"/>
      <c r="G75" s="696"/>
      <c r="H75" s="678"/>
      <c r="I75" s="677"/>
      <c r="J75" s="678"/>
      <c r="K75" s="678"/>
      <c r="L75" s="678"/>
      <c r="M75" s="678"/>
      <c r="N75" s="678"/>
      <c r="O75" s="678"/>
      <c r="P75" s="678"/>
      <c r="Q75" s="678"/>
      <c r="R75" s="171"/>
      <c r="S75" s="62"/>
      <c r="T75" s="62"/>
      <c r="U75" s="62"/>
    </row>
    <row r="76" spans="1:21" s="1" customFormat="1" x14ac:dyDescent="0.3">
      <c r="A76" s="465">
        <v>548</v>
      </c>
      <c r="B76" s="461" t="s">
        <v>560</v>
      </c>
      <c r="C76" s="461"/>
      <c r="D76" s="696"/>
      <c r="E76" s="678"/>
      <c r="F76" s="678"/>
      <c r="G76" s="696"/>
      <c r="H76" s="678"/>
      <c r="I76" s="677"/>
      <c r="J76" s="678"/>
      <c r="K76" s="678"/>
      <c r="L76" s="678"/>
      <c r="M76" s="678"/>
      <c r="N76" s="678"/>
      <c r="O76" s="678"/>
      <c r="P76" s="678"/>
      <c r="Q76" s="678"/>
      <c r="R76" s="171"/>
      <c r="S76" s="62">
        <f t="shared" si="12"/>
        <v>0</v>
      </c>
      <c r="T76" s="62">
        <f t="shared" si="13"/>
        <v>0</v>
      </c>
      <c r="U76" s="62"/>
    </row>
    <row r="77" spans="1:21" s="1" customFormat="1" x14ac:dyDescent="0.3">
      <c r="A77" s="465">
        <v>549</v>
      </c>
      <c r="B77" s="461" t="s">
        <v>619</v>
      </c>
      <c r="C77" s="461"/>
      <c r="D77" s="696"/>
      <c r="E77" s="678"/>
      <c r="F77" s="678"/>
      <c r="G77" s="696"/>
      <c r="H77" s="678"/>
      <c r="I77" s="677"/>
      <c r="J77" s="678"/>
      <c r="K77" s="678"/>
      <c r="L77" s="678"/>
      <c r="M77" s="678"/>
      <c r="N77" s="678"/>
      <c r="O77" s="678"/>
      <c r="P77" s="678"/>
      <c r="Q77" s="678"/>
      <c r="R77" s="171"/>
      <c r="S77" s="62">
        <f t="shared" si="12"/>
        <v>0</v>
      </c>
      <c r="T77" s="62">
        <f t="shared" si="13"/>
        <v>0</v>
      </c>
      <c r="U77" s="62"/>
    </row>
    <row r="78" spans="1:21" s="1" customFormat="1" ht="14.5" x14ac:dyDescent="0.45">
      <c r="A78" s="465">
        <v>550</v>
      </c>
      <c r="B78" s="461" t="s">
        <v>564</v>
      </c>
      <c r="C78" s="461"/>
      <c r="D78" s="700"/>
      <c r="E78" s="678"/>
      <c r="F78" s="678"/>
      <c r="G78" s="700"/>
      <c r="H78" s="700"/>
      <c r="I78" s="700"/>
      <c r="J78" s="700"/>
      <c r="K78" s="700"/>
      <c r="L78" s="700"/>
      <c r="M78" s="700"/>
      <c r="N78" s="700"/>
      <c r="O78" s="678"/>
      <c r="P78" s="678"/>
      <c r="Q78" s="678"/>
      <c r="R78" s="171"/>
      <c r="S78" s="62">
        <f t="shared" si="12"/>
        <v>0</v>
      </c>
      <c r="T78" s="62">
        <f t="shared" si="13"/>
        <v>0</v>
      </c>
      <c r="U78" s="62"/>
    </row>
    <row r="79" spans="1:21" s="1" customFormat="1" x14ac:dyDescent="0.3">
      <c r="A79" s="461"/>
      <c r="B79" s="474" t="s">
        <v>524</v>
      </c>
      <c r="C79" s="474"/>
      <c r="D79" s="678"/>
      <c r="E79" s="669"/>
      <c r="F79" s="678"/>
      <c r="G79" s="678"/>
      <c r="H79" s="678"/>
      <c r="I79" s="678"/>
      <c r="J79" s="678"/>
      <c r="K79" s="678"/>
      <c r="L79" s="678"/>
      <c r="M79" s="678"/>
      <c r="N79" s="678"/>
      <c r="O79" s="678"/>
      <c r="P79" s="678"/>
      <c r="Q79" s="678"/>
      <c r="R79" s="171"/>
      <c r="S79" s="62">
        <f t="shared" si="12"/>
        <v>0</v>
      </c>
      <c r="T79" s="62">
        <f t="shared" si="13"/>
        <v>0</v>
      </c>
      <c r="U79" s="62"/>
    </row>
    <row r="80" spans="1:21" s="1" customFormat="1" x14ac:dyDescent="0.3">
      <c r="A80" s="461"/>
      <c r="B80" s="461"/>
      <c r="C80" s="461"/>
      <c r="D80" s="678"/>
      <c r="E80" s="677"/>
      <c r="F80" s="677"/>
      <c r="G80" s="678"/>
      <c r="H80" s="678"/>
      <c r="I80" s="677"/>
      <c r="J80" s="678"/>
      <c r="K80" s="678"/>
      <c r="L80" s="678"/>
      <c r="M80" s="678"/>
      <c r="N80" s="678"/>
      <c r="O80" s="678"/>
      <c r="P80" s="678"/>
      <c r="Q80" s="678"/>
      <c r="R80" s="171"/>
      <c r="S80" s="62"/>
      <c r="T80" s="62"/>
      <c r="U80" s="62"/>
    </row>
    <row r="81" spans="1:21" s="1" customFormat="1" x14ac:dyDescent="0.3">
      <c r="A81" s="461"/>
      <c r="B81" s="464" t="s">
        <v>565</v>
      </c>
      <c r="C81" s="464"/>
      <c r="D81" s="678"/>
      <c r="E81" s="677"/>
      <c r="F81" s="677"/>
      <c r="G81" s="678"/>
      <c r="H81" s="678" t="s">
        <v>546</v>
      </c>
      <c r="I81" s="677" t="str">
        <f t="shared" ref="I81:J81" si="14">+H81</f>
        <v xml:space="preserve"> </v>
      </c>
      <c r="J81" s="678" t="str">
        <f t="shared" si="14"/>
        <v xml:space="preserve"> </v>
      </c>
      <c r="K81" s="678"/>
      <c r="L81" s="678"/>
      <c r="M81" s="678"/>
      <c r="N81" s="678"/>
      <c r="O81" s="678"/>
      <c r="P81" s="678"/>
      <c r="Q81" s="678"/>
      <c r="R81" s="171"/>
      <c r="S81" s="62"/>
      <c r="T81" s="62"/>
      <c r="U81" s="62"/>
    </row>
    <row r="82" spans="1:21" s="1" customFormat="1" x14ac:dyDescent="0.3">
      <c r="A82" s="461">
        <v>551</v>
      </c>
      <c r="B82" s="461" t="s">
        <v>622</v>
      </c>
      <c r="C82" s="461"/>
      <c r="D82" s="696"/>
      <c r="E82" s="669"/>
      <c r="F82" s="669"/>
      <c r="G82" s="696"/>
      <c r="H82" s="678"/>
      <c r="I82" s="677"/>
      <c r="J82" s="678"/>
      <c r="K82" s="678"/>
      <c r="L82" s="678"/>
      <c r="M82" s="678"/>
      <c r="N82" s="678"/>
      <c r="O82" s="678"/>
      <c r="P82" s="678"/>
      <c r="Q82" s="678"/>
      <c r="R82" s="171"/>
      <c r="S82" s="62">
        <f>SUM(J82:Q82)</f>
        <v>0</v>
      </c>
      <c r="T82" s="62">
        <f>H82-S82</f>
        <v>0</v>
      </c>
      <c r="U82" s="62"/>
    </row>
    <row r="83" spans="1:21" s="1" customFormat="1" x14ac:dyDescent="0.3">
      <c r="A83" s="461">
        <v>552</v>
      </c>
      <c r="B83" s="466" t="s">
        <v>624</v>
      </c>
      <c r="C83" s="466"/>
      <c r="D83" s="696"/>
      <c r="E83" s="669"/>
      <c r="F83" s="669"/>
      <c r="G83" s="696"/>
      <c r="H83" s="678"/>
      <c r="I83" s="677"/>
      <c r="J83" s="678"/>
      <c r="K83" s="678"/>
      <c r="L83" s="678"/>
      <c r="M83" s="678"/>
      <c r="N83" s="678"/>
      <c r="O83" s="678"/>
      <c r="P83" s="678"/>
      <c r="Q83" s="678"/>
      <c r="R83" s="171"/>
      <c r="S83" s="62">
        <f>SUM(J83:Q83)</f>
        <v>0</v>
      </c>
      <c r="T83" s="62">
        <f>H83-S83</f>
        <v>0</v>
      </c>
      <c r="U83" s="62"/>
    </row>
    <row r="84" spans="1:21" s="1" customFormat="1" x14ac:dyDescent="0.3">
      <c r="A84" s="461">
        <v>553</v>
      </c>
      <c r="B84" s="461" t="s">
        <v>626</v>
      </c>
      <c r="C84" s="461"/>
      <c r="D84" s="696"/>
      <c r="E84" s="669"/>
      <c r="F84" s="669"/>
      <c r="G84" s="696"/>
      <c r="H84" s="678"/>
      <c r="I84" s="677"/>
      <c r="J84" s="678"/>
      <c r="K84" s="678"/>
      <c r="L84" s="678"/>
      <c r="M84" s="678"/>
      <c r="N84" s="678"/>
      <c r="O84" s="678"/>
      <c r="P84" s="678"/>
      <c r="Q84" s="678"/>
      <c r="R84" s="171"/>
      <c r="S84" s="62">
        <f>SUM(J84:Q84)</f>
        <v>0</v>
      </c>
      <c r="T84" s="62">
        <f>H84-S84</f>
        <v>0</v>
      </c>
      <c r="U84" s="62"/>
    </row>
    <row r="85" spans="1:21" s="1" customFormat="1" ht="14.5" x14ac:dyDescent="0.45">
      <c r="A85" s="461">
        <v>554</v>
      </c>
      <c r="B85" s="461" t="s">
        <v>628</v>
      </c>
      <c r="C85" s="461"/>
      <c r="D85" s="700"/>
      <c r="E85" s="669"/>
      <c r="F85" s="669"/>
      <c r="G85" s="700"/>
      <c r="H85" s="700"/>
      <c r="I85" s="700"/>
      <c r="J85" s="700"/>
      <c r="K85" s="700"/>
      <c r="L85" s="700"/>
      <c r="M85" s="700"/>
      <c r="N85" s="700"/>
      <c r="O85" s="678"/>
      <c r="P85" s="678"/>
      <c r="Q85" s="678"/>
      <c r="R85" s="171"/>
      <c r="S85" s="62">
        <f>SUM(J85:Q85)</f>
        <v>0</v>
      </c>
      <c r="T85" s="62">
        <f>H85-S85</f>
        <v>0</v>
      </c>
      <c r="U85" s="62"/>
    </row>
    <row r="86" spans="1:21" s="1" customFormat="1" x14ac:dyDescent="0.3">
      <c r="A86" s="461"/>
      <c r="B86" s="474" t="s">
        <v>524</v>
      </c>
      <c r="C86" s="474"/>
      <c r="D86" s="678"/>
      <c r="E86" s="669"/>
      <c r="F86" s="669"/>
      <c r="G86" s="678"/>
      <c r="H86" s="669"/>
      <c r="I86" s="669"/>
      <c r="J86" s="669"/>
      <c r="K86" s="669"/>
      <c r="L86" s="669"/>
      <c r="M86" s="669"/>
      <c r="N86" s="669"/>
      <c r="O86" s="669"/>
      <c r="P86" s="669"/>
      <c r="Q86" s="669"/>
      <c r="R86" s="171"/>
      <c r="S86" s="62">
        <f>SUM(J86:Q86)</f>
        <v>0</v>
      </c>
      <c r="T86" s="62">
        <f>H86-S86</f>
        <v>0</v>
      </c>
      <c r="U86" s="62"/>
    </row>
    <row r="87" spans="1:21" s="1" customFormat="1" x14ac:dyDescent="0.3">
      <c r="A87" s="461"/>
      <c r="B87" s="461"/>
      <c r="C87" s="461"/>
      <c r="D87" s="678"/>
      <c r="E87" s="677"/>
      <c r="F87" s="677"/>
      <c r="G87" s="678"/>
      <c r="H87" s="678"/>
      <c r="I87" s="677"/>
      <c r="J87" s="678"/>
      <c r="K87" s="678"/>
      <c r="L87" s="678"/>
      <c r="M87" s="678"/>
      <c r="N87" s="678"/>
      <c r="O87" s="678"/>
      <c r="P87" s="678"/>
      <c r="Q87" s="678"/>
      <c r="R87" s="171"/>
      <c r="S87" s="62"/>
      <c r="T87" s="62"/>
      <c r="U87" s="62"/>
    </row>
    <row r="88" spans="1:21" s="1" customFormat="1" x14ac:dyDescent="0.3">
      <c r="A88" s="461"/>
      <c r="B88" s="477" t="s">
        <v>629</v>
      </c>
      <c r="C88" s="477"/>
      <c r="D88" s="678"/>
      <c r="E88" s="677"/>
      <c r="F88" s="677"/>
      <c r="G88" s="678"/>
      <c r="H88" s="678"/>
      <c r="I88" s="677"/>
      <c r="J88" s="678"/>
      <c r="K88" s="678"/>
      <c r="L88" s="678"/>
      <c r="M88" s="678"/>
      <c r="N88" s="678"/>
      <c r="O88" s="678"/>
      <c r="P88" s="678"/>
      <c r="Q88" s="678"/>
      <c r="R88" s="171"/>
      <c r="S88" s="62"/>
      <c r="T88" s="62"/>
      <c r="U88" s="62"/>
    </row>
    <row r="89" spans="1:21" s="1" customFormat="1" x14ac:dyDescent="0.3">
      <c r="A89" s="465">
        <v>555</v>
      </c>
      <c r="B89" s="461" t="s">
        <v>902</v>
      </c>
      <c r="C89" s="461"/>
      <c r="D89" s="696"/>
      <c r="E89" s="678"/>
      <c r="F89" s="696"/>
      <c r="G89" s="696"/>
      <c r="H89" s="696"/>
      <c r="I89" s="696"/>
      <c r="J89" s="696"/>
      <c r="K89" s="696"/>
      <c r="L89" s="696"/>
      <c r="M89" s="696"/>
      <c r="N89" s="696"/>
      <c r="O89" s="678"/>
      <c r="P89" s="678"/>
      <c r="Q89" s="678"/>
      <c r="R89" s="171"/>
      <c r="S89" s="62"/>
      <c r="T89" s="62"/>
      <c r="U89" s="62"/>
    </row>
    <row r="90" spans="1:21" s="1" customFormat="1" x14ac:dyDescent="0.3">
      <c r="A90" s="465"/>
      <c r="B90" s="461" t="s">
        <v>903</v>
      </c>
      <c r="C90" s="461"/>
      <c r="D90" s="678"/>
      <c r="E90" s="677"/>
      <c r="F90" s="678"/>
      <c r="G90" s="678"/>
      <c r="H90" s="678"/>
      <c r="I90" s="678"/>
      <c r="J90" s="678"/>
      <c r="K90" s="678"/>
      <c r="L90" s="678"/>
      <c r="M90" s="678"/>
      <c r="N90" s="678"/>
      <c r="O90" s="678"/>
      <c r="P90" s="678"/>
      <c r="Q90" s="678"/>
      <c r="R90" s="171"/>
      <c r="S90" s="62"/>
      <c r="T90" s="62"/>
      <c r="U90" s="62"/>
    </row>
    <row r="91" spans="1:21" s="1" customFormat="1" x14ac:dyDescent="0.3">
      <c r="A91" s="465"/>
      <c r="B91" s="461" t="s">
        <v>904</v>
      </c>
      <c r="C91" s="461"/>
      <c r="D91" s="678"/>
      <c r="E91" s="677"/>
      <c r="F91" s="678"/>
      <c r="G91" s="678"/>
      <c r="H91" s="678"/>
      <c r="I91" s="678"/>
      <c r="J91" s="678"/>
      <c r="K91" s="678"/>
      <c r="L91" s="678"/>
      <c r="M91" s="678"/>
      <c r="N91" s="678"/>
      <c r="O91" s="678"/>
      <c r="P91" s="678"/>
      <c r="Q91" s="678"/>
      <c r="R91" s="171"/>
      <c r="S91" s="62"/>
      <c r="T91" s="62"/>
      <c r="U91" s="62"/>
    </row>
    <row r="92" spans="1:21" s="1" customFormat="1" x14ac:dyDescent="0.3">
      <c r="A92" s="465"/>
      <c r="B92" s="461" t="s">
        <v>905</v>
      </c>
      <c r="C92" s="461"/>
      <c r="D92" s="678"/>
      <c r="E92" s="677"/>
      <c r="F92" s="678"/>
      <c r="G92" s="678"/>
      <c r="H92" s="678"/>
      <c r="I92" s="678"/>
      <c r="J92" s="678"/>
      <c r="K92" s="678"/>
      <c r="L92" s="678"/>
      <c r="M92" s="678"/>
      <c r="N92" s="678"/>
      <c r="O92" s="678"/>
      <c r="P92" s="678"/>
      <c r="Q92" s="678"/>
      <c r="R92" s="171"/>
      <c r="S92" s="62"/>
      <c r="T92" s="62"/>
      <c r="U92" s="62"/>
    </row>
    <row r="93" spans="1:21" s="1" customFormat="1" x14ac:dyDescent="0.3">
      <c r="A93" s="465">
        <v>555</v>
      </c>
      <c r="B93" s="474" t="s">
        <v>524</v>
      </c>
      <c r="C93" s="474"/>
      <c r="D93" s="678"/>
      <c r="E93" s="703"/>
      <c r="F93" s="678"/>
      <c r="G93" s="678"/>
      <c r="H93" s="678"/>
      <c r="I93" s="678"/>
      <c r="J93" s="678"/>
      <c r="K93" s="678"/>
      <c r="L93" s="678"/>
      <c r="M93" s="678"/>
      <c r="N93" s="678"/>
      <c r="O93" s="678"/>
      <c r="P93" s="678"/>
      <c r="Q93" s="678"/>
      <c r="R93" s="171"/>
      <c r="S93" s="62">
        <f>SUM(J93:Q93)</f>
        <v>0</v>
      </c>
      <c r="T93" s="62">
        <f>H93-S93</f>
        <v>0</v>
      </c>
      <c r="U93" s="62"/>
    </row>
    <row r="94" spans="1:21" s="1" customFormat="1" x14ac:dyDescent="0.3">
      <c r="A94" s="465">
        <v>556</v>
      </c>
      <c r="B94" s="461" t="s">
        <v>636</v>
      </c>
      <c r="C94" s="461"/>
      <c r="D94" s="696"/>
      <c r="E94" s="703"/>
      <c r="F94" s="696"/>
      <c r="G94" s="696"/>
      <c r="H94" s="696"/>
      <c r="I94" s="696"/>
      <c r="J94" s="696"/>
      <c r="K94" s="696"/>
      <c r="L94" s="696"/>
      <c r="M94" s="696"/>
      <c r="N94" s="696"/>
      <c r="O94" s="678"/>
      <c r="P94" s="678"/>
      <c r="Q94" s="678"/>
      <c r="R94" s="171"/>
      <c r="S94" s="62">
        <f>SUM(J94:Q94)</f>
        <v>0</v>
      </c>
      <c r="T94" s="62">
        <f>H94-S94</f>
        <v>0</v>
      </c>
      <c r="U94" s="62"/>
    </row>
    <row r="95" spans="1:21" s="1" customFormat="1" x14ac:dyDescent="0.3">
      <c r="A95" s="465">
        <v>557</v>
      </c>
      <c r="B95" s="465" t="s">
        <v>1180</v>
      </c>
      <c r="C95" s="461"/>
      <c r="D95" s="696"/>
      <c r="E95" s="704"/>
      <c r="F95" s="696"/>
      <c r="G95" s="696"/>
      <c r="H95" s="696"/>
      <c r="I95" s="696"/>
      <c r="J95" s="696"/>
      <c r="K95" s="696"/>
      <c r="L95" s="696"/>
      <c r="M95" s="696"/>
      <c r="N95" s="696"/>
      <c r="O95" s="678"/>
      <c r="P95" s="678"/>
      <c r="Q95" s="678"/>
      <c r="R95" s="171"/>
      <c r="S95" s="62">
        <f t="shared" ref="S95:S96" si="15">SUM(J95:Q95)</f>
        <v>0</v>
      </c>
      <c r="T95" s="62">
        <f t="shared" ref="T95:T96" si="16">H95-S95</f>
        <v>0</v>
      </c>
      <c r="U95" s="62"/>
    </row>
    <row r="96" spans="1:21" s="1" customFormat="1" ht="14.5" x14ac:dyDescent="0.45">
      <c r="A96" s="465">
        <v>557</v>
      </c>
      <c r="B96" s="465" t="s">
        <v>1181</v>
      </c>
      <c r="C96" s="461"/>
      <c r="D96" s="700"/>
      <c r="E96" s="704"/>
      <c r="F96" s="700"/>
      <c r="G96" s="700"/>
      <c r="H96" s="700"/>
      <c r="I96" s="700"/>
      <c r="J96" s="700"/>
      <c r="K96" s="700"/>
      <c r="L96" s="700"/>
      <c r="M96" s="700"/>
      <c r="N96" s="700"/>
      <c r="O96" s="678"/>
      <c r="P96" s="678"/>
      <c r="Q96" s="678"/>
      <c r="R96" s="171"/>
      <c r="S96" s="62">
        <f t="shared" si="15"/>
        <v>0</v>
      </c>
      <c r="T96" s="62">
        <f t="shared" si="16"/>
        <v>0</v>
      </c>
      <c r="U96" s="62"/>
    </row>
    <row r="97" spans="1:21" s="1" customFormat="1" x14ac:dyDescent="0.3">
      <c r="A97" s="465"/>
      <c r="B97" s="474" t="s">
        <v>639</v>
      </c>
      <c r="C97" s="474"/>
      <c r="D97" s="678"/>
      <c r="E97" s="678"/>
      <c r="F97" s="678"/>
      <c r="G97" s="678"/>
      <c r="H97" s="678"/>
      <c r="I97" s="678"/>
      <c r="J97" s="678"/>
      <c r="K97" s="678"/>
      <c r="L97" s="678"/>
      <c r="M97" s="678"/>
      <c r="N97" s="678"/>
      <c r="O97" s="678"/>
      <c r="P97" s="678"/>
      <c r="Q97" s="678"/>
      <c r="R97" s="171"/>
      <c r="S97" s="62">
        <f>SUM(J97:Q97)</f>
        <v>0</v>
      </c>
      <c r="T97" s="62">
        <f>H97-S97</f>
        <v>0</v>
      </c>
      <c r="U97" s="62"/>
    </row>
    <row r="98" spans="1:21" s="1" customFormat="1" x14ac:dyDescent="0.3">
      <c r="A98" s="461"/>
      <c r="B98" s="461"/>
      <c r="C98" s="461"/>
      <c r="D98" s="171"/>
      <c r="E98" s="62"/>
      <c r="F98" s="62"/>
      <c r="G98" s="171"/>
      <c r="H98" s="171"/>
      <c r="I98" s="62"/>
      <c r="J98" s="171"/>
      <c r="K98" s="171"/>
      <c r="L98" s="171"/>
      <c r="M98" s="171"/>
      <c r="N98" s="171"/>
      <c r="O98" s="171"/>
      <c r="P98" s="171"/>
      <c r="Q98" s="171"/>
      <c r="R98" s="171"/>
      <c r="S98" s="62"/>
      <c r="T98" s="62"/>
      <c r="U98" s="62"/>
    </row>
    <row r="99" spans="1:21" s="1" customFormat="1" x14ac:dyDescent="0.3">
      <c r="A99" s="461"/>
      <c r="B99" s="479" t="s">
        <v>640</v>
      </c>
      <c r="C99" s="479"/>
      <c r="D99" s="680">
        <v>213001170.19</v>
      </c>
      <c r="E99" s="680">
        <v>0</v>
      </c>
      <c r="F99" s="680">
        <v>213001170.19</v>
      </c>
      <c r="G99" s="680"/>
      <c r="H99" s="680">
        <v>213001170.19</v>
      </c>
      <c r="I99" s="680">
        <v>213001170.19</v>
      </c>
      <c r="J99" s="680">
        <v>213001170.19</v>
      </c>
      <c r="K99" s="680">
        <v>0</v>
      </c>
      <c r="L99" s="680">
        <v>0</v>
      </c>
      <c r="M99" s="680">
        <v>0</v>
      </c>
      <c r="N99" s="680">
        <v>0</v>
      </c>
      <c r="O99" s="680">
        <v>0</v>
      </c>
      <c r="P99" s="680">
        <v>0</v>
      </c>
      <c r="Q99" s="680">
        <v>0</v>
      </c>
      <c r="R99" s="171"/>
      <c r="S99" s="62">
        <f>SUM(J99:Q99)</f>
        <v>213001170.19</v>
      </c>
      <c r="T99" s="62">
        <f>H99-S99</f>
        <v>0</v>
      </c>
      <c r="U99" s="62"/>
    </row>
    <row r="100" spans="1:21" s="1" customFormat="1" x14ac:dyDescent="0.3">
      <c r="A100" s="461"/>
      <c r="B100" s="461"/>
      <c r="C100" s="461"/>
      <c r="D100" s="171"/>
      <c r="E100" s="475"/>
      <c r="F100" s="475"/>
      <c r="G100" s="171"/>
      <c r="H100" s="171"/>
      <c r="I100" s="62"/>
      <c r="J100" s="171"/>
      <c r="K100" s="171"/>
      <c r="L100" s="171"/>
      <c r="M100" s="171"/>
      <c r="N100" s="171"/>
      <c r="O100" s="171"/>
      <c r="P100" s="171"/>
      <c r="Q100" s="171"/>
      <c r="R100" s="171"/>
      <c r="S100" s="62"/>
      <c r="T100" s="62"/>
      <c r="U100" s="62"/>
    </row>
    <row r="101" spans="1:21" s="1" customFormat="1" x14ac:dyDescent="0.3">
      <c r="A101" s="479" t="s">
        <v>641</v>
      </c>
      <c r="B101" s="461"/>
      <c r="C101" s="461"/>
      <c r="D101" s="171"/>
      <c r="E101" s="62"/>
      <c r="F101" s="62"/>
      <c r="G101" s="171"/>
      <c r="H101" s="171"/>
      <c r="I101" s="62"/>
      <c r="J101" s="171"/>
      <c r="K101" s="171"/>
      <c r="L101" s="171"/>
      <c r="M101" s="171"/>
      <c r="N101" s="171"/>
      <c r="O101" s="171"/>
      <c r="P101" s="171"/>
      <c r="Q101" s="171"/>
      <c r="R101" s="171"/>
      <c r="S101" s="62"/>
      <c r="T101" s="62"/>
      <c r="U101" s="62"/>
    </row>
    <row r="102" spans="1:21" s="1" customFormat="1" x14ac:dyDescent="0.3">
      <c r="A102" s="461"/>
      <c r="B102" s="464" t="s">
        <v>549</v>
      </c>
      <c r="C102" s="464"/>
      <c r="D102" s="171"/>
      <c r="E102" s="62"/>
      <c r="F102" s="62"/>
      <c r="G102" s="171"/>
      <c r="H102" s="171"/>
      <c r="I102" s="62"/>
      <c r="J102" s="171"/>
      <c r="K102" s="171"/>
      <c r="L102" s="171"/>
      <c r="M102" s="171"/>
      <c r="N102" s="171"/>
      <c r="O102" s="171"/>
      <c r="P102" s="171"/>
      <c r="Q102" s="171"/>
      <c r="R102" s="171"/>
      <c r="S102" s="62"/>
      <c r="T102" s="62"/>
      <c r="U102" s="62"/>
    </row>
    <row r="103" spans="1:21" s="1" customFormat="1" x14ac:dyDescent="0.3">
      <c r="A103" s="461">
        <v>560</v>
      </c>
      <c r="B103" s="461" t="s">
        <v>615</v>
      </c>
      <c r="C103" s="461"/>
      <c r="D103" s="467">
        <v>2699891.06</v>
      </c>
      <c r="E103" s="467"/>
      <c r="F103" s="467">
        <f t="shared" ref="F103:F110" si="17">D103+E103</f>
        <v>2699891.06</v>
      </c>
      <c r="G103" s="467">
        <v>0</v>
      </c>
      <c r="H103" s="467">
        <f t="shared" ref="H103:H110" si="18">F103</f>
        <v>2699891.06</v>
      </c>
      <c r="I103" s="467">
        <f t="shared" ref="I103:I110" si="19">H103</f>
        <v>2699891.06</v>
      </c>
      <c r="J103" s="467"/>
      <c r="K103" s="467">
        <f t="shared" ref="K103:K110" si="20">I103</f>
        <v>2699891.06</v>
      </c>
      <c r="L103" s="467"/>
      <c r="M103" s="467"/>
      <c r="N103" s="467"/>
      <c r="O103" s="467"/>
      <c r="P103" s="467"/>
      <c r="Q103" s="467"/>
      <c r="R103" s="171"/>
      <c r="S103" s="62">
        <f t="shared" ref="S103:S111" si="21">SUM(J103:Q103)</f>
        <v>2699891.06</v>
      </c>
      <c r="T103" s="62">
        <f t="shared" ref="T103:T111" si="22">H103-S103</f>
        <v>0</v>
      </c>
      <c r="U103" s="62"/>
    </row>
    <row r="104" spans="1:21" s="1" customFormat="1" x14ac:dyDescent="0.3">
      <c r="A104" s="461">
        <v>561</v>
      </c>
      <c r="B104" s="461" t="s">
        <v>644</v>
      </c>
      <c r="C104" s="461"/>
      <c r="D104" s="467">
        <v>2273384.67</v>
      </c>
      <c r="E104" s="467"/>
      <c r="F104" s="467">
        <f t="shared" si="17"/>
        <v>2273384.67</v>
      </c>
      <c r="G104" s="467">
        <v>0</v>
      </c>
      <c r="H104" s="467">
        <f t="shared" si="18"/>
        <v>2273384.67</v>
      </c>
      <c r="I104" s="467">
        <f t="shared" si="19"/>
        <v>2273384.67</v>
      </c>
      <c r="J104" s="467"/>
      <c r="K104" s="467">
        <f t="shared" si="20"/>
        <v>2273384.67</v>
      </c>
      <c r="L104" s="467"/>
      <c r="M104" s="467"/>
      <c r="N104" s="467"/>
      <c r="O104" s="467"/>
      <c r="P104" s="467"/>
      <c r="Q104" s="467"/>
      <c r="R104" s="171"/>
      <c r="S104" s="62">
        <f t="shared" si="21"/>
        <v>2273384.67</v>
      </c>
      <c r="T104" s="62">
        <f t="shared" si="22"/>
        <v>0</v>
      </c>
      <c r="U104" s="62"/>
    </row>
    <row r="105" spans="1:21" s="1" customFormat="1" x14ac:dyDescent="0.3">
      <c r="A105" s="461">
        <v>562</v>
      </c>
      <c r="B105" s="461" t="s">
        <v>428</v>
      </c>
      <c r="C105" s="461"/>
      <c r="D105" s="467">
        <v>345810.53</v>
      </c>
      <c r="E105" s="467"/>
      <c r="F105" s="467">
        <f t="shared" si="17"/>
        <v>345810.53</v>
      </c>
      <c r="G105" s="467">
        <v>0</v>
      </c>
      <c r="H105" s="467">
        <f t="shared" si="18"/>
        <v>345810.53</v>
      </c>
      <c r="I105" s="467">
        <f t="shared" si="19"/>
        <v>345810.53</v>
      </c>
      <c r="J105" s="467"/>
      <c r="K105" s="467">
        <f t="shared" si="20"/>
        <v>345810.53</v>
      </c>
      <c r="L105" s="467"/>
      <c r="M105" s="467"/>
      <c r="N105" s="467"/>
      <c r="O105" s="467"/>
      <c r="P105" s="467"/>
      <c r="Q105" s="467"/>
      <c r="R105" s="171"/>
      <c r="S105" s="62">
        <f t="shared" si="21"/>
        <v>345810.53</v>
      </c>
      <c r="T105" s="62">
        <f t="shared" si="22"/>
        <v>0</v>
      </c>
      <c r="U105" s="62"/>
    </row>
    <row r="106" spans="1:21" s="1" customFormat="1" x14ac:dyDescent="0.3">
      <c r="A106" s="461">
        <v>563</v>
      </c>
      <c r="B106" s="461" t="s">
        <v>647</v>
      </c>
      <c r="C106" s="461"/>
      <c r="D106" s="467">
        <v>4987.07</v>
      </c>
      <c r="E106" s="467"/>
      <c r="F106" s="467">
        <f t="shared" si="17"/>
        <v>4987.07</v>
      </c>
      <c r="G106" s="467">
        <v>0</v>
      </c>
      <c r="H106" s="467">
        <f t="shared" si="18"/>
        <v>4987.07</v>
      </c>
      <c r="I106" s="467">
        <f t="shared" si="19"/>
        <v>4987.07</v>
      </c>
      <c r="J106" s="467"/>
      <c r="K106" s="467">
        <f t="shared" si="20"/>
        <v>4987.07</v>
      </c>
      <c r="L106" s="467"/>
      <c r="M106" s="467"/>
      <c r="N106" s="467"/>
      <c r="O106" s="467"/>
      <c r="P106" s="467"/>
      <c r="Q106" s="467"/>
      <c r="R106" s="171"/>
      <c r="S106" s="62">
        <f t="shared" si="21"/>
        <v>4987.07</v>
      </c>
      <c r="T106" s="62">
        <f t="shared" si="22"/>
        <v>0</v>
      </c>
      <c r="U106" s="62"/>
    </row>
    <row r="107" spans="1:21" s="1" customFormat="1" x14ac:dyDescent="0.3">
      <c r="A107" s="461">
        <v>564</v>
      </c>
      <c r="B107" s="461" t="s">
        <v>649</v>
      </c>
      <c r="C107" s="461"/>
      <c r="D107" s="467">
        <v>0</v>
      </c>
      <c r="E107" s="467"/>
      <c r="F107" s="467">
        <f t="shared" si="17"/>
        <v>0</v>
      </c>
      <c r="G107" s="467">
        <v>0</v>
      </c>
      <c r="H107" s="467">
        <f t="shared" si="18"/>
        <v>0</v>
      </c>
      <c r="I107" s="467">
        <f t="shared" si="19"/>
        <v>0</v>
      </c>
      <c r="J107" s="467"/>
      <c r="K107" s="467">
        <f t="shared" si="20"/>
        <v>0</v>
      </c>
      <c r="L107" s="467"/>
      <c r="M107" s="467"/>
      <c r="N107" s="467"/>
      <c r="O107" s="467"/>
      <c r="P107" s="467"/>
      <c r="Q107" s="467"/>
      <c r="R107" s="171"/>
      <c r="S107" s="62">
        <f t="shared" si="21"/>
        <v>0</v>
      </c>
      <c r="T107" s="62">
        <f t="shared" si="22"/>
        <v>0</v>
      </c>
      <c r="U107" s="62"/>
    </row>
    <row r="108" spans="1:21" s="1" customFormat="1" x14ac:dyDescent="0.3">
      <c r="A108" s="461">
        <v>565</v>
      </c>
      <c r="B108" s="466" t="s">
        <v>651</v>
      </c>
      <c r="C108" s="466"/>
      <c r="D108" s="467">
        <v>0</v>
      </c>
      <c r="E108" s="467"/>
      <c r="F108" s="467">
        <f t="shared" si="17"/>
        <v>0</v>
      </c>
      <c r="G108" s="467">
        <v>0</v>
      </c>
      <c r="H108" s="467">
        <f t="shared" si="18"/>
        <v>0</v>
      </c>
      <c r="I108" s="467">
        <f t="shared" si="19"/>
        <v>0</v>
      </c>
      <c r="J108" s="467"/>
      <c r="K108" s="467">
        <f t="shared" si="20"/>
        <v>0</v>
      </c>
      <c r="L108" s="467"/>
      <c r="M108" s="467"/>
      <c r="N108" s="467"/>
      <c r="O108" s="467"/>
      <c r="P108" s="467"/>
      <c r="Q108" s="467"/>
      <c r="R108" s="171"/>
      <c r="S108" s="62">
        <f t="shared" si="21"/>
        <v>0</v>
      </c>
      <c r="T108" s="62">
        <f t="shared" si="22"/>
        <v>0</v>
      </c>
      <c r="U108" s="62"/>
    </row>
    <row r="109" spans="1:21" s="1" customFormat="1" x14ac:dyDescent="0.3">
      <c r="A109" s="461">
        <v>566</v>
      </c>
      <c r="B109" s="461" t="s">
        <v>653</v>
      </c>
      <c r="C109" s="461"/>
      <c r="D109" s="467">
        <v>4587065.99</v>
      </c>
      <c r="E109" s="467"/>
      <c r="F109" s="467">
        <f t="shared" si="17"/>
        <v>4587065.99</v>
      </c>
      <c r="G109" s="467">
        <v>0</v>
      </c>
      <c r="H109" s="467">
        <f t="shared" si="18"/>
        <v>4587065.99</v>
      </c>
      <c r="I109" s="467">
        <f t="shared" si="19"/>
        <v>4587065.99</v>
      </c>
      <c r="J109" s="467"/>
      <c r="K109" s="467">
        <f t="shared" si="20"/>
        <v>4587065.99</v>
      </c>
      <c r="L109" s="467"/>
      <c r="M109" s="467"/>
      <c r="N109" s="467"/>
      <c r="O109" s="467"/>
      <c r="P109" s="467"/>
      <c r="Q109" s="467"/>
      <c r="R109" s="171"/>
      <c r="S109" s="62">
        <f t="shared" si="21"/>
        <v>4587065.99</v>
      </c>
      <c r="T109" s="62">
        <f t="shared" si="22"/>
        <v>0</v>
      </c>
      <c r="U109" s="62"/>
    </row>
    <row r="110" spans="1:21" s="1" customFormat="1" ht="14.5" x14ac:dyDescent="0.45">
      <c r="A110" s="461">
        <v>567</v>
      </c>
      <c r="B110" s="461" t="s">
        <v>564</v>
      </c>
      <c r="C110" s="461"/>
      <c r="D110" s="471">
        <v>0</v>
      </c>
      <c r="E110" s="471"/>
      <c r="F110" s="471">
        <f t="shared" si="17"/>
        <v>0</v>
      </c>
      <c r="G110" s="471">
        <v>0</v>
      </c>
      <c r="H110" s="471">
        <f t="shared" si="18"/>
        <v>0</v>
      </c>
      <c r="I110" s="471">
        <f t="shared" si="19"/>
        <v>0</v>
      </c>
      <c r="J110" s="471"/>
      <c r="K110" s="471">
        <f t="shared" si="20"/>
        <v>0</v>
      </c>
      <c r="L110" s="471"/>
      <c r="M110" s="471"/>
      <c r="N110" s="471"/>
      <c r="O110" s="471"/>
      <c r="P110" s="471"/>
      <c r="Q110" s="471"/>
      <c r="R110" s="171"/>
      <c r="S110" s="62">
        <f t="shared" si="21"/>
        <v>0</v>
      </c>
      <c r="T110" s="62">
        <f t="shared" si="22"/>
        <v>0</v>
      </c>
      <c r="U110" s="62"/>
    </row>
    <row r="111" spans="1:21" s="1" customFormat="1" x14ac:dyDescent="0.3">
      <c r="A111" s="461"/>
      <c r="B111" s="474" t="s">
        <v>524</v>
      </c>
      <c r="C111" s="474"/>
      <c r="D111" s="171">
        <f>SUM(D103:D110)</f>
        <v>9911139.3200000003</v>
      </c>
      <c r="E111" s="171">
        <f>SUM(E103:E110)</f>
        <v>0</v>
      </c>
      <c r="F111" s="171">
        <f>SUM(F103:F110)</f>
        <v>9911139.3200000003</v>
      </c>
      <c r="G111" s="171">
        <f>SUM(G103:G110)</f>
        <v>0</v>
      </c>
      <c r="H111" s="171">
        <f t="shared" ref="H111:Q111" si="23">SUM(H103:H110)</f>
        <v>9911139.3200000003</v>
      </c>
      <c r="I111" s="171">
        <f t="shared" si="23"/>
        <v>9911139.3200000003</v>
      </c>
      <c r="J111" s="171">
        <f t="shared" si="23"/>
        <v>0</v>
      </c>
      <c r="K111" s="171">
        <f t="shared" si="23"/>
        <v>9911139.3200000003</v>
      </c>
      <c r="L111" s="171">
        <f t="shared" si="23"/>
        <v>0</v>
      </c>
      <c r="M111" s="171">
        <f t="shared" si="23"/>
        <v>0</v>
      </c>
      <c r="N111" s="171">
        <f t="shared" si="23"/>
        <v>0</v>
      </c>
      <c r="O111" s="171">
        <f t="shared" si="23"/>
        <v>0</v>
      </c>
      <c r="P111" s="171">
        <f t="shared" si="23"/>
        <v>0</v>
      </c>
      <c r="Q111" s="171">
        <f t="shared" si="23"/>
        <v>0</v>
      </c>
      <c r="R111" s="171"/>
      <c r="S111" s="62">
        <f t="shared" si="21"/>
        <v>9911139.3200000003</v>
      </c>
      <c r="T111" s="62">
        <f t="shared" si="22"/>
        <v>0</v>
      </c>
      <c r="U111" s="62"/>
    </row>
    <row r="112" spans="1:21" s="1" customFormat="1" x14ac:dyDescent="0.3">
      <c r="A112" s="461"/>
      <c r="B112" s="461"/>
      <c r="C112" s="461"/>
      <c r="D112" s="171"/>
      <c r="E112" s="62"/>
      <c r="F112" s="62"/>
      <c r="G112" s="171"/>
      <c r="H112" s="171"/>
      <c r="I112" s="62"/>
      <c r="J112" s="171"/>
      <c r="K112" s="171"/>
      <c r="L112" s="171"/>
      <c r="M112" s="171"/>
      <c r="N112" s="171"/>
      <c r="O112" s="171"/>
      <c r="P112" s="171"/>
      <c r="Q112" s="171"/>
      <c r="R112" s="171"/>
      <c r="S112" s="62"/>
      <c r="T112" s="62"/>
      <c r="U112" s="62"/>
    </row>
    <row r="113" spans="1:21" s="1" customFormat="1" x14ac:dyDescent="0.3">
      <c r="A113" s="461"/>
      <c r="B113" s="464" t="s">
        <v>565</v>
      </c>
      <c r="C113" s="464"/>
      <c r="D113" s="171"/>
      <c r="E113" s="62"/>
      <c r="F113" s="62"/>
      <c r="G113" s="171"/>
      <c r="H113" s="171"/>
      <c r="I113" s="62"/>
      <c r="J113" s="171"/>
      <c r="K113" s="171"/>
      <c r="L113" s="171"/>
      <c r="M113" s="171"/>
      <c r="N113" s="171"/>
      <c r="O113" s="171"/>
      <c r="P113" s="171"/>
      <c r="Q113" s="171"/>
      <c r="R113" s="171"/>
      <c r="S113" s="62"/>
      <c r="T113" s="62"/>
      <c r="U113" s="62"/>
    </row>
    <row r="114" spans="1:21" s="1" customFormat="1" x14ac:dyDescent="0.3">
      <c r="A114" s="461">
        <v>568</v>
      </c>
      <c r="B114" s="461" t="s">
        <v>622</v>
      </c>
      <c r="C114" s="461"/>
      <c r="D114" s="467">
        <v>764573.79</v>
      </c>
      <c r="E114" s="467"/>
      <c r="F114" s="467">
        <f t="shared" ref="F114:F119" si="24">D114+E114</f>
        <v>764573.79</v>
      </c>
      <c r="G114" s="467">
        <v>0</v>
      </c>
      <c r="H114" s="467">
        <f t="shared" ref="H114:H119" si="25">F114</f>
        <v>764573.79</v>
      </c>
      <c r="I114" s="467">
        <f t="shared" ref="I114:I119" si="26">H114</f>
        <v>764573.79</v>
      </c>
      <c r="J114" s="467"/>
      <c r="K114" s="467">
        <f t="shared" ref="K114:K119" si="27">I114</f>
        <v>764573.79</v>
      </c>
      <c r="L114" s="467"/>
      <c r="M114" s="467"/>
      <c r="N114" s="467"/>
      <c r="O114" s="467"/>
      <c r="P114" s="467"/>
      <c r="Q114" s="467"/>
      <c r="R114" s="171"/>
      <c r="S114" s="62">
        <f t="shared" ref="S114:S120" si="28">SUM(J114:Q114)</f>
        <v>764573.79</v>
      </c>
      <c r="T114" s="62">
        <f t="shared" ref="T114:T120" si="29">H114-S114</f>
        <v>0</v>
      </c>
      <c r="U114" s="62"/>
    </row>
    <row r="115" spans="1:21" s="1" customFormat="1" x14ac:dyDescent="0.3">
      <c r="A115" s="461">
        <v>569</v>
      </c>
      <c r="B115" s="466" t="s">
        <v>569</v>
      </c>
      <c r="C115" s="466"/>
      <c r="D115" s="467">
        <v>0</v>
      </c>
      <c r="E115" s="467"/>
      <c r="F115" s="467">
        <f t="shared" si="24"/>
        <v>0</v>
      </c>
      <c r="G115" s="467">
        <v>0</v>
      </c>
      <c r="H115" s="467">
        <f t="shared" si="25"/>
        <v>0</v>
      </c>
      <c r="I115" s="467">
        <f t="shared" si="26"/>
        <v>0</v>
      </c>
      <c r="J115" s="467"/>
      <c r="K115" s="467">
        <f t="shared" si="27"/>
        <v>0</v>
      </c>
      <c r="L115" s="467"/>
      <c r="M115" s="467"/>
      <c r="N115" s="467"/>
      <c r="O115" s="467"/>
      <c r="P115" s="467"/>
      <c r="Q115" s="467"/>
      <c r="R115" s="171"/>
      <c r="S115" s="62">
        <f t="shared" si="28"/>
        <v>0</v>
      </c>
      <c r="T115" s="62">
        <f t="shared" si="29"/>
        <v>0</v>
      </c>
      <c r="U115" s="62"/>
    </row>
    <row r="116" spans="1:21" s="1" customFormat="1" x14ac:dyDescent="0.3">
      <c r="A116" s="461">
        <v>570</v>
      </c>
      <c r="B116" s="461" t="s">
        <v>658</v>
      </c>
      <c r="C116" s="461"/>
      <c r="D116" s="467">
        <v>2580593.8199999998</v>
      </c>
      <c r="E116" s="467"/>
      <c r="F116" s="467">
        <f t="shared" si="24"/>
        <v>2580593.8199999998</v>
      </c>
      <c r="G116" s="467">
        <v>0</v>
      </c>
      <c r="H116" s="467">
        <f t="shared" si="25"/>
        <v>2580593.8199999998</v>
      </c>
      <c r="I116" s="467">
        <f t="shared" si="26"/>
        <v>2580593.8199999998</v>
      </c>
      <c r="J116" s="467">
        <v>0</v>
      </c>
      <c r="K116" s="467">
        <f>I116</f>
        <v>2580593.8199999998</v>
      </c>
      <c r="L116" s="467"/>
      <c r="M116" s="467"/>
      <c r="N116" s="467"/>
      <c r="O116" s="467"/>
      <c r="P116" s="467"/>
      <c r="Q116" s="467"/>
      <c r="R116" s="171"/>
      <c r="S116" s="62">
        <f t="shared" si="28"/>
        <v>2580593.8199999998</v>
      </c>
      <c r="T116" s="62">
        <f t="shared" si="29"/>
        <v>0</v>
      </c>
      <c r="U116" s="62"/>
    </row>
    <row r="117" spans="1:21" s="1" customFormat="1" x14ac:dyDescent="0.3">
      <c r="A117" s="461">
        <v>571</v>
      </c>
      <c r="B117" s="461" t="s">
        <v>660</v>
      </c>
      <c r="C117" s="461"/>
      <c r="D117" s="467">
        <v>3378198.26</v>
      </c>
      <c r="E117" s="467"/>
      <c r="F117" s="467">
        <f t="shared" si="24"/>
        <v>3378198.26</v>
      </c>
      <c r="G117" s="467">
        <v>0</v>
      </c>
      <c r="H117" s="467">
        <f t="shared" si="25"/>
        <v>3378198.26</v>
      </c>
      <c r="I117" s="467">
        <f t="shared" si="26"/>
        <v>3378198.26</v>
      </c>
      <c r="J117" s="467">
        <v>0</v>
      </c>
      <c r="K117" s="467">
        <f>I117</f>
        <v>3378198.26</v>
      </c>
      <c r="L117" s="467"/>
      <c r="M117" s="467"/>
      <c r="N117" s="467"/>
      <c r="O117" s="467"/>
      <c r="P117" s="467"/>
      <c r="Q117" s="467"/>
      <c r="R117" s="171"/>
      <c r="S117" s="62">
        <f t="shared" si="28"/>
        <v>3378198.26</v>
      </c>
      <c r="T117" s="62">
        <f t="shared" si="29"/>
        <v>0</v>
      </c>
      <c r="U117" s="62"/>
    </row>
    <row r="118" spans="1:21" s="1" customFormat="1" x14ac:dyDescent="0.3">
      <c r="A118" s="461">
        <v>572</v>
      </c>
      <c r="B118" s="466" t="s">
        <v>662</v>
      </c>
      <c r="C118" s="466"/>
      <c r="D118" s="467">
        <v>49364.41</v>
      </c>
      <c r="E118" s="467"/>
      <c r="F118" s="467">
        <f t="shared" si="24"/>
        <v>49364.41</v>
      </c>
      <c r="G118" s="467">
        <v>0</v>
      </c>
      <c r="H118" s="467">
        <f t="shared" si="25"/>
        <v>49364.41</v>
      </c>
      <c r="I118" s="467">
        <f t="shared" si="26"/>
        <v>49364.41</v>
      </c>
      <c r="J118" s="467"/>
      <c r="K118" s="467">
        <f t="shared" ref="K118" si="30">I118</f>
        <v>49364.41</v>
      </c>
      <c r="L118" s="467"/>
      <c r="M118" s="467"/>
      <c r="N118" s="467"/>
      <c r="O118" s="467"/>
      <c r="P118" s="467"/>
      <c r="Q118" s="467"/>
      <c r="R118" s="171"/>
      <c r="S118" s="62">
        <f t="shared" si="28"/>
        <v>49364.41</v>
      </c>
      <c r="T118" s="62">
        <f t="shared" si="29"/>
        <v>0</v>
      </c>
      <c r="U118" s="62"/>
    </row>
    <row r="119" spans="1:21" s="1" customFormat="1" ht="14.5" x14ac:dyDescent="0.45">
      <c r="A119" s="461">
        <v>573</v>
      </c>
      <c r="B119" s="466" t="s">
        <v>664</v>
      </c>
      <c r="C119" s="466"/>
      <c r="D119" s="471">
        <v>2138304.7599999998</v>
      </c>
      <c r="E119" s="471"/>
      <c r="F119" s="471">
        <f t="shared" si="24"/>
        <v>2138304.7599999998</v>
      </c>
      <c r="G119" s="471">
        <v>0</v>
      </c>
      <c r="H119" s="471">
        <f t="shared" si="25"/>
        <v>2138304.7599999998</v>
      </c>
      <c r="I119" s="471">
        <f t="shared" si="26"/>
        <v>2138304.7599999998</v>
      </c>
      <c r="J119" s="471"/>
      <c r="K119" s="471">
        <f t="shared" si="27"/>
        <v>2138304.7599999998</v>
      </c>
      <c r="L119" s="471"/>
      <c r="M119" s="471"/>
      <c r="N119" s="471"/>
      <c r="O119" s="471"/>
      <c r="P119" s="471"/>
      <c r="Q119" s="471"/>
      <c r="R119" s="171"/>
      <c r="S119" s="62">
        <f t="shared" si="28"/>
        <v>2138304.7599999998</v>
      </c>
      <c r="T119" s="62">
        <f t="shared" si="29"/>
        <v>0</v>
      </c>
      <c r="U119" s="62"/>
    </row>
    <row r="120" spans="1:21" s="1" customFormat="1" x14ac:dyDescent="0.3">
      <c r="A120" s="461"/>
      <c r="B120" s="474" t="s">
        <v>524</v>
      </c>
      <c r="C120" s="474"/>
      <c r="D120" s="171">
        <f>SUM(D114:D119)</f>
        <v>8911035.0399999991</v>
      </c>
      <c r="E120" s="171">
        <f>SUM(E114:E119)</f>
        <v>0</v>
      </c>
      <c r="F120" s="171">
        <f>SUM(F114:F119)</f>
        <v>8911035.0399999991</v>
      </c>
      <c r="G120" s="171">
        <f>SUM(G114:G119)</f>
        <v>0</v>
      </c>
      <c r="H120" s="171">
        <f t="shared" ref="H120:Q120" si="31">SUM(H114:H119)</f>
        <v>8911035.0399999991</v>
      </c>
      <c r="I120" s="171">
        <f t="shared" si="31"/>
        <v>8911035.0399999991</v>
      </c>
      <c r="J120" s="171">
        <f t="shared" si="31"/>
        <v>0</v>
      </c>
      <c r="K120" s="171">
        <f t="shared" si="31"/>
        <v>8911035.0399999991</v>
      </c>
      <c r="L120" s="171">
        <f t="shared" si="31"/>
        <v>0</v>
      </c>
      <c r="M120" s="171">
        <f t="shared" si="31"/>
        <v>0</v>
      </c>
      <c r="N120" s="171">
        <f t="shared" si="31"/>
        <v>0</v>
      </c>
      <c r="O120" s="171">
        <f t="shared" si="31"/>
        <v>0</v>
      </c>
      <c r="P120" s="171">
        <f t="shared" si="31"/>
        <v>0</v>
      </c>
      <c r="Q120" s="171">
        <f t="shared" si="31"/>
        <v>0</v>
      </c>
      <c r="R120" s="171"/>
      <c r="S120" s="62">
        <f t="shared" si="28"/>
        <v>8911035.0399999991</v>
      </c>
      <c r="T120" s="62">
        <f t="shared" si="29"/>
        <v>0</v>
      </c>
      <c r="U120" s="62"/>
    </row>
    <row r="121" spans="1:21" s="1" customFormat="1" x14ac:dyDescent="0.3">
      <c r="A121" s="461"/>
      <c r="B121" s="461"/>
      <c r="C121" s="46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62"/>
      <c r="T121" s="62"/>
      <c r="U121" s="62"/>
    </row>
    <row r="122" spans="1:21" s="1" customFormat="1" x14ac:dyDescent="0.3">
      <c r="A122" s="461"/>
      <c r="B122" s="479" t="s">
        <v>541</v>
      </c>
      <c r="C122" s="479"/>
      <c r="D122" s="171">
        <f>D120+D111</f>
        <v>18822174.359999999</v>
      </c>
      <c r="E122" s="171">
        <f>E120+E111</f>
        <v>0</v>
      </c>
      <c r="F122" s="171">
        <f>F120+F111</f>
        <v>18822174.359999999</v>
      </c>
      <c r="G122" s="171">
        <f>G120+G111</f>
        <v>0</v>
      </c>
      <c r="H122" s="171">
        <f t="shared" ref="H122:Q122" si="32">H120+H111</f>
        <v>18822174.359999999</v>
      </c>
      <c r="I122" s="171">
        <f t="shared" si="32"/>
        <v>18822174.359999999</v>
      </c>
      <c r="J122" s="171">
        <f t="shared" si="32"/>
        <v>0</v>
      </c>
      <c r="K122" s="171">
        <f>K120+K111</f>
        <v>18822174.359999999</v>
      </c>
      <c r="L122" s="171">
        <f t="shared" si="32"/>
        <v>0</v>
      </c>
      <c r="M122" s="171">
        <f t="shared" si="32"/>
        <v>0</v>
      </c>
      <c r="N122" s="171">
        <f t="shared" si="32"/>
        <v>0</v>
      </c>
      <c r="O122" s="171">
        <f t="shared" si="32"/>
        <v>0</v>
      </c>
      <c r="P122" s="171">
        <f t="shared" si="32"/>
        <v>0</v>
      </c>
      <c r="Q122" s="171">
        <f t="shared" si="32"/>
        <v>0</v>
      </c>
      <c r="R122" s="171"/>
      <c r="S122" s="62"/>
      <c r="T122" s="62"/>
      <c r="U122" s="62"/>
    </row>
    <row r="123" spans="1:21" s="1" customFormat="1" x14ac:dyDescent="0.3">
      <c r="A123" s="461"/>
      <c r="B123" s="461"/>
      <c r="C123" s="461"/>
      <c r="D123" s="171"/>
      <c r="E123" s="62"/>
      <c r="F123" s="62"/>
      <c r="G123" s="171"/>
      <c r="H123" s="171"/>
      <c r="I123" s="62"/>
      <c r="J123" s="171"/>
      <c r="K123" s="171"/>
      <c r="L123" s="171"/>
      <c r="M123" s="171"/>
      <c r="N123" s="171"/>
      <c r="O123" s="171"/>
      <c r="P123" s="171"/>
      <c r="Q123" s="171"/>
      <c r="R123" s="171"/>
      <c r="S123" s="62"/>
      <c r="T123" s="62"/>
      <c r="U123" s="62"/>
    </row>
    <row r="124" spans="1:21" s="1" customFormat="1" x14ac:dyDescent="0.3">
      <c r="A124" s="479" t="s">
        <v>367</v>
      </c>
      <c r="B124" s="461"/>
      <c r="C124" s="461"/>
      <c r="D124" s="171"/>
      <c r="E124" s="62"/>
      <c r="F124" s="62"/>
      <c r="G124" s="171"/>
      <c r="H124" s="171"/>
      <c r="I124" s="62"/>
      <c r="J124" s="171"/>
      <c r="K124" s="171"/>
      <c r="L124" s="171"/>
      <c r="M124" s="171"/>
      <c r="N124" s="171"/>
      <c r="O124" s="171"/>
      <c r="P124" s="171"/>
      <c r="Q124" s="171"/>
      <c r="R124" s="171"/>
      <c r="S124" s="62"/>
      <c r="T124" s="62"/>
      <c r="U124" s="62"/>
    </row>
    <row r="125" spans="1:21" s="1" customFormat="1" x14ac:dyDescent="0.3">
      <c r="A125" s="461"/>
      <c r="B125" s="464" t="s">
        <v>549</v>
      </c>
      <c r="C125" s="464"/>
      <c r="D125" s="171"/>
      <c r="E125" s="62"/>
      <c r="F125" s="62"/>
      <c r="G125" s="171"/>
      <c r="H125" s="171"/>
      <c r="I125" s="62"/>
      <c r="J125" s="171"/>
      <c r="K125" s="171"/>
      <c r="L125" s="171"/>
      <c r="M125" s="171"/>
      <c r="N125" s="171"/>
      <c r="O125" s="171"/>
      <c r="P125" s="171"/>
      <c r="Q125" s="171"/>
      <c r="R125" s="171"/>
      <c r="S125" s="62"/>
      <c r="T125" s="62"/>
      <c r="U125" s="62"/>
    </row>
    <row r="126" spans="1:21" s="1" customFormat="1" x14ac:dyDescent="0.3">
      <c r="A126" s="461">
        <v>580</v>
      </c>
      <c r="B126" s="461" t="s">
        <v>615</v>
      </c>
      <c r="C126" s="461" t="s">
        <v>1103</v>
      </c>
      <c r="D126" s="467">
        <v>5704870.0099999998</v>
      </c>
      <c r="E126" s="62"/>
      <c r="F126" s="468">
        <f t="shared" ref="F126:F135" si="33">D126+E126</f>
        <v>5704870.0099999998</v>
      </c>
      <c r="G126" s="467">
        <v>0</v>
      </c>
      <c r="H126" s="171">
        <f t="shared" ref="H126:H135" si="34">F126</f>
        <v>5704870.0099999998</v>
      </c>
      <c r="I126" s="468">
        <f t="shared" ref="I126:I135" si="35">H126</f>
        <v>5704870.0099999998</v>
      </c>
      <c r="J126" s="171">
        <f t="shared" ref="J126:Q126" si="36">$I126*J$137/$I$137</f>
        <v>0</v>
      </c>
      <c r="K126" s="171">
        <f t="shared" si="36"/>
        <v>0</v>
      </c>
      <c r="L126" s="171">
        <f t="shared" si="36"/>
        <v>4494955.9429630432</v>
      </c>
      <c r="M126" s="171">
        <f t="shared" si="36"/>
        <v>1209914.0670369565</v>
      </c>
      <c r="N126" s="171">
        <f t="shared" si="36"/>
        <v>0</v>
      </c>
      <c r="O126" s="171">
        <f t="shared" si="36"/>
        <v>0</v>
      </c>
      <c r="P126" s="171">
        <f t="shared" si="36"/>
        <v>0</v>
      </c>
      <c r="Q126" s="171">
        <f t="shared" si="36"/>
        <v>0</v>
      </c>
      <c r="R126" s="171"/>
      <c r="S126" s="62">
        <f t="shared" ref="S126:S136" si="37">SUM(J126:Q126)</f>
        <v>5704870.0099999998</v>
      </c>
      <c r="T126" s="62">
        <f t="shared" ref="T126:T136" si="38">H126-S126</f>
        <v>0</v>
      </c>
      <c r="U126" s="62"/>
    </row>
    <row r="127" spans="1:21" s="1" customFormat="1" x14ac:dyDescent="0.3">
      <c r="A127" s="461">
        <v>581</v>
      </c>
      <c r="B127" s="466" t="s">
        <v>644</v>
      </c>
      <c r="C127" s="466"/>
      <c r="D127" s="467">
        <v>7167516.4400000004</v>
      </c>
      <c r="E127" s="62"/>
      <c r="F127" s="468">
        <f t="shared" si="33"/>
        <v>7167516.4400000004</v>
      </c>
      <c r="G127" s="467">
        <v>0</v>
      </c>
      <c r="H127" s="171">
        <f t="shared" si="34"/>
        <v>7167516.4400000004</v>
      </c>
      <c r="I127" s="468">
        <f t="shared" si="35"/>
        <v>7167516.4400000004</v>
      </c>
      <c r="J127" s="171"/>
      <c r="K127" s="171"/>
      <c r="L127" s="171">
        <f>I127</f>
        <v>7167516.4400000004</v>
      </c>
      <c r="M127" s="171"/>
      <c r="N127" s="171"/>
      <c r="O127" s="171"/>
      <c r="P127" s="171"/>
      <c r="Q127" s="171"/>
      <c r="R127" s="171"/>
      <c r="S127" s="62">
        <f t="shared" si="37"/>
        <v>7167516.4400000004</v>
      </c>
      <c r="T127" s="62">
        <f t="shared" si="38"/>
        <v>0</v>
      </c>
      <c r="U127" s="62"/>
    </row>
    <row r="128" spans="1:21" s="1" customFormat="1" x14ac:dyDescent="0.3">
      <c r="A128" s="461">
        <v>582</v>
      </c>
      <c r="B128" s="461" t="s">
        <v>668</v>
      </c>
      <c r="C128" s="461"/>
      <c r="D128" s="467">
        <v>239123.15</v>
      </c>
      <c r="E128" s="62"/>
      <c r="F128" s="468">
        <f t="shared" si="33"/>
        <v>239123.15</v>
      </c>
      <c r="G128" s="467">
        <v>0</v>
      </c>
      <c r="H128" s="171">
        <f t="shared" si="34"/>
        <v>239123.15</v>
      </c>
      <c r="I128" s="468">
        <f t="shared" si="35"/>
        <v>239123.15</v>
      </c>
      <c r="J128" s="171"/>
      <c r="K128" s="171"/>
      <c r="L128" s="171">
        <f>I128</f>
        <v>239123.15</v>
      </c>
      <c r="M128" s="171"/>
      <c r="N128" s="171"/>
      <c r="O128" s="171"/>
      <c r="P128" s="171"/>
      <c r="Q128" s="171"/>
      <c r="R128" s="171"/>
      <c r="S128" s="62">
        <f t="shared" si="37"/>
        <v>239123.15</v>
      </c>
      <c r="T128" s="62">
        <f t="shared" si="38"/>
        <v>0</v>
      </c>
      <c r="U128" s="62"/>
    </row>
    <row r="129" spans="1:21" s="1" customFormat="1" x14ac:dyDescent="0.3">
      <c r="A129" s="461">
        <v>583</v>
      </c>
      <c r="B129" s="461" t="s">
        <v>670</v>
      </c>
      <c r="C129" s="461"/>
      <c r="D129" s="467">
        <v>4856979.6500000004</v>
      </c>
      <c r="E129" s="62"/>
      <c r="F129" s="468">
        <f t="shared" si="33"/>
        <v>4856979.6500000004</v>
      </c>
      <c r="G129" s="467">
        <v>0</v>
      </c>
      <c r="H129" s="171">
        <f t="shared" si="34"/>
        <v>4856979.6500000004</v>
      </c>
      <c r="I129" s="468">
        <f t="shared" si="35"/>
        <v>4856979.6500000004</v>
      </c>
      <c r="J129" s="171"/>
      <c r="K129" s="171"/>
      <c r="L129" s="171">
        <f>I129</f>
        <v>4856979.6500000004</v>
      </c>
      <c r="M129" s="171"/>
      <c r="N129" s="171"/>
      <c r="O129" s="171"/>
      <c r="P129" s="171"/>
      <c r="Q129" s="171"/>
      <c r="R129" s="171"/>
      <c r="S129" s="62">
        <f t="shared" si="37"/>
        <v>4856979.6500000004</v>
      </c>
      <c r="T129" s="62">
        <f t="shared" si="38"/>
        <v>0</v>
      </c>
      <c r="U129" s="62"/>
    </row>
    <row r="130" spans="1:21" s="1" customFormat="1" x14ac:dyDescent="0.3">
      <c r="A130" s="461">
        <v>584</v>
      </c>
      <c r="B130" s="461" t="s">
        <v>649</v>
      </c>
      <c r="C130" s="461"/>
      <c r="D130" s="467">
        <v>4862468.53</v>
      </c>
      <c r="E130" s="62"/>
      <c r="F130" s="468">
        <f t="shared" si="33"/>
        <v>4862468.53</v>
      </c>
      <c r="G130" s="467">
        <v>0</v>
      </c>
      <c r="H130" s="171">
        <f t="shared" si="34"/>
        <v>4862468.53</v>
      </c>
      <c r="I130" s="468">
        <f t="shared" si="35"/>
        <v>4862468.53</v>
      </c>
      <c r="J130" s="171"/>
      <c r="K130" s="171"/>
      <c r="L130" s="171">
        <f>I130</f>
        <v>4862468.53</v>
      </c>
      <c r="M130" s="171"/>
      <c r="N130" s="171"/>
      <c r="O130" s="171"/>
      <c r="P130" s="171"/>
      <c r="Q130" s="171"/>
      <c r="R130" s="171"/>
      <c r="S130" s="62">
        <f t="shared" si="37"/>
        <v>4862468.53</v>
      </c>
      <c r="T130" s="62">
        <f t="shared" si="38"/>
        <v>0</v>
      </c>
      <c r="U130" s="62"/>
    </row>
    <row r="131" spans="1:21" s="1" customFormat="1" x14ac:dyDescent="0.3">
      <c r="A131" s="461">
        <v>585</v>
      </c>
      <c r="B131" s="461" t="s">
        <v>673</v>
      </c>
      <c r="C131" s="461"/>
      <c r="D131" s="467">
        <v>1439855.07</v>
      </c>
      <c r="E131" s="62"/>
      <c r="F131" s="468">
        <f t="shared" si="33"/>
        <v>1439855.07</v>
      </c>
      <c r="G131" s="467">
        <v>0</v>
      </c>
      <c r="H131" s="171">
        <f t="shared" si="34"/>
        <v>1439855.07</v>
      </c>
      <c r="I131" s="468">
        <f t="shared" si="35"/>
        <v>1439855.07</v>
      </c>
      <c r="J131" s="171"/>
      <c r="K131" s="171"/>
      <c r="L131" s="171">
        <f>I131</f>
        <v>1439855.07</v>
      </c>
      <c r="M131" s="171"/>
      <c r="N131" s="171"/>
      <c r="O131" s="171"/>
      <c r="P131" s="171"/>
      <c r="Q131" s="171"/>
      <c r="R131" s="171"/>
      <c r="S131" s="62">
        <f t="shared" si="37"/>
        <v>1439855.07</v>
      </c>
      <c r="T131" s="62">
        <f t="shared" si="38"/>
        <v>0</v>
      </c>
      <c r="U131" s="62"/>
    </row>
    <row r="132" spans="1:21" s="1" customFormat="1" x14ac:dyDescent="0.3">
      <c r="A132" s="461">
        <v>586</v>
      </c>
      <c r="B132" s="461" t="s">
        <v>675</v>
      </c>
      <c r="C132" s="461"/>
      <c r="D132" s="467">
        <v>5221096.04</v>
      </c>
      <c r="E132" s="62"/>
      <c r="F132" s="468">
        <f t="shared" si="33"/>
        <v>5221096.04</v>
      </c>
      <c r="G132" s="467">
        <v>0</v>
      </c>
      <c r="H132" s="171">
        <f t="shared" si="34"/>
        <v>5221096.04</v>
      </c>
      <c r="I132" s="468">
        <f t="shared" si="35"/>
        <v>5221096.04</v>
      </c>
      <c r="J132" s="171"/>
      <c r="K132" s="171"/>
      <c r="L132" s="171"/>
      <c r="M132" s="171">
        <f>I132</f>
        <v>5221096.04</v>
      </c>
      <c r="N132" s="171"/>
      <c r="O132" s="171"/>
      <c r="P132" s="171"/>
      <c r="Q132" s="171"/>
      <c r="R132" s="171"/>
      <c r="S132" s="62">
        <f t="shared" si="37"/>
        <v>5221096.04</v>
      </c>
      <c r="T132" s="62">
        <f t="shared" si="38"/>
        <v>0</v>
      </c>
      <c r="U132" s="62"/>
    </row>
    <row r="133" spans="1:21" s="1" customFormat="1" x14ac:dyDescent="0.3">
      <c r="A133" s="461">
        <v>587</v>
      </c>
      <c r="B133" s="461" t="s">
        <v>677</v>
      </c>
      <c r="C133" s="461"/>
      <c r="D133" s="467">
        <v>830969.15</v>
      </c>
      <c r="E133" s="62"/>
      <c r="F133" s="468">
        <f t="shared" si="33"/>
        <v>830969.15</v>
      </c>
      <c r="G133" s="467">
        <v>0</v>
      </c>
      <c r="H133" s="171">
        <f t="shared" si="34"/>
        <v>830969.15</v>
      </c>
      <c r="I133" s="468">
        <f t="shared" si="35"/>
        <v>830969.15</v>
      </c>
      <c r="J133" s="171"/>
      <c r="K133" s="171"/>
      <c r="L133" s="171">
        <f>I133</f>
        <v>830969.15</v>
      </c>
      <c r="M133" s="171">
        <v>0</v>
      </c>
      <c r="N133" s="171"/>
      <c r="O133" s="171"/>
      <c r="P133" s="171"/>
      <c r="Q133" s="171"/>
      <c r="R133" s="171"/>
      <c r="S133" s="62">
        <f t="shared" si="37"/>
        <v>830969.15</v>
      </c>
      <c r="T133" s="62">
        <f t="shared" si="38"/>
        <v>0</v>
      </c>
      <c r="U133" s="62"/>
    </row>
    <row r="134" spans="1:21" s="1" customFormat="1" x14ac:dyDescent="0.3">
      <c r="A134" s="461">
        <v>588</v>
      </c>
      <c r="B134" s="466" t="s">
        <v>679</v>
      </c>
      <c r="C134" s="461" t="s">
        <v>1103</v>
      </c>
      <c r="D134" s="467">
        <v>11990698.439999999</v>
      </c>
      <c r="E134" s="62"/>
      <c r="F134" s="468">
        <f t="shared" si="33"/>
        <v>11990698.439999999</v>
      </c>
      <c r="G134" s="467">
        <v>0</v>
      </c>
      <c r="H134" s="171">
        <f t="shared" si="34"/>
        <v>11990698.439999999</v>
      </c>
      <c r="I134" s="468">
        <f t="shared" si="35"/>
        <v>11990698.439999999</v>
      </c>
      <c r="J134" s="171">
        <f t="shared" ref="J134:Q134" si="39">$I134*J$137/$I$137</f>
        <v>0</v>
      </c>
      <c r="K134" s="171">
        <f t="shared" si="39"/>
        <v>0</v>
      </c>
      <c r="L134" s="171">
        <f t="shared" si="39"/>
        <v>9447658.0743608736</v>
      </c>
      <c r="M134" s="171">
        <f t="shared" si="39"/>
        <v>2543040.3656391273</v>
      </c>
      <c r="N134" s="171">
        <f t="shared" si="39"/>
        <v>0</v>
      </c>
      <c r="O134" s="171">
        <f t="shared" si="39"/>
        <v>0</v>
      </c>
      <c r="P134" s="171">
        <f t="shared" si="39"/>
        <v>0</v>
      </c>
      <c r="Q134" s="171">
        <f t="shared" si="39"/>
        <v>0</v>
      </c>
      <c r="R134" s="171"/>
      <c r="S134" s="62">
        <f t="shared" si="37"/>
        <v>11990698.440000001</v>
      </c>
      <c r="T134" s="62">
        <f t="shared" si="38"/>
        <v>0</v>
      </c>
      <c r="U134" s="62"/>
    </row>
    <row r="135" spans="1:21" s="1" customFormat="1" ht="14.5" x14ac:dyDescent="0.45">
      <c r="A135" s="461">
        <v>589</v>
      </c>
      <c r="B135" s="461" t="s">
        <v>564</v>
      </c>
      <c r="C135" s="461"/>
      <c r="D135" s="471">
        <v>0</v>
      </c>
      <c r="E135" s="62"/>
      <c r="F135" s="473">
        <f t="shared" si="33"/>
        <v>0</v>
      </c>
      <c r="G135" s="471">
        <v>0</v>
      </c>
      <c r="H135" s="471">
        <f t="shared" si="34"/>
        <v>0</v>
      </c>
      <c r="I135" s="471">
        <f t="shared" si="35"/>
        <v>0</v>
      </c>
      <c r="J135" s="471"/>
      <c r="K135" s="471"/>
      <c r="L135" s="471">
        <f>I135</f>
        <v>0</v>
      </c>
      <c r="M135" s="471"/>
      <c r="N135" s="471"/>
      <c r="O135" s="471"/>
      <c r="P135" s="471"/>
      <c r="Q135" s="471"/>
      <c r="R135" s="171"/>
      <c r="S135" s="62">
        <f t="shared" si="37"/>
        <v>0</v>
      </c>
      <c r="T135" s="62">
        <f t="shared" si="38"/>
        <v>0</v>
      </c>
      <c r="U135" s="62"/>
    </row>
    <row r="136" spans="1:21" s="1" customFormat="1" x14ac:dyDescent="0.3">
      <c r="A136" s="461"/>
      <c r="B136" s="474" t="s">
        <v>524</v>
      </c>
      <c r="C136" s="474"/>
      <c r="D136" s="171">
        <f>SUM(D126:D135)</f>
        <v>42313576.479999997</v>
      </c>
      <c r="E136" s="171">
        <f>SUM(E126:E135)</f>
        <v>0</v>
      </c>
      <c r="F136" s="171">
        <f>SUM(F126:F135)</f>
        <v>42313576.479999997</v>
      </c>
      <c r="G136" s="171">
        <f>SUM(G126:G135)</f>
        <v>0</v>
      </c>
      <c r="H136" s="171">
        <f t="shared" ref="H136:Q136" si="40">SUM(H126:H135)</f>
        <v>42313576.479999997</v>
      </c>
      <c r="I136" s="171">
        <f t="shared" si="40"/>
        <v>42313576.479999997</v>
      </c>
      <c r="J136" s="171">
        <f t="shared" si="40"/>
        <v>0</v>
      </c>
      <c r="K136" s="171">
        <f t="shared" si="40"/>
        <v>0</v>
      </c>
      <c r="L136" s="171">
        <f t="shared" si="40"/>
        <v>33339526.007323917</v>
      </c>
      <c r="M136" s="171">
        <f t="shared" si="40"/>
        <v>8974050.4726760834</v>
      </c>
      <c r="N136" s="171">
        <f t="shared" si="40"/>
        <v>0</v>
      </c>
      <c r="O136" s="171">
        <f t="shared" si="40"/>
        <v>0</v>
      </c>
      <c r="P136" s="171">
        <f t="shared" si="40"/>
        <v>0</v>
      </c>
      <c r="Q136" s="171">
        <f t="shared" si="40"/>
        <v>0</v>
      </c>
      <c r="R136" s="171"/>
      <c r="S136" s="62">
        <f t="shared" si="37"/>
        <v>42313576.480000004</v>
      </c>
      <c r="T136" s="62">
        <f t="shared" si="38"/>
        <v>0</v>
      </c>
      <c r="U136" s="62"/>
    </row>
    <row r="137" spans="1:21" s="1" customFormat="1" x14ac:dyDescent="0.3">
      <c r="A137" s="461" t="s">
        <v>1205</v>
      </c>
      <c r="B137" s="461" t="s">
        <v>1346</v>
      </c>
      <c r="C137" s="461"/>
      <c r="D137" s="62">
        <f>SUM(D127:D133,D135)</f>
        <v>24618008.030000001</v>
      </c>
      <c r="E137" s="62"/>
      <c r="F137" s="62">
        <f>SUM(F127:F133,F135)</f>
        <v>24618008.030000001</v>
      </c>
      <c r="G137" s="171">
        <f>SUM(G127:G133,G135)</f>
        <v>0</v>
      </c>
      <c r="H137" s="62">
        <f>SUM(H127:H133,H135)</f>
        <v>24618008.030000001</v>
      </c>
      <c r="I137" s="62">
        <f>SUM(I127:I133,I135)</f>
        <v>24618008.030000001</v>
      </c>
      <c r="J137" s="171">
        <v>0</v>
      </c>
      <c r="K137" s="171">
        <f t="shared" ref="K137:Q137" si="41">SUM(K127:K133,K135)</f>
        <v>0</v>
      </c>
      <c r="L137" s="171">
        <f t="shared" si="41"/>
        <v>19396911.990000002</v>
      </c>
      <c r="M137" s="171">
        <f t="shared" si="41"/>
        <v>5221096.04</v>
      </c>
      <c r="N137" s="171">
        <f t="shared" si="41"/>
        <v>0</v>
      </c>
      <c r="O137" s="171">
        <f t="shared" si="41"/>
        <v>0</v>
      </c>
      <c r="P137" s="171">
        <f t="shared" si="41"/>
        <v>0</v>
      </c>
      <c r="Q137" s="171">
        <f t="shared" si="41"/>
        <v>0</v>
      </c>
      <c r="R137" s="62"/>
      <c r="S137" s="62"/>
      <c r="T137" s="62"/>
      <c r="U137" s="62"/>
    </row>
    <row r="138" spans="1:21" s="1" customFormat="1" x14ac:dyDescent="0.3">
      <c r="A138" s="461"/>
      <c r="B138" s="464" t="s">
        <v>565</v>
      </c>
      <c r="C138" s="464"/>
      <c r="D138" s="171"/>
      <c r="E138" s="62"/>
      <c r="F138" s="62"/>
      <c r="G138" s="171"/>
      <c r="H138" s="171"/>
      <c r="I138" s="62"/>
      <c r="J138" s="171"/>
      <c r="K138" s="171"/>
      <c r="L138" s="171"/>
      <c r="M138" s="171"/>
      <c r="N138" s="171"/>
      <c r="O138" s="171"/>
      <c r="P138" s="171"/>
      <c r="Q138" s="171"/>
      <c r="R138" s="171"/>
      <c r="S138" s="62"/>
      <c r="T138" s="62"/>
      <c r="U138" s="62"/>
    </row>
    <row r="139" spans="1:21" s="1" customFormat="1" x14ac:dyDescent="0.3">
      <c r="A139" s="461">
        <v>590</v>
      </c>
      <c r="B139" s="461" t="s">
        <v>682</v>
      </c>
      <c r="C139" s="461" t="s">
        <v>1125</v>
      </c>
      <c r="D139" s="467">
        <v>1160646.92</v>
      </c>
      <c r="E139" s="62"/>
      <c r="F139" s="468">
        <f t="shared" ref="F139:F147" si="42">D139+E139</f>
        <v>1160646.92</v>
      </c>
      <c r="G139" s="467">
        <v>0</v>
      </c>
      <c r="H139" s="171">
        <f t="shared" ref="H139:H147" si="43">F139</f>
        <v>1160646.92</v>
      </c>
      <c r="I139" s="468">
        <f t="shared" ref="I139:I147" si="44">H139</f>
        <v>1160646.92</v>
      </c>
      <c r="J139" s="171">
        <f>$I139*J$137/$I$137</f>
        <v>0</v>
      </c>
      <c r="K139" s="171">
        <f>$I139*K$149/$I$149</f>
        <v>0</v>
      </c>
      <c r="L139" s="171">
        <f>$I139*L$149/$I$149</f>
        <v>1116040.5058299741</v>
      </c>
      <c r="M139" s="171">
        <f>$I139*M$149/$I$149</f>
        <v>44606.414170025761</v>
      </c>
      <c r="N139" s="171">
        <f>$I139*N$137/$I$137</f>
        <v>0</v>
      </c>
      <c r="O139" s="171">
        <f>$I139*O$137/$I$137</f>
        <v>0</v>
      </c>
      <c r="P139" s="171">
        <f>$I139*P$137/$I$137</f>
        <v>0</v>
      </c>
      <c r="Q139" s="171">
        <f>$I139*Q$137/$I$137</f>
        <v>0</v>
      </c>
      <c r="R139" s="171"/>
      <c r="S139" s="62">
        <f t="shared" ref="S139:S148" si="45">SUM(J139:Q139)</f>
        <v>1160646.92</v>
      </c>
      <c r="T139" s="62">
        <f t="shared" ref="T139:T148" si="46">H139-S139</f>
        <v>0</v>
      </c>
      <c r="U139" s="62"/>
    </row>
    <row r="140" spans="1:21" s="1" customFormat="1" x14ac:dyDescent="0.3">
      <c r="A140" s="461">
        <v>591</v>
      </c>
      <c r="B140" s="466" t="s">
        <v>569</v>
      </c>
      <c r="C140" s="466"/>
      <c r="D140" s="467">
        <v>0</v>
      </c>
      <c r="E140" s="467"/>
      <c r="F140" s="468">
        <f t="shared" si="42"/>
        <v>0</v>
      </c>
      <c r="G140" s="467">
        <v>0</v>
      </c>
      <c r="H140" s="171">
        <f t="shared" si="43"/>
        <v>0</v>
      </c>
      <c r="I140" s="468">
        <f t="shared" si="44"/>
        <v>0</v>
      </c>
      <c r="J140" s="171"/>
      <c r="K140" s="171"/>
      <c r="L140" s="171">
        <f t="shared" ref="L140:L145" si="47">I140</f>
        <v>0</v>
      </c>
      <c r="M140" s="171"/>
      <c r="N140" s="171"/>
      <c r="O140" s="171"/>
      <c r="P140" s="171"/>
      <c r="Q140" s="171"/>
      <c r="R140" s="171"/>
      <c r="S140" s="62">
        <f t="shared" si="45"/>
        <v>0</v>
      </c>
      <c r="T140" s="62">
        <f t="shared" si="46"/>
        <v>0</v>
      </c>
      <c r="U140" s="62"/>
    </row>
    <row r="141" spans="1:21" s="1" customFormat="1" x14ac:dyDescent="0.3">
      <c r="A141" s="461">
        <v>592</v>
      </c>
      <c r="B141" s="461" t="s">
        <v>658</v>
      </c>
      <c r="C141" s="461"/>
      <c r="D141" s="467">
        <v>5229748.68</v>
      </c>
      <c r="E141" s="467"/>
      <c r="F141" s="468">
        <f t="shared" si="42"/>
        <v>5229748.68</v>
      </c>
      <c r="G141" s="467">
        <v>0</v>
      </c>
      <c r="H141" s="171">
        <f t="shared" si="43"/>
        <v>5229748.68</v>
      </c>
      <c r="I141" s="468">
        <f t="shared" si="44"/>
        <v>5229748.68</v>
      </c>
      <c r="J141" s="171"/>
      <c r="K141" s="171"/>
      <c r="L141" s="171">
        <f t="shared" si="47"/>
        <v>5229748.68</v>
      </c>
      <c r="M141" s="171"/>
      <c r="N141" s="171"/>
      <c r="O141" s="171"/>
      <c r="P141" s="171"/>
      <c r="Q141" s="171"/>
      <c r="R141" s="171"/>
      <c r="S141" s="62">
        <f t="shared" si="45"/>
        <v>5229748.68</v>
      </c>
      <c r="T141" s="62">
        <f t="shared" si="46"/>
        <v>0</v>
      </c>
      <c r="U141" s="62"/>
    </row>
    <row r="142" spans="1:21" s="1" customFormat="1" x14ac:dyDescent="0.3">
      <c r="A142" s="461">
        <v>593</v>
      </c>
      <c r="B142" s="466" t="s">
        <v>660</v>
      </c>
      <c r="C142" s="466"/>
      <c r="D142" s="467">
        <v>30254225.850000001</v>
      </c>
      <c r="E142" s="467">
        <f>'3a. OM_AG-i'!E142</f>
        <v>0</v>
      </c>
      <c r="F142" s="468">
        <f t="shared" si="42"/>
        <v>30254225.850000001</v>
      </c>
      <c r="G142" s="467">
        <v>0</v>
      </c>
      <c r="H142" s="171">
        <f t="shared" si="43"/>
        <v>30254225.850000001</v>
      </c>
      <c r="I142" s="468">
        <f t="shared" si="44"/>
        <v>30254225.850000001</v>
      </c>
      <c r="J142" s="171"/>
      <c r="K142" s="171"/>
      <c r="L142" s="171">
        <f t="shared" si="47"/>
        <v>30254225.850000001</v>
      </c>
      <c r="M142" s="171"/>
      <c r="N142" s="171"/>
      <c r="O142" s="171"/>
      <c r="P142" s="171"/>
      <c r="Q142" s="171"/>
      <c r="R142" s="171"/>
      <c r="S142" s="62">
        <f t="shared" si="45"/>
        <v>30254225.850000001</v>
      </c>
      <c r="T142" s="62">
        <f t="shared" si="46"/>
        <v>0</v>
      </c>
      <c r="U142" s="62"/>
    </row>
    <row r="143" spans="1:21" s="1" customFormat="1" x14ac:dyDescent="0.3">
      <c r="A143" s="461">
        <v>594</v>
      </c>
      <c r="B143" s="461" t="s">
        <v>662</v>
      </c>
      <c r="C143" s="461"/>
      <c r="D143" s="467">
        <v>11158158.75</v>
      </c>
      <c r="E143" s="467">
        <f>'3a. OM_AG-i'!E143</f>
        <v>0</v>
      </c>
      <c r="F143" s="468">
        <f t="shared" si="42"/>
        <v>11158158.75</v>
      </c>
      <c r="G143" s="467">
        <v>0</v>
      </c>
      <c r="H143" s="171">
        <f t="shared" si="43"/>
        <v>11158158.75</v>
      </c>
      <c r="I143" s="468">
        <f t="shared" si="44"/>
        <v>11158158.75</v>
      </c>
      <c r="J143" s="171"/>
      <c r="K143" s="171"/>
      <c r="L143" s="171">
        <f t="shared" si="47"/>
        <v>11158158.75</v>
      </c>
      <c r="M143" s="171"/>
      <c r="N143" s="171"/>
      <c r="O143" s="171"/>
      <c r="P143" s="171"/>
      <c r="Q143" s="171"/>
      <c r="R143" s="171"/>
      <c r="S143" s="62">
        <f t="shared" si="45"/>
        <v>11158158.75</v>
      </c>
      <c r="T143" s="62">
        <f t="shared" si="46"/>
        <v>0</v>
      </c>
      <c r="U143" s="62"/>
    </row>
    <row r="144" spans="1:21" s="1" customFormat="1" x14ac:dyDescent="0.3">
      <c r="A144" s="461">
        <v>595</v>
      </c>
      <c r="B144" s="461" t="s">
        <v>688</v>
      </c>
      <c r="C144" s="461"/>
      <c r="D144" s="467">
        <v>2189275.13</v>
      </c>
      <c r="E144" s="467"/>
      <c r="F144" s="468">
        <f t="shared" si="42"/>
        <v>2189275.13</v>
      </c>
      <c r="G144" s="467">
        <v>0</v>
      </c>
      <c r="H144" s="171">
        <f t="shared" si="43"/>
        <v>2189275.13</v>
      </c>
      <c r="I144" s="468">
        <f t="shared" si="44"/>
        <v>2189275.13</v>
      </c>
      <c r="J144" s="171"/>
      <c r="K144" s="171"/>
      <c r="L144" s="171">
        <f t="shared" si="47"/>
        <v>2189275.13</v>
      </c>
      <c r="M144" s="171"/>
      <c r="N144" s="171"/>
      <c r="O144" s="171"/>
      <c r="P144" s="171"/>
      <c r="Q144" s="171"/>
      <c r="R144" s="171"/>
      <c r="S144" s="62">
        <f t="shared" si="45"/>
        <v>2189275.13</v>
      </c>
      <c r="T144" s="62">
        <f t="shared" si="46"/>
        <v>0</v>
      </c>
      <c r="U144" s="62"/>
    </row>
    <row r="145" spans="1:21" s="1" customFormat="1" x14ac:dyDescent="0.3">
      <c r="A145" s="461">
        <v>596</v>
      </c>
      <c r="B145" s="461" t="s">
        <v>690</v>
      </c>
      <c r="C145" s="461"/>
      <c r="D145" s="467">
        <v>122149.96</v>
      </c>
      <c r="E145" s="467">
        <f>'3a. OM_AG-i'!E145</f>
        <v>0</v>
      </c>
      <c r="F145" s="468">
        <f t="shared" si="42"/>
        <v>122149.96</v>
      </c>
      <c r="G145" s="467">
        <v>0</v>
      </c>
      <c r="H145" s="171">
        <f t="shared" si="43"/>
        <v>122149.96</v>
      </c>
      <c r="I145" s="468">
        <f t="shared" si="44"/>
        <v>122149.96</v>
      </c>
      <c r="J145" s="171"/>
      <c r="K145" s="171"/>
      <c r="L145" s="171">
        <f t="shared" si="47"/>
        <v>122149.96</v>
      </c>
      <c r="M145" s="171"/>
      <c r="N145" s="171"/>
      <c r="O145" s="171"/>
      <c r="P145" s="171"/>
      <c r="Q145" s="171"/>
      <c r="R145" s="171"/>
      <c r="S145" s="62">
        <f t="shared" si="45"/>
        <v>122149.96</v>
      </c>
      <c r="T145" s="62">
        <f t="shared" si="46"/>
        <v>0</v>
      </c>
      <c r="U145" s="62"/>
    </row>
    <row r="146" spans="1:21" s="1" customFormat="1" x14ac:dyDescent="0.3">
      <c r="A146" s="461">
        <v>597</v>
      </c>
      <c r="B146" s="461" t="s">
        <v>692</v>
      </c>
      <c r="C146" s="461"/>
      <c r="D146" s="467">
        <v>1956598.07</v>
      </c>
      <c r="E146" s="467"/>
      <c r="F146" s="468">
        <f t="shared" si="42"/>
        <v>1956598.07</v>
      </c>
      <c r="G146" s="467">
        <v>0</v>
      </c>
      <c r="H146" s="171">
        <f t="shared" si="43"/>
        <v>1956598.07</v>
      </c>
      <c r="I146" s="468">
        <f t="shared" si="44"/>
        <v>1956598.07</v>
      </c>
      <c r="J146" s="171"/>
      <c r="K146" s="171"/>
      <c r="L146" s="171"/>
      <c r="M146" s="171">
        <f>I146</f>
        <v>1956598.07</v>
      </c>
      <c r="N146" s="171"/>
      <c r="O146" s="171"/>
      <c r="P146" s="171"/>
      <c r="Q146" s="171"/>
      <c r="R146" s="171"/>
      <c r="S146" s="62">
        <f t="shared" si="45"/>
        <v>1956598.07</v>
      </c>
      <c r="T146" s="62">
        <f t="shared" si="46"/>
        <v>0</v>
      </c>
      <c r="U146" s="62"/>
    </row>
    <row r="147" spans="1:21" s="1" customFormat="1" ht="14.5" x14ac:dyDescent="0.45">
      <c r="A147" s="461">
        <v>598</v>
      </c>
      <c r="B147" s="461" t="s">
        <v>694</v>
      </c>
      <c r="C147" s="461" t="s">
        <v>1125</v>
      </c>
      <c r="D147" s="471">
        <v>138.28</v>
      </c>
      <c r="E147" s="471"/>
      <c r="F147" s="471">
        <f t="shared" si="42"/>
        <v>138.28</v>
      </c>
      <c r="G147" s="471">
        <v>0</v>
      </c>
      <c r="H147" s="471">
        <f t="shared" si="43"/>
        <v>138.28</v>
      </c>
      <c r="I147" s="471">
        <f t="shared" si="44"/>
        <v>138.28</v>
      </c>
      <c r="J147" s="471">
        <f>$I$147*J149/$I$149</f>
        <v>0</v>
      </c>
      <c r="K147" s="471">
        <f>$I$147*K149/$I$149</f>
        <v>0</v>
      </c>
      <c r="L147" s="471">
        <f>$I$147*L149/$I$149</f>
        <v>132.96557160223097</v>
      </c>
      <c r="M147" s="471">
        <f>$I$147*M149/$I$149</f>
        <v>5.3144283977690323</v>
      </c>
      <c r="N147" s="471"/>
      <c r="O147" s="471"/>
      <c r="P147" s="471"/>
      <c r="Q147" s="171"/>
      <c r="R147" s="171"/>
      <c r="S147" s="62">
        <f t="shared" si="45"/>
        <v>138.28</v>
      </c>
      <c r="T147" s="62">
        <f t="shared" si="46"/>
        <v>0</v>
      </c>
      <c r="U147" s="62"/>
    </row>
    <row r="148" spans="1:21" s="1" customFormat="1" x14ac:dyDescent="0.3">
      <c r="A148" s="461"/>
      <c r="B148" s="474" t="s">
        <v>524</v>
      </c>
      <c r="C148" s="474"/>
      <c r="D148" s="171">
        <f>SUM(D139:D147)</f>
        <v>52070941.640000008</v>
      </c>
      <c r="E148" s="171">
        <f>SUM(E139:E147)</f>
        <v>0</v>
      </c>
      <c r="F148" s="171">
        <f>SUM(F139:F147)</f>
        <v>52070941.640000008</v>
      </c>
      <c r="G148" s="171">
        <f>SUM(G139:G147)</f>
        <v>0</v>
      </c>
      <c r="H148" s="171">
        <f t="shared" ref="H148:Q148" si="48">SUM(H139:H147)</f>
        <v>52070941.640000008</v>
      </c>
      <c r="I148" s="171">
        <f t="shared" si="48"/>
        <v>52070941.640000008</v>
      </c>
      <c r="J148" s="171">
        <f t="shared" si="48"/>
        <v>0</v>
      </c>
      <c r="K148" s="171">
        <f t="shared" si="48"/>
        <v>0</v>
      </c>
      <c r="L148" s="171">
        <f t="shared" si="48"/>
        <v>50069731.841401584</v>
      </c>
      <c r="M148" s="171">
        <f t="shared" si="48"/>
        <v>2001209.7985984236</v>
      </c>
      <c r="N148" s="171">
        <f t="shared" si="48"/>
        <v>0</v>
      </c>
      <c r="O148" s="171">
        <f t="shared" si="48"/>
        <v>0</v>
      </c>
      <c r="P148" s="171">
        <f t="shared" si="48"/>
        <v>0</v>
      </c>
      <c r="Q148" s="171">
        <f t="shared" si="48"/>
        <v>0</v>
      </c>
      <c r="R148" s="171"/>
      <c r="S148" s="62">
        <f t="shared" si="45"/>
        <v>52070941.640000008</v>
      </c>
      <c r="T148" s="62">
        <f t="shared" si="46"/>
        <v>0</v>
      </c>
      <c r="U148" s="62"/>
    </row>
    <row r="149" spans="1:21" s="1" customFormat="1" x14ac:dyDescent="0.3">
      <c r="A149" s="461" t="s">
        <v>1206</v>
      </c>
      <c r="B149" s="461" t="s">
        <v>1347</v>
      </c>
      <c r="C149" s="461"/>
      <c r="D149" s="62">
        <f>SUM(D140:D146)</f>
        <v>50910156.440000005</v>
      </c>
      <c r="E149" s="62"/>
      <c r="F149" s="62">
        <f>SUM(F140:F146)</f>
        <v>50910156.440000005</v>
      </c>
      <c r="G149" s="171">
        <f>SUM(G140:G146)</f>
        <v>0</v>
      </c>
      <c r="H149" s="62">
        <f>SUM(H140:H146)</f>
        <v>50910156.440000005</v>
      </c>
      <c r="I149" s="62">
        <f t="shared" ref="I149:Q149" si="49">SUM(I140:I146)</f>
        <v>50910156.440000005</v>
      </c>
      <c r="J149" s="171">
        <f t="shared" si="49"/>
        <v>0</v>
      </c>
      <c r="K149" s="171">
        <f t="shared" si="49"/>
        <v>0</v>
      </c>
      <c r="L149" s="171">
        <f t="shared" si="49"/>
        <v>48953558.370000005</v>
      </c>
      <c r="M149" s="62">
        <f t="shared" si="49"/>
        <v>1956598.07</v>
      </c>
      <c r="N149" s="171">
        <f t="shared" si="49"/>
        <v>0</v>
      </c>
      <c r="O149" s="171">
        <f t="shared" si="49"/>
        <v>0</v>
      </c>
      <c r="P149" s="171">
        <f t="shared" si="49"/>
        <v>0</v>
      </c>
      <c r="Q149" s="171">
        <f t="shared" si="49"/>
        <v>0</v>
      </c>
      <c r="R149" s="62"/>
      <c r="S149" s="62"/>
      <c r="T149" s="62"/>
      <c r="U149" s="62"/>
    </row>
    <row r="150" spans="1:21" s="1" customFormat="1" x14ac:dyDescent="0.3">
      <c r="A150" s="461"/>
      <c r="B150" s="479" t="s">
        <v>542</v>
      </c>
      <c r="C150" s="479"/>
      <c r="D150" s="171">
        <f>D148+D136</f>
        <v>94384518.120000005</v>
      </c>
      <c r="E150" s="171">
        <f>E148+E136</f>
        <v>0</v>
      </c>
      <c r="F150" s="171">
        <f>F148+F136</f>
        <v>94384518.120000005</v>
      </c>
      <c r="G150" s="171">
        <f>G148+G136</f>
        <v>0</v>
      </c>
      <c r="H150" s="171">
        <f t="shared" ref="H150:Q150" si="50">H148+H136</f>
        <v>94384518.120000005</v>
      </c>
      <c r="I150" s="171">
        <f t="shared" si="50"/>
        <v>94384518.120000005</v>
      </c>
      <c r="J150" s="171">
        <f t="shared" si="50"/>
        <v>0</v>
      </c>
      <c r="K150" s="171">
        <f t="shared" si="50"/>
        <v>0</v>
      </c>
      <c r="L150" s="171">
        <f t="shared" si="50"/>
        <v>83409257.848725498</v>
      </c>
      <c r="M150" s="171">
        <f t="shared" si="50"/>
        <v>10975260.271274507</v>
      </c>
      <c r="N150" s="171">
        <f t="shared" si="50"/>
        <v>0</v>
      </c>
      <c r="O150" s="171">
        <f t="shared" si="50"/>
        <v>0</v>
      </c>
      <c r="P150" s="171">
        <f t="shared" si="50"/>
        <v>0</v>
      </c>
      <c r="Q150" s="171">
        <f t="shared" si="50"/>
        <v>0</v>
      </c>
      <c r="R150" s="171"/>
      <c r="S150" s="62">
        <f>SUM(J150:Q150)</f>
        <v>94384518.120000005</v>
      </c>
      <c r="T150" s="62">
        <f>H150-S150</f>
        <v>0</v>
      </c>
      <c r="U150" s="62"/>
    </row>
    <row r="151" spans="1:21" s="1" customFormat="1" x14ac:dyDescent="0.3">
      <c r="A151" s="461"/>
      <c r="B151" s="479"/>
      <c r="C151" s="479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62"/>
      <c r="T151" s="62"/>
      <c r="U151" s="62"/>
    </row>
    <row r="152" spans="1:21" s="1" customFormat="1" x14ac:dyDescent="0.3">
      <c r="A152" s="461"/>
      <c r="B152" s="479" t="s">
        <v>695</v>
      </c>
      <c r="C152" s="479"/>
      <c r="D152" s="171">
        <f>D150+D122+D99</f>
        <v>326207862.67000002</v>
      </c>
      <c r="E152" s="171">
        <f>E150+E122+E99</f>
        <v>0</v>
      </c>
      <c r="F152" s="171">
        <f>F150+F122+F99</f>
        <v>326207862.67000002</v>
      </c>
      <c r="G152" s="171">
        <f>G150+G122+G99</f>
        <v>0</v>
      </c>
      <c r="H152" s="171">
        <f t="shared" ref="H152:Q152" si="51">H150+H122+H99</f>
        <v>326207862.67000002</v>
      </c>
      <c r="I152" s="171">
        <f t="shared" si="51"/>
        <v>326207862.67000002</v>
      </c>
      <c r="J152" s="171">
        <f t="shared" si="51"/>
        <v>213001170.19</v>
      </c>
      <c r="K152" s="171">
        <f t="shared" si="51"/>
        <v>18822174.359999999</v>
      </c>
      <c r="L152" s="171">
        <f t="shared" si="51"/>
        <v>83409257.848725498</v>
      </c>
      <c r="M152" s="171">
        <f t="shared" si="51"/>
        <v>10975260.271274507</v>
      </c>
      <c r="N152" s="171">
        <f t="shared" si="51"/>
        <v>0</v>
      </c>
      <c r="O152" s="171">
        <f t="shared" si="51"/>
        <v>0</v>
      </c>
      <c r="P152" s="171">
        <f t="shared" si="51"/>
        <v>0</v>
      </c>
      <c r="Q152" s="171">
        <f t="shared" si="51"/>
        <v>0</v>
      </c>
      <c r="R152" s="171"/>
      <c r="S152" s="62">
        <f>SUM(J152:Q152)</f>
        <v>326207862.67000002</v>
      </c>
      <c r="T152" s="62">
        <f>H152-S152</f>
        <v>0</v>
      </c>
      <c r="U152" s="62"/>
    </row>
    <row r="153" spans="1:21" s="1" customFormat="1" x14ac:dyDescent="0.3">
      <c r="A153" s="461"/>
      <c r="B153" s="479"/>
      <c r="C153" s="479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62"/>
      <c r="T153" s="62"/>
      <c r="U153" s="62"/>
    </row>
    <row r="154" spans="1:21" s="1" customFormat="1" x14ac:dyDescent="0.3">
      <c r="A154" s="461"/>
      <c r="B154" s="461"/>
      <c r="C154" s="461"/>
      <c r="D154" s="171"/>
      <c r="E154" s="62"/>
      <c r="F154" s="62"/>
      <c r="G154" s="171"/>
      <c r="H154" s="171"/>
      <c r="I154" s="62"/>
      <c r="J154" s="171"/>
      <c r="K154" s="171"/>
      <c r="L154" s="171"/>
      <c r="M154" s="171"/>
      <c r="N154" s="171"/>
      <c r="O154" s="171"/>
      <c r="P154" s="171"/>
      <c r="Q154" s="171"/>
      <c r="R154" s="171"/>
      <c r="S154" s="62"/>
      <c r="T154" s="62"/>
      <c r="U154" s="62"/>
    </row>
    <row r="155" spans="1:21" s="1" customFormat="1" x14ac:dyDescent="0.3">
      <c r="A155" s="479" t="s">
        <v>840</v>
      </c>
      <c r="B155" s="461"/>
      <c r="C155" s="461"/>
      <c r="D155" s="171"/>
      <c r="E155" s="62"/>
      <c r="F155" s="62"/>
      <c r="G155" s="171"/>
      <c r="H155" s="171"/>
      <c r="I155" s="62"/>
      <c r="J155" s="171"/>
      <c r="K155" s="171"/>
      <c r="L155" s="171"/>
      <c r="M155" s="171"/>
      <c r="N155" s="171"/>
      <c r="O155" s="171"/>
      <c r="P155" s="171"/>
      <c r="Q155" s="171"/>
      <c r="R155" s="171"/>
      <c r="S155" s="62"/>
      <c r="T155" s="62"/>
      <c r="U155" s="62"/>
    </row>
    <row r="156" spans="1:21" s="1" customFormat="1" x14ac:dyDescent="0.3">
      <c r="A156" s="461"/>
      <c r="B156" s="461"/>
      <c r="C156" s="461"/>
      <c r="D156" s="171"/>
      <c r="E156" s="62"/>
      <c r="F156" s="62"/>
      <c r="G156" s="171"/>
      <c r="H156" s="171"/>
      <c r="I156" s="62"/>
      <c r="J156" s="171"/>
      <c r="K156" s="171"/>
      <c r="L156" s="171"/>
      <c r="M156" s="171"/>
      <c r="N156" s="171"/>
      <c r="O156" s="171"/>
      <c r="P156" s="171"/>
      <c r="Q156" s="171"/>
      <c r="R156" s="171"/>
      <c r="S156" s="62"/>
      <c r="T156" s="62"/>
      <c r="U156" s="62"/>
    </row>
    <row r="157" spans="1:21" s="1" customFormat="1" x14ac:dyDescent="0.3">
      <c r="A157" s="479" t="s">
        <v>839</v>
      </c>
      <c r="B157" s="461"/>
      <c r="C157" s="461"/>
      <c r="D157" s="171"/>
      <c r="E157" s="62"/>
      <c r="F157" s="62"/>
      <c r="G157" s="171"/>
      <c r="H157" s="171"/>
      <c r="I157" s="62"/>
      <c r="J157" s="171"/>
      <c r="K157" s="171"/>
      <c r="L157" s="171"/>
      <c r="M157" s="171"/>
      <c r="N157" s="171"/>
      <c r="O157" s="171"/>
      <c r="P157" s="171"/>
      <c r="Q157" s="171"/>
      <c r="R157" s="171"/>
      <c r="S157" s="62"/>
      <c r="T157" s="62"/>
      <c r="U157" s="62"/>
    </row>
    <row r="158" spans="1:21" s="1" customFormat="1" x14ac:dyDescent="0.3">
      <c r="A158" s="461"/>
      <c r="B158" s="461"/>
      <c r="C158" s="461"/>
      <c r="D158" s="171"/>
      <c r="E158" s="62"/>
      <c r="F158" s="62"/>
      <c r="G158" s="171"/>
      <c r="H158" s="171"/>
      <c r="I158" s="62"/>
      <c r="J158" s="171"/>
      <c r="K158" s="171"/>
      <c r="L158" s="171"/>
      <c r="M158" s="171"/>
      <c r="N158" s="171"/>
      <c r="O158" s="171"/>
      <c r="P158" s="171"/>
      <c r="Q158" s="171"/>
      <c r="R158" s="171"/>
      <c r="S158" s="62"/>
      <c r="T158" s="62"/>
      <c r="U158" s="62"/>
    </row>
    <row r="159" spans="1:21" s="1" customFormat="1" x14ac:dyDescent="0.3">
      <c r="A159" s="461"/>
      <c r="B159" s="464" t="s">
        <v>810</v>
      </c>
      <c r="C159" s="461"/>
      <c r="D159" s="171"/>
      <c r="E159" s="62"/>
      <c r="F159" s="62"/>
      <c r="G159" s="171"/>
      <c r="H159" s="171"/>
      <c r="I159" s="62"/>
      <c r="J159" s="171"/>
      <c r="K159" s="171"/>
      <c r="L159" s="171"/>
      <c r="M159" s="171"/>
      <c r="N159" s="171"/>
      <c r="O159" s="171"/>
      <c r="P159" s="171"/>
      <c r="Q159" s="171"/>
      <c r="R159" s="171"/>
      <c r="S159" s="62"/>
      <c r="T159" s="62"/>
      <c r="U159" s="62"/>
    </row>
    <row r="160" spans="1:21" s="1" customFormat="1" x14ac:dyDescent="0.3">
      <c r="A160" s="461">
        <v>803</v>
      </c>
      <c r="B160" s="461" t="s">
        <v>1183</v>
      </c>
      <c r="C160" s="461"/>
      <c r="D160" s="467">
        <v>0</v>
      </c>
      <c r="E160" s="62"/>
      <c r="F160" s="467"/>
      <c r="G160" s="467">
        <v>0</v>
      </c>
      <c r="H160" s="467"/>
      <c r="I160" s="467"/>
      <c r="J160" s="171"/>
      <c r="K160" s="171"/>
      <c r="L160" s="171"/>
      <c r="M160" s="171"/>
      <c r="N160" s="171"/>
      <c r="O160" s="171"/>
      <c r="P160" s="171"/>
      <c r="Q160" s="171"/>
      <c r="R160" s="171"/>
      <c r="S160" s="62"/>
      <c r="T160" s="62"/>
      <c r="U160" s="62"/>
    </row>
    <row r="161" spans="1:21" s="1" customFormat="1" x14ac:dyDescent="0.3">
      <c r="A161" s="461">
        <v>804</v>
      </c>
      <c r="B161" s="461" t="s">
        <v>839</v>
      </c>
      <c r="C161" s="461"/>
      <c r="D161" s="467">
        <v>0</v>
      </c>
      <c r="E161" s="62"/>
      <c r="F161" s="467">
        <f>SUM(D161:E161)</f>
        <v>0</v>
      </c>
      <c r="G161" s="467">
        <v>0</v>
      </c>
      <c r="H161" s="467">
        <f>F161-G161</f>
        <v>0</v>
      </c>
      <c r="I161" s="467">
        <f>H161</f>
        <v>0</v>
      </c>
      <c r="J161" s="171"/>
      <c r="K161" s="171"/>
      <c r="L161" s="171"/>
      <c r="M161" s="171"/>
      <c r="N161" s="171"/>
      <c r="O161" s="171"/>
      <c r="P161" s="171"/>
      <c r="Q161" s="171"/>
      <c r="R161" s="171"/>
      <c r="S161" s="62">
        <f>SUM(J161:Q161)</f>
        <v>0</v>
      </c>
      <c r="T161" s="62">
        <f>H161-S161</f>
        <v>0</v>
      </c>
      <c r="U161" s="62"/>
    </row>
    <row r="162" spans="1:21" s="1" customFormat="1" x14ac:dyDescent="0.3">
      <c r="A162" s="461">
        <v>807</v>
      </c>
      <c r="B162" s="461" t="s">
        <v>842</v>
      </c>
      <c r="C162" s="461"/>
      <c r="D162" s="467">
        <v>0</v>
      </c>
      <c r="E162" s="62"/>
      <c r="F162" s="467">
        <f>SUM(D162:E162)</f>
        <v>0</v>
      </c>
      <c r="G162" s="467">
        <v>0</v>
      </c>
      <c r="H162" s="467">
        <f>F162-G162</f>
        <v>0</v>
      </c>
      <c r="I162" s="467">
        <f>H162</f>
        <v>0</v>
      </c>
      <c r="J162" s="171"/>
      <c r="K162" s="171"/>
      <c r="L162" s="171"/>
      <c r="M162" s="171"/>
      <c r="N162" s="171"/>
      <c r="O162" s="171"/>
      <c r="P162" s="171"/>
      <c r="Q162" s="171"/>
      <c r="R162" s="171"/>
      <c r="S162" s="62">
        <f>SUM(J162:Q162)</f>
        <v>0</v>
      </c>
      <c r="T162" s="62">
        <f>H162-S162</f>
        <v>0</v>
      </c>
      <c r="U162" s="62"/>
    </row>
    <row r="163" spans="1:21" s="1" customFormat="1" x14ac:dyDescent="0.3">
      <c r="A163" s="480">
        <v>810</v>
      </c>
      <c r="B163" s="465" t="s">
        <v>1185</v>
      </c>
      <c r="C163" s="461"/>
      <c r="D163" s="467">
        <v>0</v>
      </c>
      <c r="E163" s="62"/>
      <c r="F163" s="467"/>
      <c r="G163" s="467">
        <v>0</v>
      </c>
      <c r="H163" s="467"/>
      <c r="I163" s="467"/>
      <c r="J163" s="171"/>
      <c r="K163" s="171"/>
      <c r="L163" s="171"/>
      <c r="M163" s="171"/>
      <c r="N163" s="171"/>
      <c r="O163" s="171"/>
      <c r="P163" s="171"/>
      <c r="Q163" s="171"/>
      <c r="R163" s="171"/>
      <c r="S163" s="62"/>
      <c r="T163" s="62"/>
      <c r="U163" s="62"/>
    </row>
    <row r="164" spans="1:21" s="1" customFormat="1" ht="14.5" x14ac:dyDescent="0.45">
      <c r="A164" s="461">
        <v>812</v>
      </c>
      <c r="B164" s="461" t="s">
        <v>843</v>
      </c>
      <c r="C164" s="461"/>
      <c r="D164" s="471">
        <v>-3350004</v>
      </c>
      <c r="E164" s="62"/>
      <c r="F164" s="472">
        <f>SUM(D164:E164)</f>
        <v>-3350004</v>
      </c>
      <c r="G164" s="471">
        <v>-3350004</v>
      </c>
      <c r="H164" s="171">
        <f>F164-G164</f>
        <v>0</v>
      </c>
      <c r="I164" s="171">
        <f>H164</f>
        <v>0</v>
      </c>
      <c r="J164" s="171"/>
      <c r="K164" s="171"/>
      <c r="L164" s="171"/>
      <c r="M164" s="171"/>
      <c r="N164" s="171"/>
      <c r="O164" s="171"/>
      <c r="P164" s="171"/>
      <c r="Q164" s="171"/>
      <c r="R164" s="171"/>
      <c r="S164" s="62">
        <f>SUM(J164:Q164)</f>
        <v>0</v>
      </c>
      <c r="T164" s="62">
        <f>H164-S164</f>
        <v>0</v>
      </c>
      <c r="U164" s="62"/>
    </row>
    <row r="165" spans="1:21" s="1" customFormat="1" x14ac:dyDescent="0.3">
      <c r="A165" s="461"/>
      <c r="B165" s="479" t="s">
        <v>861</v>
      </c>
      <c r="C165" s="461"/>
      <c r="D165" s="171">
        <f>SUM(D161:D164)</f>
        <v>-3350004</v>
      </c>
      <c r="E165" s="62"/>
      <c r="F165" s="62">
        <f>SUM(F161:F164)</f>
        <v>-3350004</v>
      </c>
      <c r="G165" s="62">
        <f>SUM(G161:G164)</f>
        <v>-3350004</v>
      </c>
      <c r="H165" s="171">
        <f>F165-G165</f>
        <v>0</v>
      </c>
      <c r="I165" s="171">
        <f>SUM(I161:I164)</f>
        <v>0</v>
      </c>
      <c r="J165" s="171">
        <f t="shared" ref="J165:Q165" si="52">SUM(J161:J164)</f>
        <v>0</v>
      </c>
      <c r="K165" s="171">
        <f t="shared" si="52"/>
        <v>0</v>
      </c>
      <c r="L165" s="171">
        <f t="shared" si="52"/>
        <v>0</v>
      </c>
      <c r="M165" s="171">
        <f t="shared" si="52"/>
        <v>0</v>
      </c>
      <c r="N165" s="171">
        <f t="shared" si="52"/>
        <v>0</v>
      </c>
      <c r="O165" s="171">
        <f t="shared" si="52"/>
        <v>0</v>
      </c>
      <c r="P165" s="171">
        <f t="shared" si="52"/>
        <v>0</v>
      </c>
      <c r="Q165" s="171">
        <f t="shared" si="52"/>
        <v>0</v>
      </c>
      <c r="R165" s="171"/>
      <c r="S165" s="62">
        <f>SUM(J165:Q165)</f>
        <v>0</v>
      </c>
      <c r="T165" s="62">
        <f>H165-S165</f>
        <v>0</v>
      </c>
      <c r="U165" s="62"/>
    </row>
    <row r="166" spans="1:21" s="1" customFormat="1" x14ac:dyDescent="0.3">
      <c r="A166" s="461"/>
      <c r="B166" s="461"/>
      <c r="C166" s="461"/>
      <c r="D166" s="171"/>
      <c r="E166" s="62"/>
      <c r="F166" s="171"/>
      <c r="G166" s="171"/>
      <c r="H166" s="171"/>
      <c r="I166" s="62"/>
      <c r="J166" s="171"/>
      <c r="K166" s="171"/>
      <c r="L166" s="171"/>
      <c r="M166" s="171"/>
      <c r="N166" s="171"/>
      <c r="O166" s="171"/>
      <c r="P166" s="171"/>
      <c r="Q166" s="171"/>
      <c r="R166" s="171"/>
      <c r="S166" s="62"/>
      <c r="T166" s="62"/>
      <c r="U166" s="62"/>
    </row>
    <row r="167" spans="1:21" s="1" customFormat="1" x14ac:dyDescent="0.3">
      <c r="A167" s="461"/>
      <c r="B167" s="464" t="s">
        <v>366</v>
      </c>
      <c r="C167" s="461"/>
      <c r="D167" s="171"/>
      <c r="E167" s="62"/>
      <c r="F167" s="171"/>
      <c r="G167" s="171"/>
      <c r="H167" s="171"/>
      <c r="I167" s="62"/>
      <c r="J167" s="171"/>
      <c r="K167" s="171"/>
      <c r="L167" s="171"/>
      <c r="M167" s="171"/>
      <c r="N167" s="171"/>
      <c r="O167" s="171"/>
      <c r="P167" s="171"/>
      <c r="Q167" s="171"/>
      <c r="R167" s="171"/>
      <c r="S167" s="62"/>
      <c r="T167" s="62"/>
      <c r="U167" s="62"/>
    </row>
    <row r="168" spans="1:21" s="1" customFormat="1" x14ac:dyDescent="0.3">
      <c r="A168" s="461">
        <v>823</v>
      </c>
      <c r="B168" s="461" t="s">
        <v>1187</v>
      </c>
      <c r="C168" s="461"/>
      <c r="D168" s="467">
        <v>0</v>
      </c>
      <c r="E168" s="62"/>
      <c r="F168" s="171"/>
      <c r="G168" s="467" t="s">
        <v>546</v>
      </c>
      <c r="H168" s="171"/>
      <c r="I168" s="62"/>
      <c r="J168" s="171"/>
      <c r="K168" s="171"/>
      <c r="L168" s="171"/>
      <c r="M168" s="171"/>
      <c r="N168" s="171"/>
      <c r="O168" s="171"/>
      <c r="P168" s="171"/>
      <c r="Q168" s="171"/>
      <c r="R168" s="171"/>
      <c r="S168" s="62"/>
      <c r="T168" s="62"/>
      <c r="U168" s="62"/>
    </row>
    <row r="169" spans="1:21" s="1" customFormat="1" x14ac:dyDescent="0.3">
      <c r="A169" s="461">
        <v>850</v>
      </c>
      <c r="B169" s="461" t="s">
        <v>1065</v>
      </c>
      <c r="C169" s="461"/>
      <c r="D169" s="467">
        <v>120657.5</v>
      </c>
      <c r="E169" s="62"/>
      <c r="F169" s="62">
        <f>SUM(D169:E169)</f>
        <v>120657.5</v>
      </c>
      <c r="G169" s="467">
        <v>120657.5</v>
      </c>
      <c r="H169" s="171">
        <f>F169-G169</f>
        <v>0</v>
      </c>
      <c r="I169" s="171">
        <f>H169</f>
        <v>0</v>
      </c>
      <c r="J169" s="171"/>
      <c r="K169" s="171"/>
      <c r="L169" s="171"/>
      <c r="M169" s="171"/>
      <c r="N169" s="171"/>
      <c r="O169" s="171"/>
      <c r="P169" s="171"/>
      <c r="Q169" s="171"/>
      <c r="R169" s="171"/>
      <c r="S169" s="62"/>
      <c r="T169" s="62"/>
      <c r="U169" s="62"/>
    </row>
    <row r="170" spans="1:21" s="1" customFormat="1" x14ac:dyDescent="0.3">
      <c r="A170" s="461">
        <v>851</v>
      </c>
      <c r="B170" s="461" t="s">
        <v>1189</v>
      </c>
      <c r="C170" s="461"/>
      <c r="D170" s="467">
        <v>0</v>
      </c>
      <c r="E170" s="62"/>
      <c r="F170" s="467"/>
      <c r="G170" s="467">
        <v>0</v>
      </c>
      <c r="H170" s="467"/>
      <c r="I170" s="467"/>
      <c r="J170" s="171"/>
      <c r="K170" s="171"/>
      <c r="L170" s="171"/>
      <c r="M170" s="171"/>
      <c r="N170" s="171"/>
      <c r="O170" s="171"/>
      <c r="P170" s="171"/>
      <c r="Q170" s="171"/>
      <c r="R170" s="171"/>
      <c r="S170" s="62"/>
      <c r="T170" s="62"/>
      <c r="U170" s="62"/>
    </row>
    <row r="171" spans="1:21" s="1" customFormat="1" x14ac:dyDescent="0.3">
      <c r="A171" s="461">
        <v>853</v>
      </c>
      <c r="B171" s="461" t="s">
        <v>1061</v>
      </c>
      <c r="C171" s="461"/>
      <c r="D171" s="467">
        <v>0</v>
      </c>
      <c r="E171" s="62"/>
      <c r="F171" s="467">
        <f>SUM(D171:E171)</f>
        <v>0</v>
      </c>
      <c r="G171" s="467">
        <v>0</v>
      </c>
      <c r="H171" s="467">
        <f>F171-G171</f>
        <v>0</v>
      </c>
      <c r="I171" s="467">
        <f>H171</f>
        <v>0</v>
      </c>
      <c r="J171" s="171"/>
      <c r="K171" s="171"/>
      <c r="L171" s="171"/>
      <c r="M171" s="171"/>
      <c r="N171" s="171"/>
      <c r="O171" s="171"/>
      <c r="P171" s="171"/>
      <c r="Q171" s="171"/>
      <c r="R171" s="171"/>
      <c r="S171" s="62"/>
      <c r="T171" s="62"/>
      <c r="U171" s="62"/>
    </row>
    <row r="172" spans="1:21" s="1" customFormat="1" x14ac:dyDescent="0.3">
      <c r="A172" s="480">
        <v>856</v>
      </c>
      <c r="B172" s="480" t="s">
        <v>1191</v>
      </c>
      <c r="C172" s="461"/>
      <c r="D172" s="467">
        <v>105.57</v>
      </c>
      <c r="E172" s="62"/>
      <c r="F172" s="467">
        <f>SUM(D172:E172)</f>
        <v>105.57</v>
      </c>
      <c r="G172" s="467">
        <v>105.57</v>
      </c>
      <c r="H172" s="467"/>
      <c r="I172" s="467"/>
      <c r="J172" s="171"/>
      <c r="K172" s="171"/>
      <c r="L172" s="171"/>
      <c r="M172" s="171"/>
      <c r="N172" s="171"/>
      <c r="O172" s="171"/>
      <c r="P172" s="171"/>
      <c r="Q172" s="171"/>
      <c r="R172" s="171"/>
      <c r="S172" s="62"/>
      <c r="T172" s="62"/>
      <c r="U172" s="62"/>
    </row>
    <row r="173" spans="1:21" s="1" customFormat="1" x14ac:dyDescent="0.3">
      <c r="A173" s="461">
        <v>857</v>
      </c>
      <c r="B173" s="461" t="s">
        <v>1062</v>
      </c>
      <c r="C173" s="461"/>
      <c r="D173" s="467">
        <v>62177.08</v>
      </c>
      <c r="E173" s="62"/>
      <c r="F173" s="467">
        <f t="shared" ref="F173:F177" si="53">SUM(D173:E173)</f>
        <v>62177.08</v>
      </c>
      <c r="G173" s="467">
        <v>62177.08</v>
      </c>
      <c r="H173" s="467">
        <f>F173-G173</f>
        <v>0</v>
      </c>
      <c r="I173" s="467">
        <f>H173</f>
        <v>0</v>
      </c>
      <c r="J173" s="171"/>
      <c r="K173" s="171"/>
      <c r="L173" s="171"/>
      <c r="M173" s="171"/>
      <c r="N173" s="171"/>
      <c r="O173" s="171"/>
      <c r="P173" s="171"/>
      <c r="Q173" s="171"/>
      <c r="R173" s="171"/>
      <c r="S173" s="62"/>
      <c r="T173" s="62"/>
      <c r="U173" s="62"/>
    </row>
    <row r="174" spans="1:21" s="1" customFormat="1" x14ac:dyDescent="0.3">
      <c r="A174" s="461">
        <v>859</v>
      </c>
      <c r="B174" s="461"/>
      <c r="C174" s="461"/>
      <c r="D174" s="467">
        <v>30637.46</v>
      </c>
      <c r="E174" s="62"/>
      <c r="F174" s="62">
        <f t="shared" ref="F174:F175" si="54">SUM(D174:E174)</f>
        <v>30637.46</v>
      </c>
      <c r="G174" s="467">
        <v>30637.46</v>
      </c>
      <c r="H174" s="171">
        <f t="shared" ref="H174:H175" si="55">F174-G174</f>
        <v>0</v>
      </c>
      <c r="I174" s="171">
        <f t="shared" ref="I174:I175" si="56">H174</f>
        <v>0</v>
      </c>
      <c r="J174" s="171"/>
      <c r="K174" s="171"/>
      <c r="L174" s="171"/>
      <c r="M174" s="171"/>
      <c r="N174" s="171"/>
      <c r="O174" s="171"/>
      <c r="P174" s="171"/>
      <c r="Q174" s="171"/>
      <c r="R174" s="171"/>
      <c r="S174" s="62"/>
      <c r="T174" s="62"/>
      <c r="U174" s="62"/>
    </row>
    <row r="175" spans="1:21" s="1" customFormat="1" x14ac:dyDescent="0.3">
      <c r="A175" s="461">
        <v>862</v>
      </c>
      <c r="B175" s="461"/>
      <c r="C175" s="461"/>
      <c r="D175" s="467">
        <v>0</v>
      </c>
      <c r="E175" s="62"/>
      <c r="F175" s="62">
        <f t="shared" si="54"/>
        <v>0</v>
      </c>
      <c r="G175" s="467">
        <v>0</v>
      </c>
      <c r="H175" s="171">
        <f t="shared" si="55"/>
        <v>0</v>
      </c>
      <c r="I175" s="171">
        <f t="shared" si="56"/>
        <v>0</v>
      </c>
      <c r="J175" s="171"/>
      <c r="K175" s="171"/>
      <c r="L175" s="171"/>
      <c r="M175" s="171"/>
      <c r="N175" s="171"/>
      <c r="O175" s="171"/>
      <c r="P175" s="171"/>
      <c r="Q175" s="171"/>
      <c r="R175" s="171"/>
      <c r="S175" s="62"/>
      <c r="T175" s="62"/>
      <c r="U175" s="62"/>
    </row>
    <row r="176" spans="1:21" s="1" customFormat="1" x14ac:dyDescent="0.3">
      <c r="A176" s="461">
        <v>863</v>
      </c>
      <c r="B176" s="461" t="s">
        <v>1063</v>
      </c>
      <c r="C176" s="461"/>
      <c r="D176" s="467">
        <v>2893.84</v>
      </c>
      <c r="E176" s="62"/>
      <c r="F176" s="171">
        <f t="shared" si="53"/>
        <v>2893.84</v>
      </c>
      <c r="G176" s="467">
        <v>2893.84</v>
      </c>
      <c r="H176" s="171">
        <f>F176-G176</f>
        <v>0</v>
      </c>
      <c r="I176" s="171">
        <f>SUM(I169:I173)</f>
        <v>0</v>
      </c>
      <c r="J176" s="171"/>
      <c r="K176" s="171"/>
      <c r="L176" s="171"/>
      <c r="M176" s="171"/>
      <c r="N176" s="171"/>
      <c r="O176" s="171"/>
      <c r="P176" s="171"/>
      <c r="Q176" s="171"/>
      <c r="R176" s="171"/>
      <c r="S176" s="62"/>
      <c r="T176" s="62"/>
      <c r="U176" s="62"/>
    </row>
    <row r="177" spans="1:21" s="1" customFormat="1" x14ac:dyDescent="0.3">
      <c r="A177" s="461">
        <v>865</v>
      </c>
      <c r="B177" s="461" t="s">
        <v>1064</v>
      </c>
      <c r="C177" s="461"/>
      <c r="D177" s="467">
        <v>6006.34</v>
      </c>
      <c r="E177" s="62"/>
      <c r="F177" s="171">
        <f t="shared" si="53"/>
        <v>6006.34</v>
      </c>
      <c r="G177" s="467">
        <v>6006.34</v>
      </c>
      <c r="H177" s="171">
        <f>F177-G177</f>
        <v>0</v>
      </c>
      <c r="I177" s="171">
        <f>SUM(I171:I176)</f>
        <v>0</v>
      </c>
      <c r="J177" s="171"/>
      <c r="K177" s="171"/>
      <c r="L177" s="171"/>
      <c r="M177" s="171"/>
      <c r="N177" s="171"/>
      <c r="O177" s="171"/>
      <c r="P177" s="171"/>
      <c r="Q177" s="171"/>
      <c r="R177" s="171"/>
      <c r="S177" s="62"/>
      <c r="T177" s="62"/>
      <c r="U177" s="62"/>
    </row>
    <row r="178" spans="1:21" s="1" customFormat="1" ht="14.5" x14ac:dyDescent="0.45">
      <c r="A178" s="461">
        <v>867</v>
      </c>
      <c r="B178" s="461" t="s">
        <v>1193</v>
      </c>
      <c r="C178" s="461"/>
      <c r="D178" s="471">
        <v>121417</v>
      </c>
      <c r="E178" s="62"/>
      <c r="F178" s="472">
        <f t="shared" ref="F178" si="57">SUM(D178:E178)</f>
        <v>121417</v>
      </c>
      <c r="G178" s="471">
        <v>121417</v>
      </c>
      <c r="H178" s="472"/>
      <c r="I178" s="472"/>
      <c r="J178" s="171"/>
      <c r="K178" s="171"/>
      <c r="L178" s="171"/>
      <c r="M178" s="171"/>
      <c r="N178" s="171"/>
      <c r="O178" s="171"/>
      <c r="P178" s="171"/>
      <c r="Q178" s="171"/>
      <c r="R178" s="171"/>
      <c r="S178" s="62"/>
      <c r="T178" s="62"/>
      <c r="U178" s="62"/>
    </row>
    <row r="179" spans="1:21" s="1" customFormat="1" x14ac:dyDescent="0.3">
      <c r="A179" s="461"/>
      <c r="B179" s="479" t="s">
        <v>1066</v>
      </c>
      <c r="C179" s="461"/>
      <c r="D179" s="62">
        <f>SUM(D168:D178)</f>
        <v>343894.79000000004</v>
      </c>
      <c r="E179" s="62"/>
      <c r="F179" s="62">
        <f>SUM(F168:F178)</f>
        <v>343894.79000000004</v>
      </c>
      <c r="G179" s="62">
        <f t="shared" ref="G179" si="58">SUM(G168:G178)</f>
        <v>343894.79000000004</v>
      </c>
      <c r="H179" s="171">
        <f t="shared" ref="H179" si="59">SUM(H168:H178)</f>
        <v>0</v>
      </c>
      <c r="I179" s="171">
        <f t="shared" ref="I179" si="60">SUM(I168:I178)</f>
        <v>0</v>
      </c>
      <c r="J179" s="171"/>
      <c r="K179" s="171"/>
      <c r="L179" s="171"/>
      <c r="M179" s="171"/>
      <c r="N179" s="171"/>
      <c r="O179" s="171"/>
      <c r="P179" s="171"/>
      <c r="Q179" s="171"/>
      <c r="R179" s="171"/>
      <c r="S179" s="62"/>
      <c r="T179" s="62"/>
      <c r="U179" s="62"/>
    </row>
    <row r="180" spans="1:21" s="1" customFormat="1" x14ac:dyDescent="0.3">
      <c r="A180" s="461"/>
      <c r="B180" s="461"/>
      <c r="C180" s="461"/>
      <c r="D180" s="171"/>
      <c r="E180" s="62"/>
      <c r="F180" s="171"/>
      <c r="G180" s="171"/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62"/>
      <c r="T180" s="62"/>
      <c r="U180" s="62"/>
    </row>
    <row r="181" spans="1:21" s="1" customFormat="1" x14ac:dyDescent="0.3">
      <c r="A181" s="479" t="s">
        <v>846</v>
      </c>
      <c r="B181" s="464"/>
      <c r="C181" s="461"/>
      <c r="D181" s="171"/>
      <c r="E181" s="62"/>
      <c r="F181" s="62"/>
      <c r="G181" s="171"/>
      <c r="H181" s="171"/>
      <c r="I181" s="62"/>
      <c r="J181" s="171"/>
      <c r="K181" s="171"/>
      <c r="L181" s="171"/>
      <c r="M181" s="171"/>
      <c r="N181" s="171"/>
      <c r="O181" s="171"/>
      <c r="P181" s="171"/>
      <c r="Q181" s="171"/>
      <c r="R181" s="171"/>
      <c r="S181" s="62"/>
      <c r="T181" s="62"/>
      <c r="U181" s="62"/>
    </row>
    <row r="182" spans="1:21" s="1" customFormat="1" x14ac:dyDescent="0.3">
      <c r="A182" s="479"/>
      <c r="B182" s="464" t="s">
        <v>549</v>
      </c>
      <c r="C182" s="461"/>
      <c r="D182" s="171"/>
      <c r="E182" s="62"/>
      <c r="F182" s="62"/>
      <c r="G182" s="171"/>
      <c r="H182" s="171"/>
      <c r="I182" s="62"/>
      <c r="J182" s="171"/>
      <c r="K182" s="171"/>
      <c r="L182" s="171"/>
      <c r="M182" s="171"/>
      <c r="N182" s="171"/>
      <c r="O182" s="171"/>
      <c r="P182" s="171"/>
      <c r="Q182" s="171"/>
      <c r="R182" s="171"/>
      <c r="S182" s="62"/>
      <c r="T182" s="62"/>
      <c r="U182" s="62"/>
    </row>
    <row r="183" spans="1:21" s="1" customFormat="1" x14ac:dyDescent="0.3">
      <c r="A183" s="461">
        <v>870</v>
      </c>
      <c r="B183" s="461" t="s">
        <v>847</v>
      </c>
      <c r="C183" s="461"/>
      <c r="D183" s="467">
        <v>21649.03</v>
      </c>
      <c r="E183" s="62"/>
      <c r="F183" s="467">
        <f t="shared" ref="F183:F193" si="61">SUM(D183:E183)</f>
        <v>21649.03</v>
      </c>
      <c r="G183" s="467">
        <v>21649.03</v>
      </c>
      <c r="H183" s="467">
        <f t="shared" ref="H183:H194" si="62">F183-G183</f>
        <v>0</v>
      </c>
      <c r="I183" s="467">
        <f t="shared" ref="I183:I193" si="63">H183</f>
        <v>0</v>
      </c>
      <c r="J183" s="467"/>
      <c r="K183" s="467"/>
      <c r="L183" s="467"/>
      <c r="M183" s="467"/>
      <c r="N183" s="171"/>
      <c r="O183" s="171"/>
      <c r="P183" s="171"/>
      <c r="Q183" s="171"/>
      <c r="R183" s="171"/>
      <c r="S183" s="62">
        <f t="shared" ref="S183:S194" si="64">SUM(J183:Q183)</f>
        <v>0</v>
      </c>
      <c r="T183" s="62">
        <f t="shared" ref="T183:T194" si="65">H183-S183</f>
        <v>0</v>
      </c>
      <c r="U183" s="62"/>
    </row>
    <row r="184" spans="1:21" s="1" customFormat="1" x14ac:dyDescent="0.3">
      <c r="A184" s="461">
        <v>871</v>
      </c>
      <c r="B184" s="461" t="s">
        <v>644</v>
      </c>
      <c r="C184" s="461"/>
      <c r="D184" s="467">
        <v>2990191.02</v>
      </c>
      <c r="E184" s="62"/>
      <c r="F184" s="467">
        <f t="shared" si="61"/>
        <v>2990191.02</v>
      </c>
      <c r="G184" s="467">
        <v>2990191.02</v>
      </c>
      <c r="H184" s="467">
        <f t="shared" si="62"/>
        <v>0</v>
      </c>
      <c r="I184" s="467">
        <f t="shared" si="63"/>
        <v>0</v>
      </c>
      <c r="J184" s="467"/>
      <c r="K184" s="467"/>
      <c r="L184" s="467"/>
      <c r="M184" s="467"/>
      <c r="N184" s="171"/>
      <c r="O184" s="171"/>
      <c r="P184" s="171"/>
      <c r="Q184" s="171"/>
      <c r="R184" s="171"/>
      <c r="S184" s="62">
        <f t="shared" si="64"/>
        <v>0</v>
      </c>
      <c r="T184" s="62">
        <f t="shared" si="65"/>
        <v>0</v>
      </c>
      <c r="U184" s="62"/>
    </row>
    <row r="185" spans="1:21" s="1" customFormat="1" x14ac:dyDescent="0.3">
      <c r="A185" s="461">
        <v>872</v>
      </c>
      <c r="B185" s="461" t="s">
        <v>848</v>
      </c>
      <c r="C185" s="461"/>
      <c r="D185" s="467">
        <v>0</v>
      </c>
      <c r="E185" s="62"/>
      <c r="F185" s="467">
        <f t="shared" si="61"/>
        <v>0</v>
      </c>
      <c r="G185" s="467">
        <v>0</v>
      </c>
      <c r="H185" s="467">
        <f t="shared" si="62"/>
        <v>0</v>
      </c>
      <c r="I185" s="467">
        <f t="shared" si="63"/>
        <v>0</v>
      </c>
      <c r="J185" s="467"/>
      <c r="K185" s="467"/>
      <c r="L185" s="467"/>
      <c r="M185" s="467"/>
      <c r="N185" s="171"/>
      <c r="O185" s="171"/>
      <c r="P185" s="171"/>
      <c r="Q185" s="171"/>
      <c r="R185" s="171"/>
      <c r="S185" s="62">
        <f t="shared" si="64"/>
        <v>0</v>
      </c>
      <c r="T185" s="62">
        <f t="shared" si="65"/>
        <v>0</v>
      </c>
      <c r="U185" s="62"/>
    </row>
    <row r="186" spans="1:21" s="1" customFormat="1" x14ac:dyDescent="0.3">
      <c r="A186" s="461">
        <v>873</v>
      </c>
      <c r="B186" s="461" t="s">
        <v>849</v>
      </c>
      <c r="C186" s="461"/>
      <c r="D186" s="467">
        <v>0</v>
      </c>
      <c r="E186" s="62"/>
      <c r="F186" s="467">
        <f t="shared" si="61"/>
        <v>0</v>
      </c>
      <c r="G186" s="467">
        <v>0</v>
      </c>
      <c r="H186" s="467">
        <f t="shared" si="62"/>
        <v>0</v>
      </c>
      <c r="I186" s="467">
        <f t="shared" si="63"/>
        <v>0</v>
      </c>
      <c r="J186" s="467"/>
      <c r="K186" s="467"/>
      <c r="L186" s="467"/>
      <c r="M186" s="467"/>
      <c r="N186" s="171"/>
      <c r="O186" s="171"/>
      <c r="P186" s="171"/>
      <c r="Q186" s="171"/>
      <c r="R186" s="171"/>
      <c r="S186" s="62">
        <f t="shared" si="64"/>
        <v>0</v>
      </c>
      <c r="T186" s="62">
        <f t="shared" si="65"/>
        <v>0</v>
      </c>
      <c r="U186" s="62"/>
    </row>
    <row r="187" spans="1:21" s="1" customFormat="1" x14ac:dyDescent="0.3">
      <c r="A187" s="461">
        <v>874</v>
      </c>
      <c r="B187" s="461" t="s">
        <v>850</v>
      </c>
      <c r="C187" s="461"/>
      <c r="D187" s="467">
        <v>938405.04</v>
      </c>
      <c r="E187" s="62"/>
      <c r="F187" s="467">
        <f t="shared" si="61"/>
        <v>938405.04</v>
      </c>
      <c r="G187" s="467">
        <v>938405.04</v>
      </c>
      <c r="H187" s="467">
        <f t="shared" si="62"/>
        <v>0</v>
      </c>
      <c r="I187" s="467">
        <f t="shared" si="63"/>
        <v>0</v>
      </c>
      <c r="J187" s="467"/>
      <c r="K187" s="467"/>
      <c r="L187" s="467"/>
      <c r="M187" s="467"/>
      <c r="N187" s="171"/>
      <c r="O187" s="171"/>
      <c r="P187" s="171"/>
      <c r="Q187" s="171"/>
      <c r="R187" s="171"/>
      <c r="S187" s="62">
        <f t="shared" si="64"/>
        <v>0</v>
      </c>
      <c r="T187" s="62">
        <f t="shared" si="65"/>
        <v>0</v>
      </c>
      <c r="U187" s="62"/>
    </row>
    <row r="188" spans="1:21" s="1" customFormat="1" x14ac:dyDescent="0.3">
      <c r="A188" s="461">
        <v>875</v>
      </c>
      <c r="B188" s="461" t="s">
        <v>851</v>
      </c>
      <c r="C188" s="461"/>
      <c r="D188" s="467">
        <v>4541791.68</v>
      </c>
      <c r="E188" s="62"/>
      <c r="F188" s="467">
        <f t="shared" si="61"/>
        <v>4541791.68</v>
      </c>
      <c r="G188" s="467">
        <v>4541791.68</v>
      </c>
      <c r="H188" s="467">
        <f t="shared" si="62"/>
        <v>0</v>
      </c>
      <c r="I188" s="467">
        <f t="shared" si="63"/>
        <v>0</v>
      </c>
      <c r="J188" s="467"/>
      <c r="K188" s="467"/>
      <c r="L188" s="467"/>
      <c r="M188" s="467"/>
      <c r="N188" s="171"/>
      <c r="O188" s="171"/>
      <c r="P188" s="171"/>
      <c r="Q188" s="171"/>
      <c r="R188" s="171"/>
      <c r="S188" s="62">
        <f t="shared" si="64"/>
        <v>0</v>
      </c>
      <c r="T188" s="62">
        <f t="shared" si="65"/>
        <v>0</v>
      </c>
      <c r="U188" s="62"/>
    </row>
    <row r="189" spans="1:21" s="1" customFormat="1" x14ac:dyDescent="0.3">
      <c r="A189" s="461">
        <v>876</v>
      </c>
      <c r="B189" s="461" t="s">
        <v>852</v>
      </c>
      <c r="C189" s="461"/>
      <c r="D189" s="467">
        <v>286132.15000000002</v>
      </c>
      <c r="E189" s="62"/>
      <c r="F189" s="467">
        <f t="shared" si="61"/>
        <v>286132.15000000002</v>
      </c>
      <c r="G189" s="467">
        <v>286132.15000000002</v>
      </c>
      <c r="H189" s="467">
        <f t="shared" si="62"/>
        <v>0</v>
      </c>
      <c r="I189" s="467">
        <f t="shared" si="63"/>
        <v>0</v>
      </c>
      <c r="J189" s="467"/>
      <c r="K189" s="467"/>
      <c r="L189" s="467"/>
      <c r="M189" s="467"/>
      <c r="N189" s="171"/>
      <c r="O189" s="171"/>
      <c r="P189" s="171"/>
      <c r="Q189" s="171"/>
      <c r="R189" s="171"/>
      <c r="S189" s="62">
        <f t="shared" si="64"/>
        <v>0</v>
      </c>
      <c r="T189" s="62">
        <f t="shared" si="65"/>
        <v>0</v>
      </c>
      <c r="U189" s="62"/>
    </row>
    <row r="190" spans="1:21" s="1" customFormat="1" x14ac:dyDescent="0.3">
      <c r="A190" s="461">
        <v>877</v>
      </c>
      <c r="B190" s="461" t="s">
        <v>853</v>
      </c>
      <c r="C190" s="461"/>
      <c r="D190" s="467">
        <v>290598.51</v>
      </c>
      <c r="E190" s="62"/>
      <c r="F190" s="467">
        <f t="shared" si="61"/>
        <v>290598.51</v>
      </c>
      <c r="G190" s="467">
        <v>290598.51</v>
      </c>
      <c r="H190" s="467">
        <f t="shared" si="62"/>
        <v>0</v>
      </c>
      <c r="I190" s="467">
        <f t="shared" si="63"/>
        <v>0</v>
      </c>
      <c r="J190" s="467"/>
      <c r="K190" s="467"/>
      <c r="L190" s="467"/>
      <c r="M190" s="467"/>
      <c r="N190" s="171"/>
      <c r="O190" s="171"/>
      <c r="P190" s="171"/>
      <c r="Q190" s="171"/>
      <c r="R190" s="171"/>
      <c r="S190" s="62">
        <f t="shared" si="64"/>
        <v>0</v>
      </c>
      <c r="T190" s="62">
        <f t="shared" si="65"/>
        <v>0</v>
      </c>
      <c r="U190" s="62"/>
    </row>
    <row r="191" spans="1:21" s="1" customFormat="1" x14ac:dyDescent="0.3">
      <c r="A191" s="461">
        <v>878</v>
      </c>
      <c r="B191" s="461" t="s">
        <v>854</v>
      </c>
      <c r="C191" s="461"/>
      <c r="D191" s="467">
        <v>124422.6</v>
      </c>
      <c r="E191" s="62"/>
      <c r="F191" s="467">
        <f t="shared" si="61"/>
        <v>124422.6</v>
      </c>
      <c r="G191" s="467">
        <v>124422.6</v>
      </c>
      <c r="H191" s="467">
        <f t="shared" si="62"/>
        <v>0</v>
      </c>
      <c r="I191" s="467">
        <f t="shared" si="63"/>
        <v>0</v>
      </c>
      <c r="J191" s="467"/>
      <c r="K191" s="467"/>
      <c r="L191" s="467"/>
      <c r="M191" s="467"/>
      <c r="N191" s="171"/>
      <c r="O191" s="171"/>
      <c r="P191" s="171"/>
      <c r="Q191" s="171"/>
      <c r="R191" s="171"/>
      <c r="S191" s="62">
        <f t="shared" si="64"/>
        <v>0</v>
      </c>
      <c r="T191" s="62">
        <f t="shared" si="65"/>
        <v>0</v>
      </c>
      <c r="U191" s="62"/>
    </row>
    <row r="192" spans="1:21" s="1" customFormat="1" x14ac:dyDescent="0.3">
      <c r="A192" s="461">
        <v>879</v>
      </c>
      <c r="B192" s="461" t="s">
        <v>855</v>
      </c>
      <c r="C192" s="461"/>
      <c r="D192" s="467">
        <v>1267482.6200000001</v>
      </c>
      <c r="E192" s="62"/>
      <c r="F192" s="467">
        <f t="shared" si="61"/>
        <v>1267482.6200000001</v>
      </c>
      <c r="G192" s="467">
        <v>1267482.6200000001</v>
      </c>
      <c r="H192" s="467">
        <f t="shared" si="62"/>
        <v>0</v>
      </c>
      <c r="I192" s="467">
        <f t="shared" si="63"/>
        <v>0</v>
      </c>
      <c r="J192" s="467"/>
      <c r="K192" s="467"/>
      <c r="L192" s="467"/>
      <c r="M192" s="467"/>
      <c r="N192" s="171"/>
      <c r="O192" s="171"/>
      <c r="P192" s="171"/>
      <c r="Q192" s="171"/>
      <c r="R192" s="171"/>
      <c r="S192" s="62">
        <f t="shared" si="64"/>
        <v>0</v>
      </c>
      <c r="T192" s="62">
        <f t="shared" si="65"/>
        <v>0</v>
      </c>
      <c r="U192" s="62"/>
    </row>
    <row r="193" spans="1:21" s="1" customFormat="1" ht="14.5" x14ac:dyDescent="0.45">
      <c r="A193" s="461">
        <v>880</v>
      </c>
      <c r="B193" s="461" t="s">
        <v>856</v>
      </c>
      <c r="C193" s="461"/>
      <c r="D193" s="471">
        <v>100886.84</v>
      </c>
      <c r="E193" s="472"/>
      <c r="F193" s="471">
        <f t="shared" si="61"/>
        <v>100886.84</v>
      </c>
      <c r="G193" s="471">
        <v>100886.84</v>
      </c>
      <c r="H193" s="471">
        <f t="shared" si="62"/>
        <v>0</v>
      </c>
      <c r="I193" s="471">
        <f t="shared" si="63"/>
        <v>0</v>
      </c>
      <c r="J193" s="471"/>
      <c r="K193" s="471"/>
      <c r="L193" s="471"/>
      <c r="M193" s="471"/>
      <c r="N193" s="171"/>
      <c r="O193" s="171"/>
      <c r="P193" s="171"/>
      <c r="Q193" s="171"/>
      <c r="R193" s="171"/>
      <c r="S193" s="62">
        <f t="shared" si="64"/>
        <v>0</v>
      </c>
      <c r="T193" s="62">
        <f t="shared" si="65"/>
        <v>0</v>
      </c>
      <c r="U193" s="62"/>
    </row>
    <row r="194" spans="1:21" s="1" customFormat="1" x14ac:dyDescent="0.3">
      <c r="A194" s="461"/>
      <c r="B194" s="474" t="s">
        <v>524</v>
      </c>
      <c r="C194" s="461"/>
      <c r="D194" s="171">
        <f>SUM(D183:D193)</f>
        <v>10561559.489999998</v>
      </c>
      <c r="E194" s="62"/>
      <c r="F194" s="62">
        <f>SUM(F183:F193)</f>
        <v>10561559.489999998</v>
      </c>
      <c r="G194" s="62">
        <f>SUM(G183:G193)</f>
        <v>10561559.489999998</v>
      </c>
      <c r="H194" s="171">
        <f t="shared" si="62"/>
        <v>0</v>
      </c>
      <c r="I194" s="171">
        <f>SUM(I183:I193)</f>
        <v>0</v>
      </c>
      <c r="J194" s="171">
        <f t="shared" ref="J194:Q194" si="66">SUM(J183:J193)</f>
        <v>0</v>
      </c>
      <c r="K194" s="171">
        <f t="shared" si="66"/>
        <v>0</v>
      </c>
      <c r="L194" s="171">
        <f t="shared" si="66"/>
        <v>0</v>
      </c>
      <c r="M194" s="171">
        <f t="shared" si="66"/>
        <v>0</v>
      </c>
      <c r="N194" s="171">
        <f t="shared" si="66"/>
        <v>0</v>
      </c>
      <c r="O194" s="171">
        <f t="shared" si="66"/>
        <v>0</v>
      </c>
      <c r="P194" s="171">
        <f t="shared" si="66"/>
        <v>0</v>
      </c>
      <c r="Q194" s="171">
        <f t="shared" si="66"/>
        <v>0</v>
      </c>
      <c r="R194" s="171"/>
      <c r="S194" s="62">
        <f t="shared" si="64"/>
        <v>0</v>
      </c>
      <c r="T194" s="62">
        <f t="shared" si="65"/>
        <v>0</v>
      </c>
      <c r="U194" s="62"/>
    </row>
    <row r="195" spans="1:21" s="1" customFormat="1" x14ac:dyDescent="0.3">
      <c r="A195" s="461"/>
      <c r="B195" s="461"/>
      <c r="C195" s="461"/>
      <c r="D195" s="171"/>
      <c r="E195" s="62"/>
      <c r="F195" s="62"/>
      <c r="G195" s="171"/>
      <c r="H195" s="171"/>
      <c r="I195" s="62"/>
      <c r="J195" s="171"/>
      <c r="K195" s="171"/>
      <c r="L195" s="171"/>
      <c r="M195" s="171"/>
      <c r="N195" s="171"/>
      <c r="O195" s="171"/>
      <c r="P195" s="171"/>
      <c r="Q195" s="171"/>
      <c r="R195" s="171"/>
      <c r="S195" s="62"/>
      <c r="T195" s="62"/>
      <c r="U195" s="62"/>
    </row>
    <row r="196" spans="1:21" s="1" customFormat="1" x14ac:dyDescent="0.3">
      <c r="A196" s="461"/>
      <c r="B196" s="464" t="s">
        <v>565</v>
      </c>
      <c r="C196" s="461"/>
      <c r="D196" s="171"/>
      <c r="E196" s="62"/>
      <c r="F196" s="62"/>
      <c r="G196" s="171"/>
      <c r="H196" s="171"/>
      <c r="I196" s="62"/>
      <c r="J196" s="171"/>
      <c r="K196" s="171"/>
      <c r="L196" s="171"/>
      <c r="M196" s="171"/>
      <c r="N196" s="171"/>
      <c r="O196" s="171"/>
      <c r="P196" s="171"/>
      <c r="Q196" s="171"/>
      <c r="R196" s="171"/>
      <c r="S196" s="62"/>
      <c r="T196" s="62"/>
      <c r="U196" s="62"/>
    </row>
    <row r="197" spans="1:21" s="1" customFormat="1" x14ac:dyDescent="0.3">
      <c r="A197" s="461">
        <v>885</v>
      </c>
      <c r="B197" s="461" t="s">
        <v>847</v>
      </c>
      <c r="C197" s="461"/>
      <c r="D197" s="467">
        <v>5059312.04</v>
      </c>
      <c r="E197" s="62"/>
      <c r="F197" s="467">
        <f t="shared" ref="F197:F206" si="67">D197+E197</f>
        <v>5059312.04</v>
      </c>
      <c r="G197" s="467">
        <v>5059312.04</v>
      </c>
      <c r="H197" s="467">
        <f t="shared" ref="H197:H207" si="68">F197-G197</f>
        <v>0</v>
      </c>
      <c r="I197" s="467">
        <f t="shared" ref="I197:I206" si="69">H197</f>
        <v>0</v>
      </c>
      <c r="J197" s="171"/>
      <c r="K197" s="171"/>
      <c r="L197" s="171"/>
      <c r="M197" s="171"/>
      <c r="N197" s="171"/>
      <c r="O197" s="171"/>
      <c r="P197" s="171"/>
      <c r="Q197" s="171"/>
      <c r="R197" s="171"/>
      <c r="S197" s="62">
        <f t="shared" ref="S197:S207" si="70">SUM(J197:Q197)</f>
        <v>0</v>
      </c>
      <c r="T197" s="62">
        <f t="shared" ref="T197:T207" si="71">H197-S197</f>
        <v>0</v>
      </c>
      <c r="U197" s="62"/>
    </row>
    <row r="198" spans="1:21" s="1" customFormat="1" x14ac:dyDescent="0.3">
      <c r="A198" s="461">
        <v>886</v>
      </c>
      <c r="B198" s="461" t="s">
        <v>857</v>
      </c>
      <c r="C198" s="461"/>
      <c r="D198" s="467">
        <v>0</v>
      </c>
      <c r="E198" s="62"/>
      <c r="F198" s="467">
        <f t="shared" si="67"/>
        <v>0</v>
      </c>
      <c r="G198" s="467">
        <v>0</v>
      </c>
      <c r="H198" s="467">
        <f t="shared" si="68"/>
        <v>0</v>
      </c>
      <c r="I198" s="467">
        <f t="shared" si="69"/>
        <v>0</v>
      </c>
      <c r="J198" s="171"/>
      <c r="K198" s="171"/>
      <c r="L198" s="171"/>
      <c r="M198" s="171"/>
      <c r="N198" s="171"/>
      <c r="O198" s="171"/>
      <c r="P198" s="171"/>
      <c r="Q198" s="171"/>
      <c r="R198" s="171"/>
      <c r="S198" s="62">
        <f t="shared" si="70"/>
        <v>0</v>
      </c>
      <c r="T198" s="62">
        <f t="shared" si="71"/>
        <v>0</v>
      </c>
      <c r="U198" s="62"/>
    </row>
    <row r="199" spans="1:21" s="1" customFormat="1" x14ac:dyDescent="0.3">
      <c r="A199" s="461">
        <v>887</v>
      </c>
      <c r="B199" s="461" t="s">
        <v>858</v>
      </c>
      <c r="C199" s="461"/>
      <c r="D199" s="467">
        <v>1262022.26</v>
      </c>
      <c r="E199" s="62"/>
      <c r="F199" s="467">
        <f t="shared" si="67"/>
        <v>1262022.26</v>
      </c>
      <c r="G199" s="467">
        <v>1262022.26</v>
      </c>
      <c r="H199" s="467">
        <f t="shared" si="68"/>
        <v>0</v>
      </c>
      <c r="I199" s="467">
        <f t="shared" si="69"/>
        <v>0</v>
      </c>
      <c r="J199" s="171"/>
      <c r="K199" s="171"/>
      <c r="L199" s="171"/>
      <c r="M199" s="171"/>
      <c r="N199" s="171"/>
      <c r="O199" s="171"/>
      <c r="P199" s="171"/>
      <c r="Q199" s="171"/>
      <c r="R199" s="171"/>
      <c r="S199" s="62">
        <f t="shared" si="70"/>
        <v>0</v>
      </c>
      <c r="T199" s="62">
        <f t="shared" si="71"/>
        <v>0</v>
      </c>
      <c r="U199" s="62"/>
    </row>
    <row r="200" spans="1:21" s="1" customFormat="1" x14ac:dyDescent="0.3">
      <c r="A200" s="461">
        <v>888</v>
      </c>
      <c r="B200" s="461" t="s">
        <v>859</v>
      </c>
      <c r="C200" s="461"/>
      <c r="D200" s="467">
        <v>3914487.24</v>
      </c>
      <c r="E200" s="62"/>
      <c r="F200" s="467">
        <f t="shared" si="67"/>
        <v>3914487.24</v>
      </c>
      <c r="G200" s="467">
        <v>3914487.24</v>
      </c>
      <c r="H200" s="467">
        <f t="shared" si="68"/>
        <v>0</v>
      </c>
      <c r="I200" s="467">
        <f t="shared" si="69"/>
        <v>0</v>
      </c>
      <c r="J200" s="171"/>
      <c r="K200" s="171"/>
      <c r="L200" s="171"/>
      <c r="M200" s="171"/>
      <c r="N200" s="171"/>
      <c r="O200" s="171"/>
      <c r="P200" s="171"/>
      <c r="Q200" s="171"/>
      <c r="R200" s="171"/>
      <c r="S200" s="62">
        <f t="shared" si="70"/>
        <v>0</v>
      </c>
      <c r="T200" s="62">
        <f t="shared" si="71"/>
        <v>0</v>
      </c>
      <c r="U200" s="62"/>
    </row>
    <row r="201" spans="1:21" s="1" customFormat="1" x14ac:dyDescent="0.3">
      <c r="A201" s="461">
        <v>889</v>
      </c>
      <c r="B201" s="461" t="s">
        <v>851</v>
      </c>
      <c r="C201" s="461"/>
      <c r="D201" s="467">
        <v>1651.46</v>
      </c>
      <c r="E201" s="62"/>
      <c r="F201" s="467">
        <f t="shared" si="67"/>
        <v>1651.46</v>
      </c>
      <c r="G201" s="467">
        <v>1651.46</v>
      </c>
      <c r="H201" s="467">
        <f t="shared" si="68"/>
        <v>0</v>
      </c>
      <c r="I201" s="467">
        <f t="shared" si="69"/>
        <v>0</v>
      </c>
      <c r="J201" s="171"/>
      <c r="K201" s="171"/>
      <c r="L201" s="171"/>
      <c r="M201" s="171"/>
      <c r="N201" s="171"/>
      <c r="O201" s="171"/>
      <c r="P201" s="171"/>
      <c r="Q201" s="171"/>
      <c r="R201" s="171"/>
      <c r="S201" s="62">
        <f t="shared" si="70"/>
        <v>0</v>
      </c>
      <c r="T201" s="62">
        <f t="shared" si="71"/>
        <v>0</v>
      </c>
      <c r="U201" s="62"/>
    </row>
    <row r="202" spans="1:21" s="1" customFormat="1" x14ac:dyDescent="0.3">
      <c r="A202" s="461">
        <v>890</v>
      </c>
      <c r="B202" s="461" t="s">
        <v>852</v>
      </c>
      <c r="C202" s="461"/>
      <c r="D202" s="467">
        <v>809.01</v>
      </c>
      <c r="E202" s="62"/>
      <c r="F202" s="467">
        <f t="shared" si="67"/>
        <v>809.01</v>
      </c>
      <c r="G202" s="467">
        <v>809.01</v>
      </c>
      <c r="H202" s="467">
        <f t="shared" si="68"/>
        <v>0</v>
      </c>
      <c r="I202" s="467">
        <f t="shared" si="69"/>
        <v>0</v>
      </c>
      <c r="J202" s="171"/>
      <c r="K202" s="171"/>
      <c r="L202" s="171"/>
      <c r="M202" s="171"/>
      <c r="N202" s="171"/>
      <c r="O202" s="171"/>
      <c r="P202" s="171"/>
      <c r="Q202" s="171"/>
      <c r="R202" s="171"/>
      <c r="S202" s="62">
        <f t="shared" si="70"/>
        <v>0</v>
      </c>
      <c r="T202" s="62">
        <f t="shared" si="71"/>
        <v>0</v>
      </c>
      <c r="U202" s="62"/>
    </row>
    <row r="203" spans="1:21" s="1" customFormat="1" x14ac:dyDescent="0.3">
      <c r="A203" s="461">
        <v>891</v>
      </c>
      <c r="B203" s="461" t="s">
        <v>853</v>
      </c>
      <c r="C203" s="461"/>
      <c r="D203" s="467">
        <v>59239.17</v>
      </c>
      <c r="E203" s="62"/>
      <c r="F203" s="467">
        <f t="shared" si="67"/>
        <v>59239.17</v>
      </c>
      <c r="G203" s="467">
        <v>59239.17</v>
      </c>
      <c r="H203" s="467">
        <f t="shared" si="68"/>
        <v>0</v>
      </c>
      <c r="I203" s="467">
        <f t="shared" si="69"/>
        <v>0</v>
      </c>
      <c r="J203" s="171"/>
      <c r="K203" s="171"/>
      <c r="L203" s="171"/>
      <c r="M203" s="171"/>
      <c r="N203" s="171"/>
      <c r="O203" s="171"/>
      <c r="P203" s="171"/>
      <c r="Q203" s="171"/>
      <c r="R203" s="171"/>
      <c r="S203" s="62">
        <f t="shared" si="70"/>
        <v>0</v>
      </c>
      <c r="T203" s="62">
        <f t="shared" si="71"/>
        <v>0</v>
      </c>
      <c r="U203" s="62"/>
    </row>
    <row r="204" spans="1:21" s="1" customFormat="1" x14ac:dyDescent="0.3">
      <c r="A204" s="461">
        <v>892</v>
      </c>
      <c r="B204" s="461" t="s">
        <v>456</v>
      </c>
      <c r="C204" s="461"/>
      <c r="D204" s="467">
        <v>1777380.63</v>
      </c>
      <c r="E204" s="62"/>
      <c r="F204" s="467">
        <f t="shared" si="67"/>
        <v>1777380.63</v>
      </c>
      <c r="G204" s="467">
        <v>1777380.63</v>
      </c>
      <c r="H204" s="467">
        <f t="shared" si="68"/>
        <v>0</v>
      </c>
      <c r="I204" s="467">
        <f t="shared" si="69"/>
        <v>0</v>
      </c>
      <c r="J204" s="171"/>
      <c r="K204" s="171"/>
      <c r="L204" s="171"/>
      <c r="M204" s="171"/>
      <c r="N204" s="171"/>
      <c r="O204" s="171"/>
      <c r="P204" s="171"/>
      <c r="Q204" s="171"/>
      <c r="R204" s="171"/>
      <c r="S204" s="62">
        <f t="shared" si="70"/>
        <v>0</v>
      </c>
      <c r="T204" s="62">
        <f t="shared" si="71"/>
        <v>0</v>
      </c>
      <c r="U204" s="62"/>
    </row>
    <row r="205" spans="1:21" s="1" customFormat="1" x14ac:dyDescent="0.3">
      <c r="A205" s="461">
        <v>893</v>
      </c>
      <c r="B205" s="461" t="s">
        <v>854</v>
      </c>
      <c r="C205" s="461"/>
      <c r="D205" s="467">
        <v>852648.95999999996</v>
      </c>
      <c r="E205" s="62"/>
      <c r="F205" s="467">
        <f t="shared" si="67"/>
        <v>852648.95999999996</v>
      </c>
      <c r="G205" s="467">
        <v>852648.95999999996</v>
      </c>
      <c r="H205" s="467">
        <f t="shared" si="68"/>
        <v>0</v>
      </c>
      <c r="I205" s="467">
        <f t="shared" si="69"/>
        <v>0</v>
      </c>
      <c r="J205" s="171"/>
      <c r="K205" s="171"/>
      <c r="L205" s="171"/>
      <c r="M205" s="171"/>
      <c r="N205" s="171"/>
      <c r="O205" s="171"/>
      <c r="P205" s="171"/>
      <c r="Q205" s="171"/>
      <c r="R205" s="171"/>
      <c r="S205" s="62">
        <f t="shared" si="70"/>
        <v>0</v>
      </c>
      <c r="T205" s="62">
        <f t="shared" si="71"/>
        <v>0</v>
      </c>
      <c r="U205" s="62"/>
    </row>
    <row r="206" spans="1:21" s="1" customFormat="1" ht="14.5" x14ac:dyDescent="0.45">
      <c r="A206" s="461">
        <v>894</v>
      </c>
      <c r="B206" s="461" t="s">
        <v>860</v>
      </c>
      <c r="C206" s="461"/>
      <c r="D206" s="471">
        <v>0</v>
      </c>
      <c r="E206" s="472"/>
      <c r="F206" s="471">
        <f t="shared" si="67"/>
        <v>0</v>
      </c>
      <c r="G206" s="471">
        <v>0</v>
      </c>
      <c r="H206" s="471">
        <f t="shared" si="68"/>
        <v>0</v>
      </c>
      <c r="I206" s="471">
        <f t="shared" si="69"/>
        <v>0</v>
      </c>
      <c r="J206" s="171"/>
      <c r="K206" s="171"/>
      <c r="L206" s="171"/>
      <c r="M206" s="171"/>
      <c r="N206" s="171"/>
      <c r="O206" s="171"/>
      <c r="P206" s="171"/>
      <c r="Q206" s="171"/>
      <c r="R206" s="171"/>
      <c r="S206" s="62">
        <f t="shared" si="70"/>
        <v>0</v>
      </c>
      <c r="T206" s="62">
        <f t="shared" si="71"/>
        <v>0</v>
      </c>
      <c r="U206" s="62"/>
    </row>
    <row r="207" spans="1:21" s="1" customFormat="1" x14ac:dyDescent="0.3">
      <c r="A207" s="461"/>
      <c r="B207" s="474" t="s">
        <v>524</v>
      </c>
      <c r="C207" s="461"/>
      <c r="D207" s="171">
        <f>SUM(D197:D206)</f>
        <v>12927550.77</v>
      </c>
      <c r="E207" s="62"/>
      <c r="F207" s="62">
        <f>SUM(F197:F206)</f>
        <v>12927550.77</v>
      </c>
      <c r="G207" s="62">
        <f>SUM(G197:G206)</f>
        <v>12927550.77</v>
      </c>
      <c r="H207" s="171">
        <f t="shared" si="68"/>
        <v>0</v>
      </c>
      <c r="I207" s="171">
        <f>SUM(I197:I206)</f>
        <v>0</v>
      </c>
      <c r="J207" s="171">
        <f t="shared" ref="J207:Q207" si="72">SUM(J197:J206)</f>
        <v>0</v>
      </c>
      <c r="K207" s="171">
        <f t="shared" si="72"/>
        <v>0</v>
      </c>
      <c r="L207" s="171">
        <f t="shared" si="72"/>
        <v>0</v>
      </c>
      <c r="M207" s="171">
        <f t="shared" si="72"/>
        <v>0</v>
      </c>
      <c r="N207" s="171">
        <f t="shared" si="72"/>
        <v>0</v>
      </c>
      <c r="O207" s="171">
        <f t="shared" si="72"/>
        <v>0</v>
      </c>
      <c r="P207" s="171">
        <f t="shared" si="72"/>
        <v>0</v>
      </c>
      <c r="Q207" s="171">
        <f t="shared" si="72"/>
        <v>0</v>
      </c>
      <c r="R207" s="171"/>
      <c r="S207" s="62">
        <f t="shared" si="70"/>
        <v>0</v>
      </c>
      <c r="T207" s="62">
        <f t="shared" si="71"/>
        <v>0</v>
      </c>
      <c r="U207" s="62"/>
    </row>
    <row r="208" spans="1:21" s="1" customFormat="1" x14ac:dyDescent="0.3">
      <c r="A208" s="461"/>
      <c r="B208" s="461"/>
      <c r="C208" s="461"/>
      <c r="D208" s="171"/>
      <c r="E208" s="62"/>
      <c r="F208" s="62"/>
      <c r="G208" s="171"/>
      <c r="H208" s="171"/>
      <c r="I208" s="62"/>
      <c r="J208" s="171"/>
      <c r="K208" s="171"/>
      <c r="L208" s="171"/>
      <c r="M208" s="171"/>
      <c r="N208" s="171"/>
      <c r="O208" s="171"/>
      <c r="P208" s="171"/>
      <c r="Q208" s="171"/>
      <c r="R208" s="171"/>
      <c r="S208" s="62"/>
      <c r="T208" s="62"/>
      <c r="U208" s="62"/>
    </row>
    <row r="209" spans="1:29" s="1" customFormat="1" x14ac:dyDescent="0.3">
      <c r="A209" s="461"/>
      <c r="B209" s="479" t="s">
        <v>543</v>
      </c>
      <c r="C209" s="461"/>
      <c r="D209" s="171">
        <f>D207+D194</f>
        <v>23489110.259999998</v>
      </c>
      <c r="E209" s="62"/>
      <c r="F209" s="62">
        <f>F207+F194</f>
        <v>23489110.259999998</v>
      </c>
      <c r="G209" s="62">
        <f>G207+G194</f>
        <v>23489110.259999998</v>
      </c>
      <c r="H209" s="171">
        <f>F209-G209</f>
        <v>0</v>
      </c>
      <c r="I209" s="171">
        <f>I207+I194</f>
        <v>0</v>
      </c>
      <c r="J209" s="171">
        <f t="shared" ref="J209:Q209" si="73">J207+J194</f>
        <v>0</v>
      </c>
      <c r="K209" s="171">
        <f t="shared" si="73"/>
        <v>0</v>
      </c>
      <c r="L209" s="171">
        <f t="shared" si="73"/>
        <v>0</v>
      </c>
      <c r="M209" s="171">
        <f t="shared" si="73"/>
        <v>0</v>
      </c>
      <c r="N209" s="171">
        <f t="shared" si="73"/>
        <v>0</v>
      </c>
      <c r="O209" s="171">
        <f t="shared" si="73"/>
        <v>0</v>
      </c>
      <c r="P209" s="171">
        <f t="shared" si="73"/>
        <v>0</v>
      </c>
      <c r="Q209" s="171">
        <f t="shared" si="73"/>
        <v>0</v>
      </c>
      <c r="R209" s="171"/>
      <c r="S209" s="62">
        <f>SUM(J209:Q209)</f>
        <v>0</v>
      </c>
      <c r="T209" s="62">
        <f>H209-S209</f>
        <v>0</v>
      </c>
      <c r="U209" s="62"/>
    </row>
    <row r="210" spans="1:29" s="1" customFormat="1" x14ac:dyDescent="0.3">
      <c r="A210" s="461"/>
      <c r="B210" s="461"/>
      <c r="C210" s="461"/>
      <c r="D210" s="171"/>
      <c r="E210" s="62"/>
      <c r="F210" s="62"/>
      <c r="G210" s="171"/>
      <c r="H210" s="171"/>
      <c r="I210" s="62"/>
      <c r="J210" s="171"/>
      <c r="K210" s="171"/>
      <c r="L210" s="171"/>
      <c r="M210" s="171"/>
      <c r="N210" s="171"/>
      <c r="O210" s="171"/>
      <c r="P210" s="171"/>
      <c r="Q210" s="171"/>
      <c r="R210" s="171"/>
      <c r="S210" s="62">
        <f>SUM(J210:Q210)</f>
        <v>0</v>
      </c>
      <c r="T210" s="62"/>
      <c r="U210" s="62"/>
    </row>
    <row r="211" spans="1:29" s="1" customFormat="1" x14ac:dyDescent="0.3">
      <c r="A211" s="461"/>
      <c r="B211" s="479" t="s">
        <v>862</v>
      </c>
      <c r="C211" s="461"/>
      <c r="D211" s="171">
        <f>D209+D165+D179</f>
        <v>20483001.049999997</v>
      </c>
      <c r="E211" s="62"/>
      <c r="F211" s="171">
        <f t="shared" ref="F211:O211" si="74">F209+F165+F179</f>
        <v>20483001.049999997</v>
      </c>
      <c r="G211" s="171">
        <f t="shared" si="74"/>
        <v>20483001.049999997</v>
      </c>
      <c r="H211" s="171">
        <f t="shared" si="74"/>
        <v>0</v>
      </c>
      <c r="I211" s="171">
        <f t="shared" si="74"/>
        <v>0</v>
      </c>
      <c r="J211" s="171">
        <f t="shared" si="74"/>
        <v>0</v>
      </c>
      <c r="K211" s="171">
        <f t="shared" si="74"/>
        <v>0</v>
      </c>
      <c r="L211" s="171">
        <f t="shared" si="74"/>
        <v>0</v>
      </c>
      <c r="M211" s="171">
        <f t="shared" si="74"/>
        <v>0</v>
      </c>
      <c r="N211" s="171">
        <f t="shared" si="74"/>
        <v>0</v>
      </c>
      <c r="O211" s="171">
        <f t="shared" si="74"/>
        <v>0</v>
      </c>
      <c r="P211" s="171">
        <f t="shared" ref="P211:Q211" si="75">P209+P165+P179</f>
        <v>0</v>
      </c>
      <c r="Q211" s="171">
        <f t="shared" si="75"/>
        <v>0</v>
      </c>
      <c r="R211" s="171"/>
      <c r="S211" s="62">
        <f>SUM(J211:Q211)</f>
        <v>0</v>
      </c>
      <c r="T211" s="62">
        <f>H211-S211</f>
        <v>0</v>
      </c>
      <c r="U211" s="62"/>
    </row>
    <row r="212" spans="1:29" s="1" customFormat="1" x14ac:dyDescent="0.3">
      <c r="A212" s="461"/>
      <c r="B212" s="461"/>
      <c r="C212" s="461"/>
      <c r="D212" s="171"/>
      <c r="E212" s="62"/>
      <c r="F212" s="62"/>
      <c r="G212" s="171"/>
      <c r="H212" s="171"/>
      <c r="I212" s="62"/>
      <c r="J212" s="171"/>
      <c r="K212" s="171"/>
      <c r="L212" s="171"/>
      <c r="M212" s="171"/>
      <c r="N212" s="171"/>
      <c r="O212" s="171"/>
      <c r="P212" s="171"/>
      <c r="Q212" s="171"/>
      <c r="R212" s="171"/>
      <c r="S212" s="62"/>
      <c r="T212" s="62"/>
      <c r="U212" s="62"/>
    </row>
    <row r="213" spans="1:29" s="1" customFormat="1" x14ac:dyDescent="0.3">
      <c r="A213" s="461"/>
      <c r="B213" s="461"/>
      <c r="C213" s="461"/>
      <c r="D213" s="171"/>
      <c r="E213" s="62"/>
      <c r="F213" s="62"/>
      <c r="G213" s="171"/>
      <c r="H213" s="171"/>
      <c r="I213" s="62"/>
      <c r="J213" s="171"/>
      <c r="K213" s="171"/>
      <c r="L213" s="171"/>
      <c r="M213" s="171"/>
      <c r="N213" s="171"/>
      <c r="O213" s="171"/>
      <c r="P213" s="171"/>
      <c r="Q213" s="171"/>
      <c r="R213" s="171"/>
      <c r="S213" s="62"/>
      <c r="T213" s="62"/>
      <c r="U213" s="62"/>
    </row>
    <row r="214" spans="1:29" s="1" customFormat="1" x14ac:dyDescent="0.3">
      <c r="A214" s="479" t="s">
        <v>696</v>
      </c>
      <c r="B214" s="461"/>
      <c r="C214" s="461"/>
      <c r="D214" s="171"/>
      <c r="E214" s="62"/>
      <c r="F214" s="62"/>
      <c r="G214" s="171"/>
      <c r="H214" s="171"/>
      <c r="I214" s="62"/>
      <c r="J214" s="171"/>
      <c r="K214" s="171"/>
      <c r="L214" s="171"/>
      <c r="M214" s="171"/>
      <c r="N214" s="171"/>
      <c r="O214" s="171"/>
      <c r="P214" s="171"/>
      <c r="Q214" s="171"/>
      <c r="R214" s="171"/>
      <c r="S214" s="62"/>
      <c r="T214" s="62"/>
      <c r="U214" s="62"/>
    </row>
    <row r="215" spans="1:29" s="1" customFormat="1" x14ac:dyDescent="0.3">
      <c r="A215" s="461"/>
      <c r="B215" s="461"/>
      <c r="C215" s="461"/>
      <c r="D215" s="171"/>
      <c r="E215" s="62"/>
      <c r="F215" s="62"/>
      <c r="G215" s="171"/>
      <c r="H215" s="171"/>
      <c r="I215" s="62"/>
      <c r="J215" s="171"/>
      <c r="K215" s="171"/>
      <c r="L215" s="171"/>
      <c r="M215" s="171"/>
      <c r="N215" s="171"/>
      <c r="O215" s="171"/>
      <c r="P215" s="171"/>
      <c r="Q215" s="171"/>
      <c r="R215" s="171"/>
      <c r="S215" s="62"/>
      <c r="T215" s="62"/>
      <c r="U215" s="62"/>
    </row>
    <row r="216" spans="1:29" s="1" customFormat="1" x14ac:dyDescent="0.3">
      <c r="A216" s="461"/>
      <c r="B216" s="464" t="s">
        <v>697</v>
      </c>
      <c r="C216" s="464"/>
      <c r="D216" s="171"/>
      <c r="E216" s="62"/>
      <c r="F216" s="62"/>
      <c r="G216" s="171"/>
      <c r="H216" s="171"/>
      <c r="I216" s="62"/>
      <c r="J216" s="171"/>
      <c r="K216" s="171"/>
      <c r="L216" s="171"/>
      <c r="M216" s="171"/>
      <c r="N216" s="171"/>
      <c r="O216" s="171"/>
      <c r="P216" s="171"/>
      <c r="Q216" s="171"/>
      <c r="R216" s="171"/>
      <c r="S216" s="62"/>
      <c r="T216" s="62"/>
      <c r="U216" s="62"/>
    </row>
    <row r="217" spans="1:29" s="1" customFormat="1" x14ac:dyDescent="0.3">
      <c r="A217" s="461">
        <v>901</v>
      </c>
      <c r="B217" s="461" t="s">
        <v>699</v>
      </c>
      <c r="C217" s="461" t="s">
        <v>1348</v>
      </c>
      <c r="D217" s="467">
        <v>329052.99</v>
      </c>
      <c r="E217" s="62"/>
      <c r="F217" s="468">
        <f>D217+E217</f>
        <v>329052.99</v>
      </c>
      <c r="G217" s="467">
        <v>64985.275587074073</v>
      </c>
      <c r="H217" s="171">
        <f>+F217-G217</f>
        <v>264067.71441292594</v>
      </c>
      <c r="I217" s="171">
        <f>H217</f>
        <v>264067.71441292594</v>
      </c>
      <c r="J217" s="171">
        <f>$I$217*J223/$I223</f>
        <v>0</v>
      </c>
      <c r="K217" s="171">
        <f t="shared" ref="K217:Q217" si="76">$I$217*K223/$I223</f>
        <v>0</v>
      </c>
      <c r="L217" s="171">
        <f t="shared" si="76"/>
        <v>0</v>
      </c>
      <c r="M217" s="171">
        <f t="shared" si="76"/>
        <v>75745.701151270114</v>
      </c>
      <c r="N217" s="171">
        <f t="shared" si="76"/>
        <v>44740.053686694089</v>
      </c>
      <c r="O217" s="171">
        <f t="shared" si="76"/>
        <v>143581.95957496171</v>
      </c>
      <c r="P217" s="171">
        <f t="shared" si="76"/>
        <v>0</v>
      </c>
      <c r="Q217" s="171">
        <f t="shared" si="76"/>
        <v>0</v>
      </c>
      <c r="R217" s="171"/>
      <c r="S217" s="62">
        <f t="shared" ref="S217:S222" si="77">SUM(J217:Q217)</f>
        <v>264067.71441292588</v>
      </c>
      <c r="T217" s="62">
        <f t="shared" ref="T217:T222" si="78">H217-S217</f>
        <v>0</v>
      </c>
      <c r="U217" s="62"/>
    </row>
    <row r="218" spans="1:29" s="1" customFormat="1" ht="13.5" thickBot="1" x14ac:dyDescent="0.35">
      <c r="A218" s="461">
        <v>902</v>
      </c>
      <c r="B218" s="461" t="s">
        <v>701</v>
      </c>
      <c r="C218" s="461"/>
      <c r="D218" s="467">
        <v>10940488.949999999</v>
      </c>
      <c r="E218" s="62"/>
      <c r="F218" s="468">
        <f>D218+E218</f>
        <v>10940488.949999999</v>
      </c>
      <c r="G218" s="467">
        <v>2285390.04</v>
      </c>
      <c r="H218" s="171">
        <f>+F218-G218</f>
        <v>8655098.9100000001</v>
      </c>
      <c r="I218" s="171">
        <f>H218</f>
        <v>8655098.9100000001</v>
      </c>
      <c r="J218" s="171"/>
      <c r="K218" s="171"/>
      <c r="L218" s="171"/>
      <c r="M218" s="171">
        <f>I218</f>
        <v>8655098.9100000001</v>
      </c>
      <c r="N218" s="171"/>
      <c r="O218" s="171"/>
      <c r="P218" s="171"/>
      <c r="Q218" s="171"/>
      <c r="R218" s="171"/>
      <c r="S218" s="62">
        <f t="shared" si="77"/>
        <v>8655098.9100000001</v>
      </c>
      <c r="T218" s="62">
        <f t="shared" si="78"/>
        <v>0</v>
      </c>
      <c r="U218" s="62"/>
    </row>
    <row r="219" spans="1:29" s="1" customFormat="1" ht="13.5" thickBot="1" x14ac:dyDescent="0.35">
      <c r="A219" s="461">
        <v>903</v>
      </c>
      <c r="B219" s="461" t="s">
        <v>703</v>
      </c>
      <c r="C219" s="461"/>
      <c r="D219" s="467">
        <v>26814250.890000001</v>
      </c>
      <c r="E219" s="62"/>
      <c r="F219" s="468">
        <f>D219+E219</f>
        <v>26814250.890000001</v>
      </c>
      <c r="G219" s="467">
        <v>5295595.3499999996</v>
      </c>
      <c r="H219" s="171">
        <f>+F219-G219</f>
        <v>21518655.539999999</v>
      </c>
      <c r="I219" s="171">
        <f>H219</f>
        <v>21518655.539999999</v>
      </c>
      <c r="J219" s="171"/>
      <c r="K219" s="171"/>
      <c r="L219" s="171"/>
      <c r="M219" s="171"/>
      <c r="N219" s="171">
        <f>+$I219*'3a. OM_AG-i'!N219/'3a. OM_AG-i'!$I219</f>
        <v>5112231.9024246624</v>
      </c>
      <c r="O219" s="171">
        <f>+$I219*'3a. OM_AG-i'!O219/'3a. OM_AG-i'!$I219</f>
        <v>16406423.637575336</v>
      </c>
      <c r="P219" s="171"/>
      <c r="Q219" s="171"/>
      <c r="R219" s="171"/>
      <c r="S219" s="62">
        <f t="shared" si="77"/>
        <v>21518655.539999999</v>
      </c>
      <c r="T219" s="62">
        <f t="shared" si="78"/>
        <v>0</v>
      </c>
      <c r="U219" s="62"/>
      <c r="W219" s="59"/>
      <c r="X219" s="60"/>
      <c r="Y219" s="60"/>
      <c r="Z219" s="60"/>
      <c r="AA219" s="60"/>
      <c r="AB219" s="60"/>
      <c r="AC219" s="61"/>
    </row>
    <row r="220" spans="1:29" s="1" customFormat="1" x14ac:dyDescent="0.3">
      <c r="A220" s="461">
        <v>904</v>
      </c>
      <c r="B220" s="461" t="s">
        <v>705</v>
      </c>
      <c r="C220" s="461"/>
      <c r="D220" s="467">
        <v>0</v>
      </c>
      <c r="E220" s="62"/>
      <c r="F220" s="468">
        <f>D220+E220</f>
        <v>0</v>
      </c>
      <c r="G220" s="467">
        <v>0</v>
      </c>
      <c r="H220" s="171">
        <f>+F220-G220</f>
        <v>0</v>
      </c>
      <c r="I220" s="171">
        <f>H220</f>
        <v>0</v>
      </c>
      <c r="J220" s="171"/>
      <c r="K220" s="171"/>
      <c r="L220" s="171">
        <f>I220</f>
        <v>0</v>
      </c>
      <c r="M220" s="171"/>
      <c r="N220" s="171"/>
      <c r="O220" s="171"/>
      <c r="P220" s="171"/>
      <c r="Q220" s="171"/>
      <c r="R220" s="171"/>
      <c r="S220" s="62">
        <f t="shared" si="77"/>
        <v>0</v>
      </c>
      <c r="T220" s="62">
        <f t="shared" si="78"/>
        <v>0</v>
      </c>
      <c r="U220" s="62"/>
    </row>
    <row r="221" spans="1:29" s="1" customFormat="1" ht="14.5" x14ac:dyDescent="0.45">
      <c r="A221" s="461">
        <v>905</v>
      </c>
      <c r="B221" s="466" t="s">
        <v>707</v>
      </c>
      <c r="C221" s="461" t="s">
        <v>1348</v>
      </c>
      <c r="D221" s="471">
        <v>-650591.38</v>
      </c>
      <c r="E221" s="62"/>
      <c r="F221" s="473">
        <f>D221+E221</f>
        <v>-650591.38</v>
      </c>
      <c r="G221" s="473">
        <f>G223/F223*F221</f>
        <v>-130635.8822108609</v>
      </c>
      <c r="H221" s="472">
        <f>+F221-G221</f>
        <v>-519955.4977891391</v>
      </c>
      <c r="I221" s="472">
        <f>H221</f>
        <v>-519955.4977891391</v>
      </c>
      <c r="J221" s="472"/>
      <c r="K221" s="472"/>
      <c r="L221" s="472"/>
      <c r="M221" s="472"/>
      <c r="N221" s="472"/>
      <c r="O221" s="472">
        <f>I221</f>
        <v>-519955.4977891391</v>
      </c>
      <c r="P221" s="472"/>
      <c r="Q221" s="472"/>
      <c r="R221" s="171"/>
      <c r="S221" s="62">
        <f t="shared" si="77"/>
        <v>-519955.4977891391</v>
      </c>
      <c r="T221" s="62">
        <f t="shared" si="78"/>
        <v>0</v>
      </c>
      <c r="U221" s="62"/>
    </row>
    <row r="222" spans="1:29" s="1" customFormat="1" x14ac:dyDescent="0.3">
      <c r="A222" s="461"/>
      <c r="B222" s="474" t="s">
        <v>524</v>
      </c>
      <c r="C222" s="474"/>
      <c r="D222" s="171">
        <f t="shared" ref="D222:L222" si="79">SUM(D217:D221)</f>
        <v>37433201.449999996</v>
      </c>
      <c r="E222" s="171">
        <f t="shared" si="79"/>
        <v>0</v>
      </c>
      <c r="F222" s="171">
        <f t="shared" si="79"/>
        <v>37433201.449999996</v>
      </c>
      <c r="G222" s="171">
        <f t="shared" si="79"/>
        <v>7515334.7833762122</v>
      </c>
      <c r="H222" s="171">
        <f t="shared" si="79"/>
        <v>29917866.666623782</v>
      </c>
      <c r="I222" s="171">
        <f t="shared" si="79"/>
        <v>29917866.666623782</v>
      </c>
      <c r="J222" s="171">
        <f t="shared" si="79"/>
        <v>0</v>
      </c>
      <c r="K222" s="171">
        <f t="shared" si="79"/>
        <v>0</v>
      </c>
      <c r="L222" s="171">
        <f t="shared" si="79"/>
        <v>0</v>
      </c>
      <c r="M222" s="171">
        <f>SUM(M217:M221)</f>
        <v>8730844.6111512706</v>
      </c>
      <c r="N222" s="171">
        <f>SUM(N217:N221)</f>
        <v>5156971.9561113566</v>
      </c>
      <c r="O222" s="171">
        <f>SUM(O217:O221)</f>
        <v>16030050.099361159</v>
      </c>
      <c r="P222" s="171">
        <f>SUM(P217:P221)</f>
        <v>0</v>
      </c>
      <c r="Q222" s="171">
        <f>SUM(Q217:Q221)</f>
        <v>0</v>
      </c>
      <c r="R222" s="171"/>
      <c r="S222" s="62">
        <f t="shared" si="77"/>
        <v>29917866.666623786</v>
      </c>
      <c r="T222" s="62">
        <f t="shared" si="78"/>
        <v>0</v>
      </c>
      <c r="U222" s="62"/>
    </row>
    <row r="223" spans="1:29" s="1" customFormat="1" x14ac:dyDescent="0.3">
      <c r="A223" s="461" t="s">
        <v>1207</v>
      </c>
      <c r="B223" s="461" t="s">
        <v>1348</v>
      </c>
      <c r="C223" s="461"/>
      <c r="D223" s="171">
        <f t="shared" ref="D223:Q223" si="80">SUM(D218:D219)</f>
        <v>37754739.840000004</v>
      </c>
      <c r="E223" s="171">
        <f t="shared" si="80"/>
        <v>0</v>
      </c>
      <c r="F223" s="171">
        <f t="shared" si="80"/>
        <v>37754739.840000004</v>
      </c>
      <c r="G223" s="171">
        <f t="shared" si="80"/>
        <v>7580985.3899999997</v>
      </c>
      <c r="H223" s="171">
        <f t="shared" si="80"/>
        <v>30173754.449999999</v>
      </c>
      <c r="I223" s="171">
        <f t="shared" si="80"/>
        <v>30173754.449999999</v>
      </c>
      <c r="J223" s="171">
        <f t="shared" si="80"/>
        <v>0</v>
      </c>
      <c r="K223" s="171">
        <f t="shared" si="80"/>
        <v>0</v>
      </c>
      <c r="L223" s="171">
        <f t="shared" si="80"/>
        <v>0</v>
      </c>
      <c r="M223" s="171">
        <f t="shared" si="80"/>
        <v>8655098.9100000001</v>
      </c>
      <c r="N223" s="171">
        <f t="shared" si="80"/>
        <v>5112231.9024246624</v>
      </c>
      <c r="O223" s="171">
        <f t="shared" si="80"/>
        <v>16406423.637575336</v>
      </c>
      <c r="P223" s="171">
        <f t="shared" si="80"/>
        <v>0</v>
      </c>
      <c r="Q223" s="171">
        <f t="shared" si="80"/>
        <v>0</v>
      </c>
      <c r="R223" s="171"/>
      <c r="S223" s="62"/>
      <c r="T223" s="62"/>
      <c r="U223" s="62"/>
    </row>
    <row r="224" spans="1:29" s="1" customFormat="1" x14ac:dyDescent="0.3">
      <c r="A224" s="461"/>
      <c r="B224" s="464" t="s">
        <v>708</v>
      </c>
      <c r="C224" s="464"/>
      <c r="D224" s="171"/>
      <c r="E224" s="62"/>
      <c r="F224" s="62"/>
      <c r="G224" s="171"/>
      <c r="H224" s="171"/>
      <c r="I224" s="62"/>
      <c r="J224" s="171"/>
      <c r="K224" s="171"/>
      <c r="L224" s="171"/>
      <c r="M224" s="171"/>
      <c r="N224" s="171"/>
      <c r="O224" s="171"/>
      <c r="P224" s="171"/>
      <c r="Q224" s="171"/>
      <c r="R224" s="171"/>
      <c r="S224" s="62"/>
      <c r="T224" s="62"/>
      <c r="U224" s="62"/>
    </row>
    <row r="225" spans="1:37" s="1" customFormat="1" x14ac:dyDescent="0.3">
      <c r="A225" s="461">
        <v>906</v>
      </c>
      <c r="B225" s="461" t="s">
        <v>710</v>
      </c>
      <c r="C225" s="461"/>
      <c r="D225" s="467">
        <v>0</v>
      </c>
      <c r="E225" s="62"/>
      <c r="F225" s="467">
        <v>0</v>
      </c>
      <c r="G225" s="467">
        <v>0</v>
      </c>
      <c r="H225" s="467">
        <f>+F225-G225</f>
        <v>0</v>
      </c>
      <c r="I225" s="467">
        <f>H225</f>
        <v>0</v>
      </c>
      <c r="J225" s="467"/>
      <c r="K225" s="467"/>
      <c r="L225" s="467"/>
      <c r="M225" s="467"/>
      <c r="N225" s="467"/>
      <c r="O225" s="467">
        <f>I225</f>
        <v>0</v>
      </c>
      <c r="P225" s="467"/>
      <c r="Q225" s="467"/>
      <c r="R225" s="171"/>
      <c r="S225" s="62">
        <f t="shared" ref="S225:S230" si="81">SUM(J225:Q225)</f>
        <v>0</v>
      </c>
      <c r="T225" s="62">
        <f t="shared" ref="T225:T230" si="82">H225-S225</f>
        <v>0</v>
      </c>
      <c r="U225" s="62"/>
    </row>
    <row r="226" spans="1:37" s="1" customFormat="1" x14ac:dyDescent="0.3">
      <c r="A226" s="461">
        <v>907</v>
      </c>
      <c r="B226" s="461" t="s">
        <v>699</v>
      </c>
      <c r="C226" s="461" t="s">
        <v>829</v>
      </c>
      <c r="D226" s="467">
        <v>0</v>
      </c>
      <c r="E226" s="62"/>
      <c r="F226" s="467">
        <f>D226+E226</f>
        <v>0</v>
      </c>
      <c r="G226" s="467">
        <v>0</v>
      </c>
      <c r="H226" s="467">
        <f>+F226-G226</f>
        <v>0</v>
      </c>
      <c r="I226" s="467">
        <f>H226</f>
        <v>0</v>
      </c>
      <c r="J226" s="467"/>
      <c r="K226" s="467"/>
      <c r="L226" s="467">
        <v>0</v>
      </c>
      <c r="M226" s="467"/>
      <c r="N226" s="467"/>
      <c r="O226" s="467"/>
      <c r="P226" s="467"/>
      <c r="Q226" s="467"/>
      <c r="R226" s="62"/>
      <c r="S226" s="62">
        <f t="shared" si="81"/>
        <v>0</v>
      </c>
      <c r="T226" s="62">
        <f t="shared" si="82"/>
        <v>0</v>
      </c>
      <c r="U226" s="62"/>
    </row>
    <row r="227" spans="1:37" s="1" customFormat="1" x14ac:dyDescent="0.3">
      <c r="A227" s="461">
        <v>908</v>
      </c>
      <c r="B227" s="466" t="s">
        <v>713</v>
      </c>
      <c r="C227" s="466"/>
      <c r="D227" s="467">
        <v>2744658.58</v>
      </c>
      <c r="E227" s="62"/>
      <c r="F227" s="467">
        <f>D227+E227</f>
        <v>2744658.58</v>
      </c>
      <c r="G227" s="467">
        <v>0</v>
      </c>
      <c r="H227" s="467">
        <f>+F227-G227</f>
        <v>2744658.58</v>
      </c>
      <c r="I227" s="467">
        <f>H227</f>
        <v>2744658.58</v>
      </c>
      <c r="J227" s="467"/>
      <c r="K227" s="467"/>
      <c r="L227" s="467">
        <v>0</v>
      </c>
      <c r="M227" s="467"/>
      <c r="N227" s="467"/>
      <c r="O227" s="467">
        <f>I227</f>
        <v>2744658.58</v>
      </c>
      <c r="P227" s="467"/>
      <c r="Q227" s="467"/>
      <c r="R227" s="62"/>
      <c r="S227" s="62">
        <f t="shared" si="81"/>
        <v>2744658.58</v>
      </c>
      <c r="T227" s="62">
        <f t="shared" si="82"/>
        <v>0</v>
      </c>
      <c r="U227" s="62"/>
    </row>
    <row r="228" spans="1:37" s="1" customFormat="1" x14ac:dyDescent="0.3">
      <c r="A228" s="461">
        <v>909</v>
      </c>
      <c r="B228" s="461" t="s">
        <v>715</v>
      </c>
      <c r="C228" s="461"/>
      <c r="D228" s="467">
        <v>0</v>
      </c>
      <c r="E228" s="62"/>
      <c r="F228" s="467">
        <f>D228+E228</f>
        <v>0</v>
      </c>
      <c r="G228" s="467">
        <v>0</v>
      </c>
      <c r="H228" s="467">
        <f>+F228-G228</f>
        <v>0</v>
      </c>
      <c r="I228" s="467">
        <f>H228</f>
        <v>0</v>
      </c>
      <c r="J228" s="467"/>
      <c r="K228" s="467"/>
      <c r="L228" s="467">
        <f>I228</f>
        <v>0</v>
      </c>
      <c r="M228" s="467"/>
      <c r="N228" s="467"/>
      <c r="O228" s="467"/>
      <c r="P228" s="467"/>
      <c r="Q228" s="467"/>
      <c r="R228" s="62"/>
      <c r="S228" s="62">
        <f t="shared" si="81"/>
        <v>0</v>
      </c>
      <c r="T228" s="62">
        <f t="shared" si="82"/>
        <v>0</v>
      </c>
      <c r="U228" s="62"/>
    </row>
    <row r="229" spans="1:37" s="1" customFormat="1" ht="14.5" x14ac:dyDescent="0.45">
      <c r="A229" s="461">
        <v>910</v>
      </c>
      <c r="B229" s="461" t="s">
        <v>717</v>
      </c>
      <c r="C229" s="461" t="s">
        <v>829</v>
      </c>
      <c r="D229" s="471">
        <v>0</v>
      </c>
      <c r="E229" s="62"/>
      <c r="F229" s="471">
        <f>D229+E229</f>
        <v>0</v>
      </c>
      <c r="G229" s="471">
        <f>IF(F231=0,(G223/$F223)*$F229,G231/$F231*$F229)</f>
        <v>0</v>
      </c>
      <c r="H229" s="471">
        <f>+F229-G229</f>
        <v>0</v>
      </c>
      <c r="I229" s="471">
        <f>H229</f>
        <v>0</v>
      </c>
      <c r="J229" s="471">
        <v>0</v>
      </c>
      <c r="K229" s="471">
        <v>0</v>
      </c>
      <c r="L229" s="471">
        <v>0</v>
      </c>
      <c r="M229" s="471">
        <v>0</v>
      </c>
      <c r="N229" s="471">
        <v>0</v>
      </c>
      <c r="O229" s="471">
        <f>I229</f>
        <v>0</v>
      </c>
      <c r="P229" s="471">
        <v>0</v>
      </c>
      <c r="Q229" s="471">
        <v>0</v>
      </c>
      <c r="R229" s="62"/>
      <c r="S229" s="62">
        <f t="shared" si="81"/>
        <v>0</v>
      </c>
      <c r="T229" s="62">
        <f t="shared" si="82"/>
        <v>0</v>
      </c>
      <c r="U229" s="62"/>
    </row>
    <row r="230" spans="1:37" s="1" customFormat="1" x14ac:dyDescent="0.3">
      <c r="A230" s="461"/>
      <c r="B230" s="474" t="s">
        <v>524</v>
      </c>
      <c r="C230" s="474"/>
      <c r="D230" s="171">
        <f>SUM(D225:D229)</f>
        <v>2744658.58</v>
      </c>
      <c r="E230" s="171">
        <f>SUM(E225:E229)</f>
        <v>0</v>
      </c>
      <c r="F230" s="467">
        <f>SUM(F226:F229)</f>
        <v>2744658.58</v>
      </c>
      <c r="G230" s="467">
        <f>SUM(G226:G229)</f>
        <v>0</v>
      </c>
      <c r="H230" s="467">
        <f t="shared" ref="H230:Q230" si="83">SUM(H225:H229)</f>
        <v>2744658.58</v>
      </c>
      <c r="I230" s="467">
        <f t="shared" si="83"/>
        <v>2744658.58</v>
      </c>
      <c r="J230" s="467">
        <f t="shared" si="83"/>
        <v>0</v>
      </c>
      <c r="K230" s="467">
        <f t="shared" si="83"/>
        <v>0</v>
      </c>
      <c r="L230" s="467">
        <f t="shared" si="83"/>
        <v>0</v>
      </c>
      <c r="M230" s="467">
        <f t="shared" si="83"/>
        <v>0</v>
      </c>
      <c r="N230" s="467">
        <f t="shared" si="83"/>
        <v>0</v>
      </c>
      <c r="O230" s="467">
        <f t="shared" si="83"/>
        <v>2744658.58</v>
      </c>
      <c r="P230" s="467">
        <f t="shared" si="83"/>
        <v>0</v>
      </c>
      <c r="Q230" s="467">
        <f t="shared" si="83"/>
        <v>0</v>
      </c>
      <c r="R230" s="171"/>
      <c r="S230" s="62">
        <f t="shared" si="81"/>
        <v>2744658.58</v>
      </c>
      <c r="T230" s="62">
        <f t="shared" si="82"/>
        <v>0</v>
      </c>
      <c r="U230" s="62"/>
    </row>
    <row r="231" spans="1:37" s="1" customFormat="1" x14ac:dyDescent="0.3">
      <c r="A231" s="461" t="s">
        <v>1208</v>
      </c>
      <c r="B231" s="461" t="s">
        <v>829</v>
      </c>
      <c r="C231" s="474"/>
      <c r="D231" s="171"/>
      <c r="E231" s="62"/>
      <c r="F231" s="62"/>
      <c r="G231" s="171"/>
      <c r="H231" s="171">
        <f t="shared" ref="H231:Q231" si="84">SUM(H225:H225,H227:H228)</f>
        <v>2744658.58</v>
      </c>
      <c r="I231" s="171">
        <f t="shared" si="84"/>
        <v>2744658.58</v>
      </c>
      <c r="J231" s="171">
        <f t="shared" si="84"/>
        <v>0</v>
      </c>
      <c r="K231" s="171">
        <f t="shared" si="84"/>
        <v>0</v>
      </c>
      <c r="L231" s="171">
        <f t="shared" si="84"/>
        <v>0</v>
      </c>
      <c r="M231" s="171">
        <f t="shared" si="84"/>
        <v>0</v>
      </c>
      <c r="N231" s="171">
        <f t="shared" si="84"/>
        <v>0</v>
      </c>
      <c r="O231" s="171">
        <f t="shared" si="84"/>
        <v>2744658.58</v>
      </c>
      <c r="P231" s="171">
        <f t="shared" si="84"/>
        <v>0</v>
      </c>
      <c r="Q231" s="171">
        <f t="shared" si="84"/>
        <v>0</v>
      </c>
      <c r="R231" s="171"/>
      <c r="S231" s="62"/>
      <c r="T231" s="62"/>
      <c r="U231" s="62"/>
    </row>
    <row r="232" spans="1:37" s="1" customFormat="1" x14ac:dyDescent="0.3">
      <c r="A232" s="461"/>
      <c r="B232" s="483" t="s">
        <v>718</v>
      </c>
      <c r="C232" s="483"/>
      <c r="D232" s="171"/>
      <c r="E232" s="62"/>
      <c r="F232" s="62"/>
      <c r="G232" s="171"/>
      <c r="H232" s="171"/>
      <c r="I232" s="62"/>
      <c r="J232" s="171"/>
      <c r="K232" s="171"/>
      <c r="L232" s="171"/>
      <c r="M232" s="171"/>
      <c r="N232" s="171"/>
      <c r="O232" s="171"/>
      <c r="P232" s="171"/>
      <c r="Q232" s="171"/>
      <c r="R232" s="171"/>
      <c r="S232" s="62"/>
      <c r="T232" s="62"/>
      <c r="U232" s="62"/>
    </row>
    <row r="233" spans="1:37" x14ac:dyDescent="0.3">
      <c r="A233" s="461">
        <v>911</v>
      </c>
      <c r="B233" s="484" t="s">
        <v>1068</v>
      </c>
      <c r="C233" s="483"/>
      <c r="D233" s="467">
        <v>0</v>
      </c>
      <c r="E233" s="467"/>
      <c r="F233" s="467">
        <f t="shared" ref="F233:F239" si="85">D233+E233</f>
        <v>0</v>
      </c>
      <c r="G233" s="467">
        <v>0</v>
      </c>
      <c r="H233" s="467">
        <f t="shared" ref="H233:H239" si="86">+F233-G233</f>
        <v>0</v>
      </c>
      <c r="I233" s="467">
        <f t="shared" ref="I233:I239" si="87">H233</f>
        <v>0</v>
      </c>
      <c r="J233" s="467"/>
      <c r="K233" s="467"/>
      <c r="L233" s="467"/>
      <c r="M233" s="467"/>
      <c r="N233" s="467"/>
      <c r="O233" s="467"/>
      <c r="P233" s="467">
        <f>I233</f>
        <v>0</v>
      </c>
      <c r="Q233" s="467"/>
      <c r="R233" s="171"/>
      <c r="S233" s="62">
        <f t="shared" ref="S233" si="88">SUM(J233:Q233)</f>
        <v>0</v>
      </c>
      <c r="T233" s="62">
        <f t="shared" ref="T233" si="89">H233-S233</f>
        <v>0</v>
      </c>
      <c r="U233" s="62"/>
    </row>
    <row r="234" spans="1:37" x14ac:dyDescent="0.3">
      <c r="A234" s="465">
        <v>912</v>
      </c>
      <c r="B234" s="485" t="s">
        <v>719</v>
      </c>
      <c r="C234" s="483"/>
      <c r="D234" s="467">
        <v>0</v>
      </c>
      <c r="E234" s="467"/>
      <c r="F234" s="467"/>
      <c r="G234" s="467">
        <v>0</v>
      </c>
      <c r="H234" s="467"/>
      <c r="I234" s="467"/>
      <c r="J234" s="467"/>
      <c r="K234" s="467"/>
      <c r="L234" s="467"/>
      <c r="M234" s="467"/>
      <c r="N234" s="467"/>
      <c r="O234" s="467"/>
      <c r="P234" s="467"/>
      <c r="Q234" s="467"/>
      <c r="R234" s="171"/>
      <c r="S234" s="62"/>
      <c r="T234" s="62"/>
      <c r="U234" s="62"/>
    </row>
    <row r="235" spans="1:37" x14ac:dyDescent="0.3">
      <c r="A235" s="461">
        <v>913</v>
      </c>
      <c r="B235" s="243" t="s">
        <v>1331</v>
      </c>
      <c r="C235" s="243"/>
      <c r="D235" s="467">
        <v>0</v>
      </c>
      <c r="E235" s="467"/>
      <c r="F235" s="467">
        <f t="shared" si="85"/>
        <v>0</v>
      </c>
      <c r="G235" s="467">
        <v>0</v>
      </c>
      <c r="H235" s="467">
        <f t="shared" si="86"/>
        <v>0</v>
      </c>
      <c r="I235" s="467">
        <f t="shared" si="87"/>
        <v>0</v>
      </c>
      <c r="J235" s="467"/>
      <c r="K235" s="467"/>
      <c r="L235" s="467"/>
      <c r="M235" s="467"/>
      <c r="N235" s="467"/>
      <c r="O235" s="467"/>
      <c r="P235" s="467">
        <f>I235</f>
        <v>0</v>
      </c>
      <c r="Q235" s="467"/>
      <c r="R235" s="171"/>
      <c r="S235" s="62">
        <f t="shared" ref="S235:S240" si="90">SUM(J235:Q235)</f>
        <v>0</v>
      </c>
      <c r="T235" s="62">
        <f t="shared" ref="T235:T240" si="91">H235-S235</f>
        <v>0</v>
      </c>
      <c r="U235" s="62"/>
    </row>
    <row r="236" spans="1:37" s="1" customFormat="1" x14ac:dyDescent="0.3">
      <c r="A236" s="461">
        <v>915</v>
      </c>
      <c r="B236" s="243" t="s">
        <v>892</v>
      </c>
      <c r="C236" s="243"/>
      <c r="D236" s="467">
        <v>156647.97</v>
      </c>
      <c r="E236" s="467"/>
      <c r="F236" s="467">
        <f t="shared" si="85"/>
        <v>156647.97</v>
      </c>
      <c r="G236" s="467">
        <v>0</v>
      </c>
      <c r="H236" s="467">
        <f t="shared" si="86"/>
        <v>156647.97</v>
      </c>
      <c r="I236" s="467">
        <f t="shared" si="87"/>
        <v>156647.97</v>
      </c>
      <c r="J236" s="467"/>
      <c r="K236" s="467"/>
      <c r="L236" s="467"/>
      <c r="M236" s="467"/>
      <c r="N236" s="467"/>
      <c r="O236" s="467"/>
      <c r="P236" s="467">
        <f>I236</f>
        <v>156647.97</v>
      </c>
      <c r="Q236" s="467"/>
      <c r="R236" s="171"/>
      <c r="S236" s="62">
        <f t="shared" si="90"/>
        <v>156647.97</v>
      </c>
      <c r="T236" s="62">
        <f t="shared" si="91"/>
        <v>0</v>
      </c>
      <c r="U236" s="62"/>
      <c r="AK236" s="4"/>
    </row>
    <row r="237" spans="1:37" s="1" customFormat="1" x14ac:dyDescent="0.3">
      <c r="A237" s="461">
        <v>916</v>
      </c>
      <c r="B237" s="243" t="s">
        <v>722</v>
      </c>
      <c r="C237" s="243"/>
      <c r="D237" s="467">
        <v>1573288.71</v>
      </c>
      <c r="E237" s="467"/>
      <c r="F237" s="467">
        <f t="shared" si="85"/>
        <v>1573288.71</v>
      </c>
      <c r="G237" s="467">
        <v>45003.51</v>
      </c>
      <c r="H237" s="467">
        <f t="shared" si="86"/>
        <v>1528285.2</v>
      </c>
      <c r="I237" s="467">
        <f t="shared" si="87"/>
        <v>1528285.2</v>
      </c>
      <c r="J237" s="467"/>
      <c r="K237" s="467"/>
      <c r="L237" s="467"/>
      <c r="M237" s="467"/>
      <c r="N237" s="467"/>
      <c r="O237" s="467"/>
      <c r="P237" s="467">
        <f>I237</f>
        <v>1528285.2</v>
      </c>
      <c r="Q237" s="467"/>
      <c r="R237" s="171"/>
      <c r="S237" s="62">
        <f t="shared" si="90"/>
        <v>1528285.2</v>
      </c>
      <c r="T237" s="62">
        <f t="shared" si="91"/>
        <v>0</v>
      </c>
      <c r="U237" s="62"/>
      <c r="AK237" s="4"/>
    </row>
    <row r="238" spans="1:37" s="1" customFormat="1" x14ac:dyDescent="0.3">
      <c r="A238" s="461">
        <v>917</v>
      </c>
      <c r="B238" s="243" t="s">
        <v>718</v>
      </c>
      <c r="C238" s="243"/>
      <c r="D238" s="467">
        <v>679724.69</v>
      </c>
      <c r="E238" s="467"/>
      <c r="F238" s="467">
        <f t="shared" si="85"/>
        <v>679724.69</v>
      </c>
      <c r="G238" s="467">
        <v>0</v>
      </c>
      <c r="H238" s="467">
        <f t="shared" si="86"/>
        <v>679724.69</v>
      </c>
      <c r="I238" s="467">
        <f t="shared" si="87"/>
        <v>679724.69</v>
      </c>
      <c r="J238" s="467"/>
      <c r="K238" s="467"/>
      <c r="L238" s="467"/>
      <c r="M238" s="467"/>
      <c r="N238" s="467"/>
      <c r="O238" s="467"/>
      <c r="P238" s="467">
        <f>I238</f>
        <v>679724.69</v>
      </c>
      <c r="Q238" s="467"/>
      <c r="R238" s="171"/>
      <c r="S238" s="62">
        <f t="shared" si="90"/>
        <v>679724.69</v>
      </c>
      <c r="T238" s="62">
        <f t="shared" si="91"/>
        <v>0</v>
      </c>
      <c r="U238" s="62"/>
      <c r="AK238" s="4"/>
    </row>
    <row r="239" spans="1:37" s="1" customFormat="1" ht="14.5" x14ac:dyDescent="0.45">
      <c r="A239" s="461">
        <v>918</v>
      </c>
      <c r="B239" s="243" t="s">
        <v>722</v>
      </c>
      <c r="C239" s="243"/>
      <c r="D239" s="471">
        <v>8740183.8599999994</v>
      </c>
      <c r="E239" s="471">
        <v>0</v>
      </c>
      <c r="F239" s="471">
        <f t="shared" si="85"/>
        <v>8740183.8599999994</v>
      </c>
      <c r="G239" s="471">
        <v>0</v>
      </c>
      <c r="H239" s="471">
        <f t="shared" si="86"/>
        <v>8740183.8599999994</v>
      </c>
      <c r="I239" s="471">
        <f t="shared" si="87"/>
        <v>8740183.8599999994</v>
      </c>
      <c r="J239" s="471"/>
      <c r="K239" s="471"/>
      <c r="L239" s="471">
        <f>'3a. OM_AG-i'!L239</f>
        <v>0</v>
      </c>
      <c r="M239" s="471"/>
      <c r="N239" s="471"/>
      <c r="O239" s="471"/>
      <c r="P239" s="471">
        <f>I239</f>
        <v>8740183.8599999994</v>
      </c>
      <c r="Q239" s="471"/>
      <c r="R239" s="171"/>
      <c r="S239" s="62">
        <f t="shared" si="90"/>
        <v>8740183.8599999994</v>
      </c>
      <c r="T239" s="62">
        <f t="shared" si="91"/>
        <v>0</v>
      </c>
      <c r="U239" s="62"/>
    </row>
    <row r="240" spans="1:37" s="1" customFormat="1" x14ac:dyDescent="0.3">
      <c r="A240" s="461"/>
      <c r="B240" s="486" t="s">
        <v>524</v>
      </c>
      <c r="C240" s="486"/>
      <c r="D240" s="171">
        <f>SUM(D233:D239)</f>
        <v>11149845.23</v>
      </c>
      <c r="E240" s="171">
        <f t="shared" ref="E240:Q240" si="92">SUM(E233:E239)</f>
        <v>0</v>
      </c>
      <c r="F240" s="171">
        <f t="shared" si="92"/>
        <v>11149845.23</v>
      </c>
      <c r="G240" s="171">
        <f t="shared" si="92"/>
        <v>45003.51</v>
      </c>
      <c r="H240" s="171">
        <f>SUM(H233:H239)</f>
        <v>11104841.719999999</v>
      </c>
      <c r="I240" s="171">
        <f t="shared" si="92"/>
        <v>11104841.719999999</v>
      </c>
      <c r="J240" s="171">
        <f t="shared" si="92"/>
        <v>0</v>
      </c>
      <c r="K240" s="171">
        <f t="shared" si="92"/>
        <v>0</v>
      </c>
      <c r="L240" s="171">
        <f t="shared" si="92"/>
        <v>0</v>
      </c>
      <c r="M240" s="171">
        <f t="shared" si="92"/>
        <v>0</v>
      </c>
      <c r="N240" s="171">
        <f t="shared" si="92"/>
        <v>0</v>
      </c>
      <c r="O240" s="171">
        <f t="shared" si="92"/>
        <v>0</v>
      </c>
      <c r="P240" s="171">
        <f t="shared" si="92"/>
        <v>11104841.719999999</v>
      </c>
      <c r="Q240" s="171">
        <f t="shared" si="92"/>
        <v>0</v>
      </c>
      <c r="R240" s="171"/>
      <c r="S240" s="62">
        <f t="shared" si="90"/>
        <v>11104841.719999999</v>
      </c>
      <c r="T240" s="62">
        <f t="shared" si="91"/>
        <v>0</v>
      </c>
      <c r="U240" s="62"/>
    </row>
    <row r="241" spans="1:37" s="1" customFormat="1" x14ac:dyDescent="0.3">
      <c r="A241" s="461">
        <v>912913917</v>
      </c>
      <c r="B241" s="243" t="s">
        <v>831</v>
      </c>
      <c r="C241" s="474"/>
      <c r="D241" s="171">
        <f t="shared" ref="D241:I241" si="93">SUM(D235,D238)</f>
        <v>679724.69</v>
      </c>
      <c r="E241" s="171">
        <f t="shared" si="93"/>
        <v>0</v>
      </c>
      <c r="F241" s="171">
        <f t="shared" si="93"/>
        <v>679724.69</v>
      </c>
      <c r="G241" s="171">
        <f t="shared" si="93"/>
        <v>0</v>
      </c>
      <c r="H241" s="171">
        <f t="shared" si="93"/>
        <v>679724.69</v>
      </c>
      <c r="I241" s="171">
        <f t="shared" si="93"/>
        <v>679724.69</v>
      </c>
      <c r="J241" s="171">
        <f t="shared" ref="J241:Q241" si="94">SUM(J235,J238)</f>
        <v>0</v>
      </c>
      <c r="K241" s="171">
        <f t="shared" si="94"/>
        <v>0</v>
      </c>
      <c r="L241" s="171">
        <f t="shared" si="94"/>
        <v>0</v>
      </c>
      <c r="M241" s="171">
        <f t="shared" si="94"/>
        <v>0</v>
      </c>
      <c r="N241" s="171">
        <f t="shared" si="94"/>
        <v>0</v>
      </c>
      <c r="O241" s="171">
        <f t="shared" si="94"/>
        <v>0</v>
      </c>
      <c r="P241" s="171">
        <f t="shared" si="94"/>
        <v>679724.69</v>
      </c>
      <c r="Q241" s="171">
        <f t="shared" si="94"/>
        <v>0</v>
      </c>
      <c r="R241" s="171"/>
      <c r="S241" s="62"/>
      <c r="T241" s="62"/>
      <c r="U241" s="62"/>
    </row>
    <row r="242" spans="1:37" s="1" customFormat="1" x14ac:dyDescent="0.3">
      <c r="A242" s="461"/>
      <c r="B242" s="487" t="s">
        <v>834</v>
      </c>
      <c r="C242" s="487"/>
      <c r="D242" s="171">
        <f t="shared" ref="D242:Q242" si="95">D222+D230+D240</f>
        <v>51327705.25999999</v>
      </c>
      <c r="E242" s="171">
        <f t="shared" si="95"/>
        <v>0</v>
      </c>
      <c r="F242" s="171">
        <f t="shared" si="95"/>
        <v>51327705.25999999</v>
      </c>
      <c r="G242" s="171">
        <f t="shared" si="95"/>
        <v>7560338.293376212</v>
      </c>
      <c r="H242" s="171">
        <f t="shared" si="95"/>
        <v>43767366.966623783</v>
      </c>
      <c r="I242" s="171">
        <f t="shared" si="95"/>
        <v>43767366.966623783</v>
      </c>
      <c r="J242" s="171">
        <f t="shared" si="95"/>
        <v>0</v>
      </c>
      <c r="K242" s="171">
        <f t="shared" si="95"/>
        <v>0</v>
      </c>
      <c r="L242" s="171">
        <f t="shared" si="95"/>
        <v>0</v>
      </c>
      <c r="M242" s="171">
        <f t="shared" si="95"/>
        <v>8730844.6111512706</v>
      </c>
      <c r="N242" s="171">
        <f t="shared" si="95"/>
        <v>5156971.9561113566</v>
      </c>
      <c r="O242" s="171">
        <f t="shared" si="95"/>
        <v>18774708.679361157</v>
      </c>
      <c r="P242" s="171">
        <f t="shared" si="95"/>
        <v>11104841.719999999</v>
      </c>
      <c r="Q242" s="171">
        <f t="shared" si="95"/>
        <v>0</v>
      </c>
      <c r="R242" s="171"/>
      <c r="S242" s="62">
        <f>SUM(J242:Q242)</f>
        <v>43767366.966623783</v>
      </c>
      <c r="T242" s="62">
        <f>H242-S242</f>
        <v>0</v>
      </c>
      <c r="U242" s="62"/>
    </row>
    <row r="243" spans="1:37" s="1" customFormat="1" x14ac:dyDescent="0.3">
      <c r="A243" s="461" t="s">
        <v>836</v>
      </c>
      <c r="B243" s="479" t="s">
        <v>884</v>
      </c>
      <c r="C243" s="461"/>
      <c r="D243" s="171">
        <f t="shared" ref="D243:Q243" si="96">D152+D211+D242</f>
        <v>398018568.98000002</v>
      </c>
      <c r="E243" s="171">
        <f t="shared" si="96"/>
        <v>0</v>
      </c>
      <c r="F243" s="171">
        <f t="shared" si="96"/>
        <v>398018568.98000002</v>
      </c>
      <c r="G243" s="171">
        <f t="shared" si="96"/>
        <v>28043339.343376208</v>
      </c>
      <c r="H243" s="171">
        <f t="shared" si="96"/>
        <v>369975229.6366238</v>
      </c>
      <c r="I243" s="171">
        <f t="shared" si="96"/>
        <v>369975229.6366238</v>
      </c>
      <c r="J243" s="171">
        <f t="shared" si="96"/>
        <v>213001170.19</v>
      </c>
      <c r="K243" s="171">
        <f t="shared" si="96"/>
        <v>18822174.359999999</v>
      </c>
      <c r="L243" s="171">
        <f t="shared" si="96"/>
        <v>83409257.848725498</v>
      </c>
      <c r="M243" s="171">
        <f t="shared" si="96"/>
        <v>19706104.882425778</v>
      </c>
      <c r="N243" s="171">
        <f t="shared" si="96"/>
        <v>5156971.9561113566</v>
      </c>
      <c r="O243" s="171">
        <f t="shared" si="96"/>
        <v>18774708.679361157</v>
      </c>
      <c r="P243" s="171">
        <f t="shared" si="96"/>
        <v>11104841.719999999</v>
      </c>
      <c r="Q243" s="171">
        <f t="shared" si="96"/>
        <v>0</v>
      </c>
      <c r="R243" s="171"/>
      <c r="S243" s="62">
        <f>SUM(J243:Q243)</f>
        <v>369975229.63662386</v>
      </c>
      <c r="T243" s="62">
        <f>H243-S243</f>
        <v>0</v>
      </c>
      <c r="U243" s="62"/>
    </row>
    <row r="244" spans="1:37" s="1" customFormat="1" x14ac:dyDescent="0.3">
      <c r="A244" s="461" t="s">
        <v>919</v>
      </c>
      <c r="B244" s="479"/>
      <c r="C244" s="461"/>
      <c r="D244" s="680">
        <v>398018568.98000002</v>
      </c>
      <c r="E244" s="680">
        <v>0</v>
      </c>
      <c r="F244" s="680">
        <v>398018568.98000002</v>
      </c>
      <c r="G244" s="680">
        <v>28043339.343376208</v>
      </c>
      <c r="H244" s="680">
        <v>369975229.6366238</v>
      </c>
      <c r="I244" s="680">
        <v>369975229.6366238</v>
      </c>
      <c r="J244" s="680">
        <v>213001170.19</v>
      </c>
      <c r="K244" s="680">
        <v>18822174.359999999</v>
      </c>
      <c r="L244" s="680">
        <v>83409257.848725498</v>
      </c>
      <c r="M244" s="680">
        <v>19706104.882425778</v>
      </c>
      <c r="N244" s="680">
        <v>5156971.9561113566</v>
      </c>
      <c r="O244" s="680">
        <v>18774708.679361157</v>
      </c>
      <c r="P244" s="680">
        <v>11104841.719999999</v>
      </c>
      <c r="Q244" s="680">
        <v>0</v>
      </c>
      <c r="R244" s="171"/>
      <c r="S244" s="62">
        <f>SUM(J244:Q244)</f>
        <v>369975229.63662386</v>
      </c>
      <c r="T244" s="62">
        <f>H244-S244</f>
        <v>0</v>
      </c>
      <c r="U244" s="62"/>
    </row>
    <row r="245" spans="1:37" s="1" customFormat="1" x14ac:dyDescent="0.3">
      <c r="A245" s="461"/>
      <c r="B245" s="479"/>
      <c r="C245" s="461"/>
      <c r="D245" s="171"/>
      <c r="E245" s="171"/>
      <c r="F245" s="171"/>
      <c r="G245" s="171"/>
      <c r="H245" s="171"/>
      <c r="I245" s="171"/>
      <c r="J245" s="171"/>
      <c r="K245" s="171"/>
      <c r="L245" s="171"/>
      <c r="M245" s="171"/>
      <c r="N245" s="171"/>
      <c r="O245" s="171"/>
      <c r="P245" s="171"/>
      <c r="Q245" s="171"/>
      <c r="R245" s="171"/>
      <c r="S245" s="62"/>
      <c r="T245" s="62"/>
      <c r="U245" s="62"/>
    </row>
    <row r="246" spans="1:37" s="1" customFormat="1" x14ac:dyDescent="0.3">
      <c r="A246" s="461"/>
      <c r="B246" s="479"/>
      <c r="C246" s="461"/>
      <c r="D246" s="171"/>
      <c r="E246" s="171"/>
      <c r="F246" s="171"/>
      <c r="G246" s="171"/>
      <c r="H246" s="171"/>
      <c r="I246" s="171"/>
      <c r="J246" s="171"/>
      <c r="K246" s="171"/>
      <c r="L246" s="171"/>
      <c r="M246" s="171"/>
      <c r="N246" s="171"/>
      <c r="O246" s="171"/>
      <c r="P246" s="171"/>
      <c r="Q246" s="171"/>
      <c r="R246" s="171"/>
      <c r="S246" s="62"/>
      <c r="T246" s="62"/>
      <c r="U246" s="62"/>
    </row>
    <row r="247" spans="1:37" s="1" customFormat="1" x14ac:dyDescent="0.3">
      <c r="A247" s="461"/>
      <c r="B247" s="479"/>
      <c r="C247" s="461"/>
      <c r="D247" s="171"/>
      <c r="E247" s="171"/>
      <c r="F247" s="171"/>
      <c r="G247" s="171"/>
      <c r="H247" s="171"/>
      <c r="I247" s="171"/>
      <c r="J247" s="171"/>
      <c r="K247" s="171"/>
      <c r="L247" s="171"/>
      <c r="M247" s="171"/>
      <c r="N247" s="171"/>
      <c r="O247" s="171"/>
      <c r="P247" s="171"/>
      <c r="Q247" s="171"/>
      <c r="R247" s="171"/>
      <c r="S247" s="62"/>
      <c r="T247" s="62"/>
      <c r="U247" s="62"/>
    </row>
    <row r="248" spans="1:37" s="1" customFormat="1" x14ac:dyDescent="0.3">
      <c r="A248" s="479" t="s">
        <v>1332</v>
      </c>
      <c r="B248" s="461"/>
      <c r="C248" s="461"/>
      <c r="D248" s="171"/>
      <c r="E248" s="62"/>
      <c r="F248" s="62"/>
      <c r="G248" s="171"/>
      <c r="H248" s="171"/>
      <c r="I248" s="62"/>
      <c r="J248" s="171"/>
      <c r="K248" s="171"/>
      <c r="L248" s="171"/>
      <c r="M248" s="171"/>
      <c r="N248" s="171"/>
      <c r="O248" s="171"/>
      <c r="P248" s="171"/>
      <c r="Q248" s="171"/>
      <c r="R248" s="171"/>
      <c r="S248" s="62"/>
      <c r="T248" s="62"/>
      <c r="U248" s="62"/>
    </row>
    <row r="249" spans="1:37" x14ac:dyDescent="0.3">
      <c r="A249" s="461">
        <v>920</v>
      </c>
      <c r="B249" s="461" t="s">
        <v>725</v>
      </c>
      <c r="C249" s="461" t="s">
        <v>835</v>
      </c>
      <c r="D249" s="171">
        <v>27263633.57</v>
      </c>
      <c r="E249" s="171"/>
      <c r="F249" s="171">
        <f t="shared" ref="F249:F254" si="97">D249+E249</f>
        <v>27263633.57</v>
      </c>
      <c r="G249" s="171">
        <v>1803744.16</v>
      </c>
      <c r="H249" s="171">
        <f t="shared" ref="H249:H254" si="98">+F249-G249</f>
        <v>25459889.41</v>
      </c>
      <c r="I249" s="171">
        <f t="shared" ref="I249:I254" si="99">H249</f>
        <v>25459889.41</v>
      </c>
      <c r="J249" s="171">
        <f>$I249*'7a. LX_AG-i'!J$246</f>
        <v>8136724.4874162078</v>
      </c>
      <c r="K249" s="171">
        <f>$I249*'7a. LX_AG-i'!K$246</f>
        <v>2772607.1197219491</v>
      </c>
      <c r="L249" s="171">
        <f>$I249*'7a. LX_AG-i'!L$246</f>
        <v>11426196.545812767</v>
      </c>
      <c r="M249" s="171">
        <f>$I249*'7a. LX_AG-i'!M$246</f>
        <v>994276.52614300488</v>
      </c>
      <c r="N249" s="171">
        <f>$I249*'7a. LX_AG-i'!N$246</f>
        <v>377926.43644693447</v>
      </c>
      <c r="O249" s="171">
        <f>$I249*'7a. LX_AG-i'!O$246</f>
        <v>1127081.7737361239</v>
      </c>
      <c r="P249" s="171">
        <f>$I249*'7a. LX_AG-i'!P$246</f>
        <v>625076.52072301728</v>
      </c>
      <c r="Q249" s="171">
        <f>$I249*'7a. LX_AG-i'!Q$246</f>
        <v>0</v>
      </c>
      <c r="R249" s="481"/>
      <c r="S249" s="62">
        <f>SUM(J249:Q249)</f>
        <v>25459889.410000004</v>
      </c>
      <c r="T249" s="62">
        <f t="shared" ref="T249:T275" si="100">H249-S249</f>
        <v>0</v>
      </c>
      <c r="U249" s="62"/>
    </row>
    <row r="250" spans="1:37" x14ac:dyDescent="0.3">
      <c r="A250" s="461" t="s">
        <v>1209</v>
      </c>
      <c r="B250" s="461" t="s">
        <v>58</v>
      </c>
      <c r="C250" s="484" t="s">
        <v>105</v>
      </c>
      <c r="D250" s="696"/>
      <c r="E250" s="678"/>
      <c r="F250" s="696"/>
      <c r="G250" s="696"/>
      <c r="H250" s="696"/>
      <c r="I250" s="696"/>
      <c r="J250" s="696"/>
      <c r="K250" s="696"/>
      <c r="L250" s="696"/>
      <c r="M250" s="696"/>
      <c r="N250" s="696"/>
      <c r="O250" s="696"/>
      <c r="P250" s="696"/>
      <c r="Q250" s="696"/>
      <c r="R250" s="481"/>
      <c r="S250" s="62">
        <f t="shared" ref="S250:S274" si="101">SUM(J250:Q250)</f>
        <v>0</v>
      </c>
      <c r="T250" s="62">
        <f t="shared" si="100"/>
        <v>0</v>
      </c>
      <c r="U250" s="62"/>
    </row>
    <row r="251" spans="1:37" x14ac:dyDescent="0.3">
      <c r="A251" s="461">
        <v>921</v>
      </c>
      <c r="B251" s="461" t="s">
        <v>727</v>
      </c>
      <c r="C251" s="461" t="s">
        <v>835</v>
      </c>
      <c r="D251" s="171">
        <v>2570122.8200000003</v>
      </c>
      <c r="E251" s="171"/>
      <c r="F251" s="171">
        <f t="shared" si="97"/>
        <v>2570122.8200000003</v>
      </c>
      <c r="G251" s="171">
        <v>177654.18</v>
      </c>
      <c r="H251" s="171">
        <f t="shared" si="98"/>
        <v>2392468.64</v>
      </c>
      <c r="I251" s="171">
        <f t="shared" si="99"/>
        <v>2392468.64</v>
      </c>
      <c r="J251" s="171">
        <f>$I251*'7a. LX_AG-i'!J$246</f>
        <v>764608.90520668414</v>
      </c>
      <c r="K251" s="171">
        <f>$I251*'7a. LX_AG-i'!K$246</f>
        <v>260542.19946336714</v>
      </c>
      <c r="L251" s="171">
        <f>$I251*'7a. LX_AG-i'!L$246</f>
        <v>1073720.9604530395</v>
      </c>
      <c r="M251" s="171">
        <f>$I251*'7a. LX_AG-i'!M$246</f>
        <v>93432.275764361999</v>
      </c>
      <c r="N251" s="171">
        <f>$I251*'7a. LX_AG-i'!N$246</f>
        <v>35513.789273220718</v>
      </c>
      <c r="O251" s="171">
        <f>$I251*'7a. LX_AG-i'!O$246</f>
        <v>105911.99965386071</v>
      </c>
      <c r="P251" s="171">
        <f>$I251*'7a. LX_AG-i'!P$246</f>
        <v>58738.510185466243</v>
      </c>
      <c r="Q251" s="171">
        <f>$I251*'7a. LX_AG-i'!Q$246</f>
        <v>0</v>
      </c>
      <c r="R251" s="481"/>
      <c r="S251" s="62">
        <f t="shared" si="101"/>
        <v>2392468.64</v>
      </c>
      <c r="T251" s="62">
        <f t="shared" si="100"/>
        <v>0</v>
      </c>
      <c r="U251" s="62"/>
    </row>
    <row r="252" spans="1:37" x14ac:dyDescent="0.3">
      <c r="A252" s="461" t="s">
        <v>1210</v>
      </c>
      <c r="B252" s="461" t="s">
        <v>60</v>
      </c>
      <c r="C252" s="484" t="s">
        <v>105</v>
      </c>
      <c r="D252" s="696"/>
      <c r="E252" s="678"/>
      <c r="F252" s="696"/>
      <c r="G252" s="696"/>
      <c r="H252" s="696"/>
      <c r="I252" s="696"/>
      <c r="J252" s="696"/>
      <c r="K252" s="696"/>
      <c r="L252" s="696"/>
      <c r="M252" s="696"/>
      <c r="N252" s="696"/>
      <c r="O252" s="696"/>
      <c r="P252" s="696"/>
      <c r="Q252" s="696"/>
      <c r="R252" s="481"/>
      <c r="S252" s="62">
        <f t="shared" si="101"/>
        <v>0</v>
      </c>
      <c r="T252" s="62">
        <f t="shared" si="100"/>
        <v>0</v>
      </c>
      <c r="U252" s="62"/>
    </row>
    <row r="253" spans="1:37" x14ac:dyDescent="0.3">
      <c r="A253" s="461">
        <v>922</v>
      </c>
      <c r="B253" s="461" t="s">
        <v>729</v>
      </c>
      <c r="C253" s="461" t="s">
        <v>835</v>
      </c>
      <c r="D253" s="467">
        <v>0</v>
      </c>
      <c r="E253" s="171"/>
      <c r="F253" s="467">
        <f t="shared" si="97"/>
        <v>0</v>
      </c>
      <c r="G253" s="467">
        <v>0</v>
      </c>
      <c r="H253" s="467">
        <f t="shared" si="98"/>
        <v>0</v>
      </c>
      <c r="I253" s="467">
        <f t="shared" si="99"/>
        <v>0</v>
      </c>
      <c r="J253" s="467">
        <f>$I253*'7a. LX_AG-i'!J$246</f>
        <v>0</v>
      </c>
      <c r="K253" s="467">
        <f>$I253*'7a. LX_AG-i'!K$246</f>
        <v>0</v>
      </c>
      <c r="L253" s="467">
        <f>$I253*'7a. LX_AG-i'!L$246</f>
        <v>0</v>
      </c>
      <c r="M253" s="467">
        <f>$I253*'7a. LX_AG-i'!M$246</f>
        <v>0</v>
      </c>
      <c r="N253" s="467">
        <f>$I253*'7a. LX_AG-i'!N$246</f>
        <v>0</v>
      </c>
      <c r="O253" s="467">
        <f>$I253*'7a. LX_AG-i'!O$246</f>
        <v>0</v>
      </c>
      <c r="P253" s="467">
        <f>$I253*'7a. LX_AG-i'!P$246</f>
        <v>0</v>
      </c>
      <c r="Q253" s="467">
        <f>$I253*'7a. LX_AG-i'!Q$246</f>
        <v>0</v>
      </c>
      <c r="R253" s="469"/>
      <c r="S253" s="62">
        <f t="shared" si="101"/>
        <v>0</v>
      </c>
      <c r="T253" s="62">
        <f t="shared" si="100"/>
        <v>0</v>
      </c>
      <c r="U253" s="62"/>
    </row>
    <row r="254" spans="1:37" x14ac:dyDescent="0.3">
      <c r="A254" s="461">
        <v>923</v>
      </c>
      <c r="B254" s="466" t="s">
        <v>731</v>
      </c>
      <c r="C254" s="484" t="s">
        <v>1106</v>
      </c>
      <c r="D254" s="171">
        <v>42852126.050000004</v>
      </c>
      <c r="E254" s="171"/>
      <c r="F254" s="171">
        <f t="shared" si="97"/>
        <v>42852126.050000004</v>
      </c>
      <c r="G254" s="171">
        <v>2904928.27</v>
      </c>
      <c r="H254" s="171">
        <f t="shared" si="98"/>
        <v>39947197.780000001</v>
      </c>
      <c r="I254" s="171">
        <f t="shared" si="99"/>
        <v>39947197.780000001</v>
      </c>
      <c r="J254" s="171">
        <f>$I254*J$244/$I$244</f>
        <v>22998296.078654788</v>
      </c>
      <c r="K254" s="171">
        <f t="shared" ref="K254:Q254" si="102">$I254*K$244/$I$244</f>
        <v>2032279.6273335568</v>
      </c>
      <c r="L254" s="171">
        <f t="shared" si="102"/>
        <v>9005916.7562071402</v>
      </c>
      <c r="M254" s="171">
        <f t="shared" si="102"/>
        <v>2127719.9286688706</v>
      </c>
      <c r="N254" s="171">
        <f t="shared" si="102"/>
        <v>556811.81380447012</v>
      </c>
      <c r="O254" s="171">
        <f t="shared" si="102"/>
        <v>2027154.6330627121</v>
      </c>
      <c r="P254" s="171">
        <f t="shared" si="102"/>
        <v>1199018.9422684603</v>
      </c>
      <c r="Q254" s="171">
        <f t="shared" si="102"/>
        <v>0</v>
      </c>
      <c r="R254" s="481"/>
      <c r="S254" s="62">
        <f t="shared" si="101"/>
        <v>39947197.780000001</v>
      </c>
      <c r="T254" s="62">
        <f t="shared" si="100"/>
        <v>0</v>
      </c>
      <c r="U254" s="62"/>
    </row>
    <row r="255" spans="1:37" x14ac:dyDescent="0.3">
      <c r="A255" s="461" t="s">
        <v>1211</v>
      </c>
      <c r="B255" s="466" t="s">
        <v>62</v>
      </c>
      <c r="C255" s="484" t="s">
        <v>105</v>
      </c>
      <c r="D255" s="696"/>
      <c r="E255" s="678"/>
      <c r="F255" s="696"/>
      <c r="G255" s="696"/>
      <c r="H255" s="696"/>
      <c r="I255" s="696"/>
      <c r="J255" s="696"/>
      <c r="K255" s="696"/>
      <c r="L255" s="696"/>
      <c r="M255" s="696"/>
      <c r="N255" s="696"/>
      <c r="O255" s="696"/>
      <c r="P255" s="696"/>
      <c r="Q255" s="696"/>
      <c r="R255" s="481"/>
      <c r="S255" s="62">
        <f t="shared" si="101"/>
        <v>0</v>
      </c>
      <c r="T255" s="62">
        <f t="shared" si="100"/>
        <v>0</v>
      </c>
      <c r="U255" s="62"/>
    </row>
    <row r="256" spans="1:37" s="1" customFormat="1" ht="14.5" x14ac:dyDescent="0.45">
      <c r="A256" s="461">
        <v>924</v>
      </c>
      <c r="B256" s="461" t="s">
        <v>1204</v>
      </c>
      <c r="C256" s="484" t="s">
        <v>105</v>
      </c>
      <c r="D256" s="681"/>
      <c r="E256" s="678"/>
      <c r="F256" s="681"/>
      <c r="G256" s="681"/>
      <c r="H256" s="681"/>
      <c r="I256" s="681"/>
      <c r="J256" s="681"/>
      <c r="K256" s="681"/>
      <c r="L256" s="681"/>
      <c r="M256" s="681"/>
      <c r="N256" s="681"/>
      <c r="O256" s="681"/>
      <c r="P256" s="681"/>
      <c r="Q256" s="681"/>
      <c r="R256" s="481"/>
      <c r="S256" s="62">
        <f t="shared" si="101"/>
        <v>0</v>
      </c>
      <c r="T256" s="62">
        <f t="shared" si="100"/>
        <v>0</v>
      </c>
      <c r="U256" s="62"/>
      <c r="AK256" s="4"/>
    </row>
    <row r="257" spans="1:37" s="1" customFormat="1" ht="14.5" x14ac:dyDescent="0.45">
      <c r="A257" s="461"/>
      <c r="B257" s="461" t="s">
        <v>1203</v>
      </c>
      <c r="C257" s="484" t="s">
        <v>105</v>
      </c>
      <c r="D257" s="681"/>
      <c r="E257" s="678"/>
      <c r="F257" s="681"/>
      <c r="G257" s="681"/>
      <c r="H257" s="681"/>
      <c r="I257" s="681"/>
      <c r="J257" s="681"/>
      <c r="K257" s="681"/>
      <c r="L257" s="681"/>
      <c r="M257" s="681"/>
      <c r="N257" s="681"/>
      <c r="O257" s="681"/>
      <c r="P257" s="681"/>
      <c r="Q257" s="681"/>
      <c r="R257" s="481"/>
      <c r="S257" s="62">
        <f t="shared" si="101"/>
        <v>0</v>
      </c>
      <c r="T257" s="62">
        <f t="shared" si="100"/>
        <v>0</v>
      </c>
      <c r="U257" s="62"/>
      <c r="AK257" s="4"/>
    </row>
    <row r="258" spans="1:37" s="1" customFormat="1" ht="14.5" x14ac:dyDescent="0.45">
      <c r="A258" s="461"/>
      <c r="B258" s="461" t="s">
        <v>735</v>
      </c>
      <c r="C258" s="484" t="s">
        <v>105</v>
      </c>
      <c r="D258" s="681"/>
      <c r="E258" s="678"/>
      <c r="F258" s="681"/>
      <c r="G258" s="681"/>
      <c r="H258" s="681"/>
      <c r="I258" s="681"/>
      <c r="J258" s="681"/>
      <c r="K258" s="681"/>
      <c r="L258" s="681"/>
      <c r="M258" s="681"/>
      <c r="N258" s="681"/>
      <c r="O258" s="681"/>
      <c r="P258" s="681"/>
      <c r="Q258" s="681"/>
      <c r="R258" s="481"/>
      <c r="S258" s="62">
        <f t="shared" si="101"/>
        <v>0</v>
      </c>
      <c r="T258" s="62">
        <f t="shared" si="100"/>
        <v>0</v>
      </c>
      <c r="U258" s="62"/>
      <c r="AK258" s="4"/>
    </row>
    <row r="259" spans="1:37" s="1" customFormat="1" ht="14.5" x14ac:dyDescent="0.45">
      <c r="A259" s="461"/>
      <c r="B259" s="461" t="s">
        <v>736</v>
      </c>
      <c r="C259" s="484" t="s">
        <v>105</v>
      </c>
      <c r="D259" s="681"/>
      <c r="E259" s="678"/>
      <c r="F259" s="681"/>
      <c r="G259" s="681"/>
      <c r="H259" s="681"/>
      <c r="I259" s="681"/>
      <c r="J259" s="681"/>
      <c r="K259" s="681"/>
      <c r="L259" s="681"/>
      <c r="M259" s="681"/>
      <c r="N259" s="681"/>
      <c r="O259" s="681"/>
      <c r="P259" s="681"/>
      <c r="Q259" s="681"/>
      <c r="R259" s="481"/>
      <c r="S259" s="62">
        <f t="shared" si="101"/>
        <v>0</v>
      </c>
      <c r="T259" s="62">
        <f t="shared" si="100"/>
        <v>0</v>
      </c>
      <c r="U259" s="62"/>
      <c r="AK259" s="4"/>
    </row>
    <row r="260" spans="1:37" s="1" customFormat="1" ht="14.5" x14ac:dyDescent="0.45">
      <c r="A260" s="461"/>
      <c r="B260" s="461" t="s">
        <v>156</v>
      </c>
      <c r="C260" s="484" t="s">
        <v>105</v>
      </c>
      <c r="D260" s="681"/>
      <c r="E260" s="678"/>
      <c r="F260" s="681"/>
      <c r="G260" s="681"/>
      <c r="H260" s="681"/>
      <c r="I260" s="681"/>
      <c r="J260" s="681"/>
      <c r="K260" s="681"/>
      <c r="L260" s="681"/>
      <c r="M260" s="681"/>
      <c r="N260" s="681"/>
      <c r="O260" s="681"/>
      <c r="P260" s="681"/>
      <c r="Q260" s="681"/>
      <c r="R260" s="481"/>
      <c r="S260" s="62">
        <f t="shared" si="101"/>
        <v>0</v>
      </c>
      <c r="T260" s="62">
        <f t="shared" si="100"/>
        <v>0</v>
      </c>
      <c r="U260" s="62"/>
    </row>
    <row r="261" spans="1:37" s="1" customFormat="1" ht="14.5" x14ac:dyDescent="0.45">
      <c r="A261" s="461"/>
      <c r="B261" s="461" t="s">
        <v>737</v>
      </c>
      <c r="C261" s="484" t="s">
        <v>105</v>
      </c>
      <c r="D261" s="681"/>
      <c r="E261" s="678"/>
      <c r="F261" s="681"/>
      <c r="G261" s="681"/>
      <c r="H261" s="681"/>
      <c r="I261" s="681"/>
      <c r="J261" s="681"/>
      <c r="K261" s="681"/>
      <c r="L261" s="681"/>
      <c r="M261" s="681"/>
      <c r="N261" s="681"/>
      <c r="O261" s="681"/>
      <c r="P261" s="681"/>
      <c r="Q261" s="681"/>
      <c r="R261" s="481"/>
      <c r="S261" s="62">
        <f t="shared" si="101"/>
        <v>0</v>
      </c>
      <c r="T261" s="62">
        <f t="shared" si="100"/>
        <v>0</v>
      </c>
      <c r="U261" s="62"/>
      <c r="AK261" s="4"/>
    </row>
    <row r="262" spans="1:37" s="1" customFormat="1" x14ac:dyDescent="0.3">
      <c r="A262" s="461"/>
      <c r="B262" s="474" t="s">
        <v>738</v>
      </c>
      <c r="C262" s="474"/>
      <c r="D262" s="680">
        <v>4522237.25</v>
      </c>
      <c r="E262" s="680"/>
      <c r="F262" s="680">
        <v>4522237.25</v>
      </c>
      <c r="G262" s="680">
        <v>14121.6</v>
      </c>
      <c r="H262" s="680">
        <v>4508115.6500000004</v>
      </c>
      <c r="I262" s="680">
        <v>4508115.6500000004</v>
      </c>
      <c r="J262" s="680">
        <v>4009443.61</v>
      </c>
      <c r="K262" s="680">
        <v>200970.12</v>
      </c>
      <c r="L262" s="680">
        <v>289559.2</v>
      </c>
      <c r="M262" s="680">
        <v>0</v>
      </c>
      <c r="N262" s="680">
        <v>0</v>
      </c>
      <c r="O262" s="680">
        <v>0</v>
      </c>
      <c r="P262" s="680">
        <v>8142.72</v>
      </c>
      <c r="Q262" s="680">
        <v>0</v>
      </c>
      <c r="R262" s="488"/>
      <c r="S262" s="62">
        <f t="shared" si="101"/>
        <v>4508115.6499999994</v>
      </c>
      <c r="T262" s="62">
        <f t="shared" si="100"/>
        <v>0</v>
      </c>
      <c r="U262" s="62"/>
      <c r="AK262" s="4"/>
    </row>
    <row r="263" spans="1:37" x14ac:dyDescent="0.3">
      <c r="A263" s="461">
        <v>925</v>
      </c>
      <c r="B263" s="461" t="s">
        <v>740</v>
      </c>
      <c r="C263" s="461" t="s">
        <v>105</v>
      </c>
      <c r="D263" s="171">
        <v>8487872.4699999988</v>
      </c>
      <c r="E263" s="171"/>
      <c r="F263" s="171">
        <f>D263+E263</f>
        <v>8487872.4699999988</v>
      </c>
      <c r="G263" s="171">
        <v>2340511.31</v>
      </c>
      <c r="H263" s="171">
        <f>+F263-G263</f>
        <v>6147361.1599999983</v>
      </c>
      <c r="I263" s="171">
        <f t="shared" ref="I263:I273" si="103">H263</f>
        <v>6147361.1599999983</v>
      </c>
      <c r="J263" s="171">
        <v>1471702.95</v>
      </c>
      <c r="K263" s="171">
        <v>1067641.1599999999</v>
      </c>
      <c r="L263" s="171">
        <v>3399583.25</v>
      </c>
      <c r="M263" s="171">
        <v>0</v>
      </c>
      <c r="N263" s="171">
        <v>0</v>
      </c>
      <c r="O263" s="171">
        <v>0</v>
      </c>
      <c r="P263" s="171">
        <v>208433.8</v>
      </c>
      <c r="Q263" s="171">
        <v>0</v>
      </c>
      <c r="R263" s="481"/>
      <c r="S263" s="62">
        <f t="shared" si="101"/>
        <v>6147361.1599999992</v>
      </c>
      <c r="T263" s="62">
        <f t="shared" si="100"/>
        <v>0</v>
      </c>
      <c r="U263" s="62"/>
    </row>
    <row r="264" spans="1:37" x14ac:dyDescent="0.3">
      <c r="A264" s="461" t="s">
        <v>1212</v>
      </c>
      <c r="B264" s="461" t="s">
        <v>64</v>
      </c>
      <c r="C264" s="484" t="s">
        <v>105</v>
      </c>
      <c r="D264" s="696"/>
      <c r="E264" s="696"/>
      <c r="F264" s="696"/>
      <c r="G264" s="696"/>
      <c r="H264" s="696"/>
      <c r="I264" s="696"/>
      <c r="J264" s="696"/>
      <c r="K264" s="696"/>
      <c r="L264" s="696"/>
      <c r="M264" s="696"/>
      <c r="N264" s="696"/>
      <c r="O264" s="696"/>
      <c r="P264" s="696"/>
      <c r="Q264" s="696"/>
      <c r="R264" s="481"/>
      <c r="S264" s="62">
        <f t="shared" si="101"/>
        <v>0</v>
      </c>
      <c r="T264" s="62">
        <f t="shared" si="100"/>
        <v>0</v>
      </c>
      <c r="U264" s="62"/>
    </row>
    <row r="265" spans="1:37" x14ac:dyDescent="0.3">
      <c r="A265" s="461">
        <v>926</v>
      </c>
      <c r="B265" s="461" t="s">
        <v>742</v>
      </c>
      <c r="C265" s="461" t="s">
        <v>105</v>
      </c>
      <c r="D265" s="171">
        <v>24958311.600000001</v>
      </c>
      <c r="E265" s="171"/>
      <c r="F265" s="171">
        <f>+D265+E265</f>
        <v>24958311.600000001</v>
      </c>
      <c r="G265" s="171">
        <v>2222711.0299999998</v>
      </c>
      <c r="H265" s="171">
        <f>+F265-G265</f>
        <v>22735600.57</v>
      </c>
      <c r="I265" s="171">
        <f t="shared" si="103"/>
        <v>22735600.57</v>
      </c>
      <c r="J265" s="171">
        <v>9362850.0600000024</v>
      </c>
      <c r="K265" s="171">
        <v>1565138.75</v>
      </c>
      <c r="L265" s="171">
        <v>10868845.789999999</v>
      </c>
      <c r="M265" s="171">
        <v>0</v>
      </c>
      <c r="N265" s="171">
        <v>0</v>
      </c>
      <c r="O265" s="171">
        <v>0</v>
      </c>
      <c r="P265" s="171">
        <v>946252.07</v>
      </c>
      <c r="Q265" s="171">
        <v>-7486.1</v>
      </c>
      <c r="R265" s="481"/>
      <c r="S265" s="62">
        <f t="shared" si="101"/>
        <v>22735600.57</v>
      </c>
      <c r="T265" s="62">
        <f t="shared" si="100"/>
        <v>0</v>
      </c>
      <c r="U265" s="62"/>
    </row>
    <row r="266" spans="1:37" x14ac:dyDescent="0.3">
      <c r="A266" s="461" t="s">
        <v>1213</v>
      </c>
      <c r="B266" s="461" t="s">
        <v>66</v>
      </c>
      <c r="C266" s="484" t="s">
        <v>105</v>
      </c>
      <c r="D266" s="696"/>
      <c r="E266" s="696"/>
      <c r="F266" s="696"/>
      <c r="G266" s="696"/>
      <c r="H266" s="696"/>
      <c r="I266" s="696"/>
      <c r="J266" s="696"/>
      <c r="K266" s="696"/>
      <c r="L266" s="696"/>
      <c r="M266" s="696"/>
      <c r="N266" s="696"/>
      <c r="O266" s="696"/>
      <c r="P266" s="696"/>
      <c r="Q266" s="696"/>
      <c r="R266" s="481"/>
      <c r="S266" s="62">
        <f t="shared" si="101"/>
        <v>0</v>
      </c>
      <c r="T266" s="62">
        <f t="shared" si="100"/>
        <v>0</v>
      </c>
      <c r="U266" s="62"/>
    </row>
    <row r="267" spans="1:37" x14ac:dyDescent="0.3">
      <c r="A267" s="461">
        <v>927</v>
      </c>
      <c r="B267" s="461" t="s">
        <v>744</v>
      </c>
      <c r="C267" s="484" t="s">
        <v>105</v>
      </c>
      <c r="D267" s="467">
        <v>9164257.6099999994</v>
      </c>
      <c r="E267" s="467"/>
      <c r="F267" s="467">
        <f t="shared" ref="F267:F273" si="104">D267+E267</f>
        <v>9164257.6099999994</v>
      </c>
      <c r="G267" s="467">
        <v>479425.03</v>
      </c>
      <c r="H267" s="467">
        <f>+F267-G267</f>
        <v>8684832.5800000001</v>
      </c>
      <c r="I267" s="467">
        <f t="shared" si="103"/>
        <v>8684832.5800000001</v>
      </c>
      <c r="J267" s="467"/>
      <c r="K267" s="467"/>
      <c r="L267" s="467">
        <f>I267</f>
        <v>8684832.5800000001</v>
      </c>
      <c r="M267" s="467"/>
      <c r="N267" s="467"/>
      <c r="O267" s="467"/>
      <c r="P267" s="467"/>
      <c r="Q267" s="467"/>
      <c r="R267" s="171"/>
      <c r="S267" s="62">
        <f t="shared" si="101"/>
        <v>8684832.5800000001</v>
      </c>
      <c r="T267" s="62">
        <f t="shared" si="100"/>
        <v>0</v>
      </c>
      <c r="U267" s="62"/>
    </row>
    <row r="268" spans="1:37" x14ac:dyDescent="0.3">
      <c r="A268" s="461">
        <v>928</v>
      </c>
      <c r="B268" s="466" t="s">
        <v>746</v>
      </c>
      <c r="C268" s="466" t="s">
        <v>105</v>
      </c>
      <c r="D268" s="467">
        <v>0</v>
      </c>
      <c r="E268" s="467"/>
      <c r="F268" s="467">
        <f t="shared" si="104"/>
        <v>0</v>
      </c>
      <c r="G268" s="467">
        <v>0</v>
      </c>
      <c r="H268" s="467">
        <f>IF('3a. OM_AG-i'!H268=0,0,'3a. OM_AG-i'!H268*#REF!/#REF!)</f>
        <v>0</v>
      </c>
      <c r="I268" s="467">
        <f t="shared" si="103"/>
        <v>0</v>
      </c>
      <c r="J268" s="467"/>
      <c r="K268" s="467"/>
      <c r="L268" s="467"/>
      <c r="M268" s="467"/>
      <c r="N268" s="467"/>
      <c r="O268" s="467"/>
      <c r="P268" s="467"/>
      <c r="Q268" s="467"/>
      <c r="R268" s="171"/>
      <c r="S268" s="62">
        <f t="shared" si="101"/>
        <v>0</v>
      </c>
      <c r="T268" s="62">
        <f t="shared" si="100"/>
        <v>0</v>
      </c>
      <c r="U268" s="62"/>
    </row>
    <row r="269" spans="1:37" x14ac:dyDescent="0.3">
      <c r="A269" s="461">
        <v>929</v>
      </c>
      <c r="B269" s="484" t="s">
        <v>1194</v>
      </c>
      <c r="C269" s="484" t="s">
        <v>105</v>
      </c>
      <c r="D269" s="467">
        <v>-3389931.1500000004</v>
      </c>
      <c r="E269" s="467"/>
      <c r="F269" s="467">
        <f t="shared" si="104"/>
        <v>-3389931.1500000004</v>
      </c>
      <c r="G269" s="467">
        <v>-248649.7</v>
      </c>
      <c r="H269" s="467">
        <f t="shared" ref="H269:H273" si="105">+F269-G269</f>
        <v>-3141281.45</v>
      </c>
      <c r="I269" s="467">
        <f t="shared" si="103"/>
        <v>-3141281.45</v>
      </c>
      <c r="J269" s="467">
        <v>-2456869.41</v>
      </c>
      <c r="K269" s="467">
        <v>0</v>
      </c>
      <c r="L269" s="467">
        <v>-494341.27</v>
      </c>
      <c r="M269" s="467">
        <v>0</v>
      </c>
      <c r="N269" s="467">
        <v>0</v>
      </c>
      <c r="O269" s="467">
        <v>0</v>
      </c>
      <c r="P269" s="467">
        <v>-190070.77</v>
      </c>
      <c r="Q269" s="467">
        <v>0</v>
      </c>
      <c r="R269" s="171"/>
      <c r="S269" s="62">
        <f t="shared" si="101"/>
        <v>-3141281.45</v>
      </c>
      <c r="T269" s="62">
        <f t="shared" si="100"/>
        <v>0</v>
      </c>
      <c r="U269" s="62"/>
    </row>
    <row r="270" spans="1:37" x14ac:dyDescent="0.3">
      <c r="A270" s="466">
        <v>930</v>
      </c>
      <c r="B270" s="461" t="s">
        <v>750</v>
      </c>
      <c r="C270" s="461" t="s">
        <v>835</v>
      </c>
      <c r="D270" s="171">
        <v>13467811.48</v>
      </c>
      <c r="E270" s="171"/>
      <c r="F270" s="171">
        <f t="shared" si="104"/>
        <v>13467811.48</v>
      </c>
      <c r="G270" s="171">
        <v>301512.28000000003</v>
      </c>
      <c r="H270" s="171">
        <f t="shared" si="105"/>
        <v>13166299.200000001</v>
      </c>
      <c r="I270" s="171">
        <f t="shared" si="103"/>
        <v>13166299.200000001</v>
      </c>
      <c r="J270" s="171">
        <f>$I270*'7a. LX_AG-i'!J$246</f>
        <v>4207816.7498720661</v>
      </c>
      <c r="K270" s="171">
        <f>$I270*'7a. LX_AG-i'!K$246</f>
        <v>1433822.9956321481</v>
      </c>
      <c r="L270" s="171">
        <f>$I270*'7a. LX_AG-i'!L$246</f>
        <v>5908930.7112657018</v>
      </c>
      <c r="M270" s="171">
        <f>$I270*'7a. LX_AG-i'!M$246</f>
        <v>514179.0688844719</v>
      </c>
      <c r="N270" s="171">
        <f>$I270*'7a. LX_AG-i'!N$246</f>
        <v>195440.46157151493</v>
      </c>
      <c r="O270" s="171">
        <f>$I270*'7a. LX_AG-i'!O$246</f>
        <v>582857.82852017926</v>
      </c>
      <c r="P270" s="171">
        <f>$I270*'7a. LX_AG-i'!P$246</f>
        <v>323251.3842539211</v>
      </c>
      <c r="Q270" s="171">
        <f>$I270*'7a. LX_AG-i'!Q$246</f>
        <v>0</v>
      </c>
      <c r="R270" s="481"/>
      <c r="S270" s="62">
        <f t="shared" si="101"/>
        <v>13166299.200000003</v>
      </c>
      <c r="T270" s="62">
        <f t="shared" si="100"/>
        <v>0</v>
      </c>
      <c r="U270" s="62"/>
    </row>
    <row r="271" spans="1:37" x14ac:dyDescent="0.3">
      <c r="A271" s="484" t="s">
        <v>1214</v>
      </c>
      <c r="B271" s="461" t="s">
        <v>68</v>
      </c>
      <c r="C271" s="461" t="s">
        <v>105</v>
      </c>
      <c r="D271" s="696"/>
      <c r="E271" s="696"/>
      <c r="F271" s="696"/>
      <c r="G271" s="696"/>
      <c r="H271" s="696"/>
      <c r="I271" s="696"/>
      <c r="J271" s="696"/>
      <c r="K271" s="696"/>
      <c r="L271" s="696"/>
      <c r="M271" s="696"/>
      <c r="N271" s="696"/>
      <c r="O271" s="696"/>
      <c r="P271" s="696"/>
      <c r="Q271" s="696"/>
      <c r="R271" s="481"/>
      <c r="S271" s="62">
        <f t="shared" si="101"/>
        <v>0</v>
      </c>
      <c r="T271" s="62">
        <f t="shared" si="100"/>
        <v>0</v>
      </c>
      <c r="U271" s="62"/>
    </row>
    <row r="272" spans="1:37" x14ac:dyDescent="0.3">
      <c r="A272" s="461">
        <v>931</v>
      </c>
      <c r="B272" s="461" t="s">
        <v>564</v>
      </c>
      <c r="C272" s="461" t="s">
        <v>835</v>
      </c>
      <c r="D272" s="467">
        <v>0</v>
      </c>
      <c r="E272" s="467">
        <f>+'3a. OM_AG-i'!E272</f>
        <v>0</v>
      </c>
      <c r="F272" s="467">
        <f>+'3a. OM_AG-i'!F272</f>
        <v>0</v>
      </c>
      <c r="G272" s="467">
        <v>0</v>
      </c>
      <c r="H272" s="467">
        <f t="shared" si="105"/>
        <v>0</v>
      </c>
      <c r="I272" s="467">
        <f t="shared" si="103"/>
        <v>0</v>
      </c>
      <c r="J272" s="467">
        <f>$I272*'7a. LX_AG-i'!J$246</f>
        <v>0</v>
      </c>
      <c r="K272" s="467">
        <f>$I272*'7a. LX_AG-i'!K$246</f>
        <v>0</v>
      </c>
      <c r="L272" s="467">
        <f>$I272*'7a. LX_AG-i'!L$246</f>
        <v>0</v>
      </c>
      <c r="M272" s="467">
        <f>$I272*'7a. LX_AG-i'!M$246</f>
        <v>0</v>
      </c>
      <c r="N272" s="467">
        <f>$I272*'7a. LX_AG-i'!N$246</f>
        <v>0</v>
      </c>
      <c r="O272" s="467">
        <f>$I272*'7a. LX_AG-i'!O$246</f>
        <v>0</v>
      </c>
      <c r="P272" s="467">
        <f>$I272*'7a. LX_AG-i'!P$246</f>
        <v>0</v>
      </c>
      <c r="Q272" s="467">
        <f>$I272*'7a. LX_AG-i'!Q$246</f>
        <v>0</v>
      </c>
      <c r="R272" s="481"/>
      <c r="S272" s="62">
        <f t="shared" si="101"/>
        <v>0</v>
      </c>
      <c r="T272" s="62">
        <f t="shared" si="100"/>
        <v>0</v>
      </c>
      <c r="U272" s="62"/>
    </row>
    <row r="273" spans="1:21" x14ac:dyDescent="0.3">
      <c r="A273" s="461">
        <v>932</v>
      </c>
      <c r="B273" s="461" t="s">
        <v>753</v>
      </c>
      <c r="C273" s="461" t="s">
        <v>105</v>
      </c>
      <c r="D273" s="171">
        <v>14173178.57</v>
      </c>
      <c r="E273" s="171"/>
      <c r="F273" s="171">
        <f t="shared" si="104"/>
        <v>14173178.57</v>
      </c>
      <c r="G273" s="171">
        <v>962203.79</v>
      </c>
      <c r="H273" s="171">
        <f t="shared" si="105"/>
        <v>13210974.780000001</v>
      </c>
      <c r="I273" s="171">
        <f t="shared" si="103"/>
        <v>13210974.780000001</v>
      </c>
      <c r="J273" s="171">
        <v>6760382.4700000007</v>
      </c>
      <c r="K273" s="171">
        <v>1163430.52</v>
      </c>
      <c r="L273" s="171">
        <v>4598456.04</v>
      </c>
      <c r="M273" s="171">
        <v>0</v>
      </c>
      <c r="N273" s="171">
        <v>0</v>
      </c>
      <c r="O273" s="171">
        <v>0</v>
      </c>
      <c r="P273" s="171">
        <v>688705.75</v>
      </c>
      <c r="Q273" s="171">
        <v>0</v>
      </c>
      <c r="R273" s="481"/>
      <c r="S273" s="62">
        <f t="shared" si="101"/>
        <v>13210974.780000001</v>
      </c>
      <c r="T273" s="62">
        <f t="shared" si="100"/>
        <v>0</v>
      </c>
      <c r="U273" s="62"/>
    </row>
    <row r="274" spans="1:21" ht="14.5" x14ac:dyDescent="0.45">
      <c r="A274" s="461" t="s">
        <v>1215</v>
      </c>
      <c r="B274" s="461" t="s">
        <v>70</v>
      </c>
      <c r="C274" s="461" t="s">
        <v>105</v>
      </c>
      <c r="D274" s="700"/>
      <c r="E274" s="700"/>
      <c r="F274" s="700"/>
      <c r="G274" s="700"/>
      <c r="H274" s="700"/>
      <c r="I274" s="700"/>
      <c r="J274" s="700"/>
      <c r="K274" s="700"/>
      <c r="L274" s="700"/>
      <c r="M274" s="700"/>
      <c r="N274" s="700"/>
      <c r="O274" s="700"/>
      <c r="P274" s="700"/>
      <c r="Q274" s="700"/>
      <c r="R274" s="481"/>
      <c r="S274" s="62">
        <f t="shared" si="101"/>
        <v>0</v>
      </c>
      <c r="T274" s="62">
        <f t="shared" si="100"/>
        <v>0</v>
      </c>
      <c r="U274" s="62"/>
    </row>
    <row r="275" spans="1:21" x14ac:dyDescent="0.3">
      <c r="A275" s="461"/>
      <c r="B275" s="487" t="s">
        <v>754</v>
      </c>
      <c r="C275" s="487"/>
      <c r="D275" s="680">
        <v>170992376.03999999</v>
      </c>
      <c r="E275" s="680">
        <v>0</v>
      </c>
      <c r="F275" s="680">
        <v>170992376.03999999</v>
      </c>
      <c r="G275" s="680">
        <v>10958161.949999999</v>
      </c>
      <c r="H275" s="680">
        <v>160034214.08999997</v>
      </c>
      <c r="I275" s="680">
        <v>160034214.08999997</v>
      </c>
      <c r="J275" s="680">
        <v>82177711.671149746</v>
      </c>
      <c r="K275" s="680">
        <v>10496432.492151022</v>
      </c>
      <c r="L275" s="680">
        <v>54761700.563738652</v>
      </c>
      <c r="M275" s="680">
        <v>3729607.7994607091</v>
      </c>
      <c r="N275" s="680">
        <v>1165692.5010961401</v>
      </c>
      <c r="O275" s="680">
        <v>3843006.234972876</v>
      </c>
      <c r="P275" s="680">
        <v>3867548.9274308644</v>
      </c>
      <c r="Q275" s="680">
        <v>-7486.1</v>
      </c>
      <c r="R275" s="171"/>
      <c r="S275" s="62">
        <f>SUM(J275:Q275)</f>
        <v>160034214.09</v>
      </c>
      <c r="T275" s="62">
        <f t="shared" si="100"/>
        <v>0</v>
      </c>
      <c r="U275" s="62"/>
    </row>
    <row r="276" spans="1:21" x14ac:dyDescent="0.3">
      <c r="A276" s="462"/>
      <c r="B276" s="461"/>
      <c r="C276" s="461"/>
      <c r="D276" s="171"/>
      <c r="E276" s="62"/>
      <c r="F276" s="62"/>
      <c r="G276" s="171"/>
      <c r="H276" s="171"/>
      <c r="I276" s="468"/>
      <c r="J276" s="171"/>
      <c r="K276" s="171"/>
      <c r="L276" s="171"/>
      <c r="M276" s="171"/>
      <c r="N276" s="171"/>
      <c r="O276" s="171"/>
      <c r="P276" s="171"/>
      <c r="Q276" s="171"/>
      <c r="R276" s="171"/>
      <c r="S276" s="62"/>
      <c r="T276" s="62"/>
      <c r="U276" s="62"/>
    </row>
    <row r="277" spans="1:21" x14ac:dyDescent="0.3">
      <c r="A277" s="460" t="s">
        <v>755</v>
      </c>
      <c r="B277" s="461"/>
      <c r="C277" s="461"/>
      <c r="D277" s="171">
        <f>D275+D242</f>
        <v>222320081.29999998</v>
      </c>
      <c r="E277" s="171">
        <f t="shared" ref="E277:Q277" si="106">E275+E242</f>
        <v>0</v>
      </c>
      <c r="F277" s="171">
        <f t="shared" si="106"/>
        <v>222320081.29999998</v>
      </c>
      <c r="G277" s="171">
        <f t="shared" si="106"/>
        <v>18518500.24337621</v>
      </c>
      <c r="H277" s="171">
        <f t="shared" si="106"/>
        <v>203801581.05662376</v>
      </c>
      <c r="I277" s="171">
        <f t="shared" si="106"/>
        <v>203801581.05662376</v>
      </c>
      <c r="J277" s="171">
        <f t="shared" si="106"/>
        <v>82177711.671149746</v>
      </c>
      <c r="K277" s="171">
        <f t="shared" si="106"/>
        <v>10496432.492151022</v>
      </c>
      <c r="L277" s="171">
        <f t="shared" si="106"/>
        <v>54761700.563738652</v>
      </c>
      <c r="M277" s="171">
        <f t="shared" si="106"/>
        <v>12460452.41061198</v>
      </c>
      <c r="N277" s="171">
        <f t="shared" si="106"/>
        <v>6322664.4572074972</v>
      </c>
      <c r="O277" s="171">
        <f t="shared" si="106"/>
        <v>22617714.914334033</v>
      </c>
      <c r="P277" s="171">
        <f t="shared" si="106"/>
        <v>14972390.647430863</v>
      </c>
      <c r="Q277" s="171">
        <f t="shared" si="106"/>
        <v>-7486.1</v>
      </c>
      <c r="R277" s="171"/>
      <c r="S277" s="62">
        <f>SUM(J277:Q277)</f>
        <v>203801581.05662382</v>
      </c>
      <c r="T277" s="62">
        <f>H277-S277</f>
        <v>0</v>
      </c>
      <c r="U277" s="62"/>
    </row>
    <row r="278" spans="1:21" x14ac:dyDescent="0.3">
      <c r="A278" s="462"/>
      <c r="B278" s="461"/>
      <c r="C278" s="461"/>
      <c r="D278" s="171"/>
      <c r="E278" s="62"/>
      <c r="F278" s="62"/>
      <c r="G278" s="171"/>
      <c r="H278" s="171"/>
      <c r="I278" s="62"/>
      <c r="J278" s="171"/>
      <c r="K278" s="171"/>
      <c r="L278" s="171"/>
      <c r="M278" s="171"/>
      <c r="N278" s="171"/>
      <c r="O278" s="171"/>
      <c r="P278" s="171"/>
      <c r="Q278" s="171"/>
      <c r="R278" s="171"/>
      <c r="S278" s="62"/>
      <c r="T278" s="62"/>
      <c r="U278" s="62"/>
    </row>
    <row r="279" spans="1:21" x14ac:dyDescent="0.3">
      <c r="A279" s="463" t="s">
        <v>896</v>
      </c>
      <c r="B279" s="62"/>
      <c r="C279" s="62"/>
      <c r="D279" s="171">
        <f>D277+D152+D211</f>
        <v>569010945.01999998</v>
      </c>
      <c r="E279" s="171">
        <f t="shared" ref="E279:Q279" si="107">E277+E152+E211</f>
        <v>0</v>
      </c>
      <c r="F279" s="171">
        <f t="shared" si="107"/>
        <v>569010945.01999998</v>
      </c>
      <c r="G279" s="171">
        <f t="shared" si="107"/>
        <v>39001501.293376207</v>
      </c>
      <c r="H279" s="171">
        <f t="shared" si="107"/>
        <v>530009443.72662377</v>
      </c>
      <c r="I279" s="171">
        <f t="shared" si="107"/>
        <v>530009443.72662377</v>
      </c>
      <c r="J279" s="171">
        <f t="shared" si="107"/>
        <v>295178881.86114973</v>
      </c>
      <c r="K279" s="171">
        <f t="shared" si="107"/>
        <v>29318606.852151021</v>
      </c>
      <c r="L279" s="171">
        <f t="shared" si="107"/>
        <v>138170958.41246414</v>
      </c>
      <c r="M279" s="171">
        <f t="shared" si="107"/>
        <v>23435712.681886487</v>
      </c>
      <c r="N279" s="171">
        <f t="shared" si="107"/>
        <v>6322664.4572074972</v>
      </c>
      <c r="O279" s="171">
        <f t="shared" si="107"/>
        <v>22617714.914334033</v>
      </c>
      <c r="P279" s="171">
        <f t="shared" si="107"/>
        <v>14972390.647430863</v>
      </c>
      <c r="Q279" s="171">
        <f t="shared" si="107"/>
        <v>-7486.1</v>
      </c>
      <c r="R279" s="171"/>
      <c r="S279" s="62">
        <f>SUM(J279:Q279)</f>
        <v>530009443.72662377</v>
      </c>
      <c r="T279" s="62">
        <f>H279-S279</f>
        <v>0</v>
      </c>
      <c r="U279" s="62"/>
    </row>
    <row r="280" spans="1:21" x14ac:dyDescent="0.3">
      <c r="A280" s="62"/>
      <c r="B280" s="62"/>
      <c r="C280" s="62"/>
      <c r="D280" s="171"/>
      <c r="E280" s="62"/>
      <c r="F280" s="62"/>
      <c r="G280" s="171"/>
      <c r="H280" s="171"/>
      <c r="I280" s="177"/>
      <c r="J280" s="177"/>
      <c r="K280" s="177"/>
      <c r="L280" s="177"/>
      <c r="M280" s="177"/>
      <c r="N280" s="177"/>
      <c r="O280" s="177"/>
      <c r="P280" s="177"/>
      <c r="Q280" s="177"/>
      <c r="R280" s="177"/>
      <c r="S280" s="62"/>
      <c r="T280" s="62"/>
      <c r="U280" s="62"/>
    </row>
    <row r="281" spans="1:21" x14ac:dyDescent="0.3">
      <c r="A281" s="463" t="s">
        <v>898</v>
      </c>
      <c r="B281" s="62"/>
      <c r="C281" s="489" t="s">
        <v>899</v>
      </c>
      <c r="D281" s="171">
        <f>'1. RB-i'!D457</f>
        <v>57419603.640000008</v>
      </c>
      <c r="E281" s="171">
        <f>'1. RB-i'!E457</f>
        <v>0</v>
      </c>
      <c r="F281" s="171">
        <f>'1. RB-i'!F457</f>
        <v>57419603.640000008</v>
      </c>
      <c r="G281" s="171">
        <f>'1. RB-i'!G457</f>
        <v>14255709.389148939</v>
      </c>
      <c r="H281" s="171">
        <f>'1. RB-i'!H457</f>
        <v>43163894.250851072</v>
      </c>
      <c r="I281" s="171">
        <f>'1. RB-i'!I457</f>
        <v>43163894.250851072</v>
      </c>
      <c r="J281" s="171">
        <f>'1. RB-i'!J457</f>
        <v>32893758.539220218</v>
      </c>
      <c r="K281" s="171">
        <f>'1. RB-i'!K457</f>
        <v>138618.23852046242</v>
      </c>
      <c r="L281" s="171">
        <f>'1. RB-i'!L457</f>
        <v>4111253.2622524542</v>
      </c>
      <c r="M281" s="171">
        <f>'1. RB-i'!M457</f>
        <v>2056626.6772564026</v>
      </c>
      <c r="N281" s="171">
        <f>'1. RB-i'!N457</f>
        <v>549308.46099777764</v>
      </c>
      <c r="O281" s="171">
        <f>'1. RB-i'!O457</f>
        <v>2805499.6632766193</v>
      </c>
      <c r="P281" s="171">
        <f>'1. RB-i'!P457</f>
        <v>608829.40932712401</v>
      </c>
      <c r="Q281" s="171">
        <f>'1. RB-i'!Q457</f>
        <v>0</v>
      </c>
      <c r="R281" s="171"/>
      <c r="S281" s="62">
        <f>SUM(J281:Q281)</f>
        <v>43163894.250851065</v>
      </c>
      <c r="T281" s="62">
        <f>H281-S281</f>
        <v>0</v>
      </c>
      <c r="U281" s="62"/>
    </row>
    <row r="282" spans="1:21" x14ac:dyDescent="0.3">
      <c r="A282" s="62"/>
      <c r="B282" s="62"/>
      <c r="C282" s="62"/>
      <c r="D282" s="171"/>
      <c r="E282" s="62"/>
      <c r="F282" s="62"/>
      <c r="G282" s="171"/>
      <c r="H282" s="171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</row>
    <row r="283" spans="1:21" x14ac:dyDescent="0.3">
      <c r="A283" s="463" t="s">
        <v>355</v>
      </c>
      <c r="B283" s="62"/>
      <c r="C283" s="62"/>
      <c r="D283" s="171">
        <f>D279-D281</f>
        <v>511591341.38</v>
      </c>
      <c r="E283" s="171">
        <f t="shared" ref="E283:L283" si="108">E279-E281</f>
        <v>0</v>
      </c>
      <c r="F283" s="171">
        <f t="shared" si="108"/>
        <v>511591341.38</v>
      </c>
      <c r="G283" s="171">
        <f t="shared" si="108"/>
        <v>24745791.904227268</v>
      </c>
      <c r="H283" s="171">
        <f t="shared" si="108"/>
        <v>486845549.47577268</v>
      </c>
      <c r="I283" s="171">
        <f t="shared" si="108"/>
        <v>486845549.47577268</v>
      </c>
      <c r="J283" s="171">
        <f t="shared" si="108"/>
        <v>262285123.32192951</v>
      </c>
      <c r="K283" s="171">
        <f t="shared" si="108"/>
        <v>29179988.613630559</v>
      </c>
      <c r="L283" s="171">
        <f t="shared" si="108"/>
        <v>134059705.15021169</v>
      </c>
      <c r="M283" s="171">
        <f>M279-M281</f>
        <v>21379086.004630085</v>
      </c>
      <c r="N283" s="171">
        <f>N279-N281</f>
        <v>5773355.9962097192</v>
      </c>
      <c r="O283" s="171">
        <f>O279-O281</f>
        <v>19812215.251057412</v>
      </c>
      <c r="P283" s="171">
        <f>P279-P281</f>
        <v>14363561.23810374</v>
      </c>
      <c r="Q283" s="171">
        <f>Q279-Q281</f>
        <v>-7486.1</v>
      </c>
      <c r="R283" s="177"/>
      <c r="S283" s="62">
        <f>SUM(J283:Q283)</f>
        <v>486845549.47577268</v>
      </c>
      <c r="T283" s="62">
        <f>H283-S283</f>
        <v>0</v>
      </c>
      <c r="U283" s="62"/>
    </row>
    <row r="284" spans="1:21" x14ac:dyDescent="0.3">
      <c r="A284" s="62"/>
      <c r="B284" s="62"/>
      <c r="C284" s="62"/>
      <c r="D284" s="171"/>
      <c r="E284" s="475"/>
      <c r="F284" s="475"/>
      <c r="G284" s="469"/>
      <c r="H284" s="469"/>
      <c r="I284" s="475"/>
      <c r="J284" s="469"/>
      <c r="K284" s="469"/>
      <c r="L284" s="469"/>
      <c r="M284" s="469"/>
      <c r="N284" s="469"/>
      <c r="O284" s="469"/>
      <c r="P284" s="469"/>
      <c r="Q284" s="469"/>
      <c r="R284" s="171"/>
      <c r="S284" s="62"/>
      <c r="T284" s="62"/>
      <c r="U284" s="62"/>
    </row>
    <row r="285" spans="1:21" x14ac:dyDescent="0.3">
      <c r="A285" s="463" t="s">
        <v>900</v>
      </c>
      <c r="B285" s="62"/>
      <c r="C285" s="489" t="s">
        <v>901</v>
      </c>
      <c r="D285" s="171">
        <f>D283/8</f>
        <v>63948917.672499999</v>
      </c>
      <c r="E285" s="171">
        <f t="shared" ref="E285:L285" si="109">E283/8</f>
        <v>0</v>
      </c>
      <c r="F285" s="469">
        <f t="shared" si="109"/>
        <v>63948917.672499999</v>
      </c>
      <c r="G285" s="469">
        <f t="shared" si="109"/>
        <v>3093223.9880284085</v>
      </c>
      <c r="H285" s="469">
        <f t="shared" si="109"/>
        <v>60855693.684471585</v>
      </c>
      <c r="I285" s="469">
        <f t="shared" si="109"/>
        <v>60855693.684471585</v>
      </c>
      <c r="J285" s="469">
        <f t="shared" si="109"/>
        <v>32785640.415241189</v>
      </c>
      <c r="K285" s="469">
        <f t="shared" si="109"/>
        <v>3647498.5767038199</v>
      </c>
      <c r="L285" s="469">
        <f t="shared" si="109"/>
        <v>16757463.143776461</v>
      </c>
      <c r="M285" s="469">
        <f>M283/8</f>
        <v>2672385.7505787606</v>
      </c>
      <c r="N285" s="469">
        <f>N283/8</f>
        <v>721669.4995262149</v>
      </c>
      <c r="O285" s="469">
        <f>O283/8</f>
        <v>2476526.9063821766</v>
      </c>
      <c r="P285" s="469">
        <f>P283/8</f>
        <v>1795445.1547629675</v>
      </c>
      <c r="Q285" s="469">
        <f>Q283/8</f>
        <v>-935.76250000000005</v>
      </c>
      <c r="R285" s="171"/>
      <c r="S285" s="62">
        <f>SUM(J285:Q285)</f>
        <v>60855693.684471585</v>
      </c>
      <c r="T285" s="62">
        <f>H285-S285</f>
        <v>0</v>
      </c>
      <c r="U285" s="62"/>
    </row>
    <row r="286" spans="1:21" x14ac:dyDescent="0.3">
      <c r="A286" s="62"/>
      <c r="B286" s="62"/>
      <c r="C286" s="62"/>
      <c r="D286" s="171"/>
      <c r="E286" s="62"/>
      <c r="F286" s="62"/>
      <c r="G286" s="171"/>
      <c r="H286" s="171"/>
      <c r="I286" s="62"/>
      <c r="J286" s="171"/>
      <c r="K286" s="171"/>
      <c r="L286" s="171"/>
      <c r="M286" s="171"/>
      <c r="N286" s="171"/>
      <c r="O286" s="171"/>
      <c r="P286" s="171"/>
      <c r="Q286" s="171"/>
      <c r="R286" s="171"/>
      <c r="S286" s="62"/>
      <c r="T286" s="62"/>
      <c r="U286" s="62"/>
    </row>
    <row r="287" spans="1:21" x14ac:dyDescent="0.3">
      <c r="A287" s="62"/>
      <c r="B287" s="62"/>
      <c r="C287" s="62"/>
      <c r="D287" s="171"/>
      <c r="E287" s="62"/>
      <c r="F287" s="62"/>
      <c r="G287" s="171"/>
      <c r="H287" s="171"/>
      <c r="I287" s="62"/>
      <c r="J287" s="171"/>
      <c r="K287" s="171"/>
      <c r="L287" s="171"/>
      <c r="M287" s="171"/>
      <c r="N287" s="171"/>
      <c r="O287" s="171"/>
      <c r="P287" s="171"/>
      <c r="Q287" s="171"/>
      <c r="R287" s="171"/>
      <c r="S287" s="62"/>
      <c r="T287" s="62"/>
      <c r="U287" s="62"/>
    </row>
    <row r="288" spans="1:21" x14ac:dyDescent="0.3">
      <c r="A288" s="62"/>
      <c r="B288" s="62"/>
      <c r="C288" s="62"/>
      <c r="D288" s="171"/>
      <c r="E288" s="62"/>
      <c r="F288" s="62"/>
      <c r="G288" s="171"/>
      <c r="H288" s="171"/>
      <c r="I288" s="62"/>
      <c r="J288" s="171"/>
      <c r="K288" s="171"/>
      <c r="L288" s="171"/>
      <c r="M288" s="171"/>
      <c r="N288" s="171"/>
      <c r="O288" s="171"/>
      <c r="P288" s="171"/>
      <c r="Q288" s="171"/>
      <c r="R288" s="171"/>
      <c r="S288" s="62"/>
      <c r="T288" s="62"/>
      <c r="U288" s="62"/>
    </row>
    <row r="289" spans="1:21" x14ac:dyDescent="0.3">
      <c r="A289" s="62"/>
      <c r="B289" s="62"/>
      <c r="C289" s="62"/>
      <c r="D289" s="171"/>
      <c r="E289" s="62"/>
      <c r="F289" s="62"/>
      <c r="G289" s="171"/>
      <c r="H289" s="171"/>
      <c r="I289" s="62"/>
      <c r="J289" s="171"/>
      <c r="K289" s="171"/>
      <c r="L289" s="171"/>
      <c r="M289" s="171"/>
      <c r="N289" s="171"/>
      <c r="O289" s="171"/>
      <c r="P289" s="171"/>
      <c r="Q289" s="171"/>
      <c r="R289" s="171"/>
      <c r="S289" s="62"/>
      <c r="T289" s="62"/>
      <c r="U289" s="62"/>
    </row>
    <row r="290" spans="1:21" x14ac:dyDescent="0.3">
      <c r="A290" s="62"/>
      <c r="B290" s="62"/>
      <c r="C290" s="62"/>
      <c r="D290" s="171"/>
      <c r="E290" s="62"/>
      <c r="F290" s="62"/>
      <c r="G290" s="171"/>
      <c r="H290" s="171"/>
      <c r="I290" s="62"/>
      <c r="J290" s="171"/>
      <c r="K290" s="171"/>
      <c r="L290" s="171"/>
      <c r="M290" s="171"/>
      <c r="N290" s="171"/>
      <c r="O290" s="171"/>
      <c r="P290" s="171"/>
      <c r="Q290" s="171"/>
      <c r="R290" s="171"/>
      <c r="S290" s="62"/>
      <c r="T290" s="62"/>
      <c r="U290" s="62"/>
    </row>
    <row r="291" spans="1:21" x14ac:dyDescent="0.3">
      <c r="A291" s="62"/>
      <c r="B291" s="62"/>
      <c r="C291" s="62"/>
      <c r="D291" s="171"/>
      <c r="E291" s="62"/>
      <c r="F291" s="62"/>
      <c r="G291" s="171"/>
      <c r="H291" s="171"/>
      <c r="I291" s="62"/>
      <c r="J291" s="171"/>
      <c r="K291" s="171"/>
      <c r="L291" s="171"/>
      <c r="M291" s="171"/>
      <c r="N291" s="171"/>
      <c r="O291" s="171"/>
      <c r="P291" s="171"/>
      <c r="Q291" s="171"/>
      <c r="R291" s="171"/>
      <c r="S291" s="62"/>
      <c r="T291" s="62"/>
      <c r="U291" s="62"/>
    </row>
    <row r="292" spans="1:21" x14ac:dyDescent="0.3">
      <c r="A292" s="62"/>
      <c r="B292" s="62"/>
      <c r="C292" s="62"/>
      <c r="D292" s="171"/>
      <c r="E292" s="62"/>
      <c r="F292" s="62"/>
      <c r="G292" s="171"/>
      <c r="H292" s="171"/>
      <c r="I292" s="62"/>
      <c r="J292" s="171"/>
      <c r="K292" s="171"/>
      <c r="L292" s="171"/>
      <c r="M292" s="171"/>
      <c r="N292" s="171"/>
      <c r="O292" s="171"/>
      <c r="P292" s="171"/>
      <c r="Q292" s="171"/>
      <c r="R292" s="171"/>
      <c r="S292" s="62"/>
      <c r="T292" s="62"/>
      <c r="U292" s="62"/>
    </row>
    <row r="293" spans="1:21" x14ac:dyDescent="0.3">
      <c r="A293" s="62"/>
      <c r="B293" s="62"/>
      <c r="C293" s="62"/>
      <c r="D293" s="171"/>
      <c r="E293" s="62"/>
      <c r="F293" s="62"/>
      <c r="G293" s="171"/>
      <c r="H293" s="171"/>
      <c r="I293" s="62"/>
      <c r="J293" s="171"/>
      <c r="K293" s="171"/>
      <c r="L293" s="171"/>
      <c r="M293" s="171"/>
      <c r="N293" s="171"/>
      <c r="O293" s="171"/>
      <c r="P293" s="171"/>
      <c r="Q293" s="171"/>
      <c r="R293" s="171"/>
      <c r="S293" s="62"/>
      <c r="T293" s="62"/>
      <c r="U293" s="62"/>
    </row>
    <row r="294" spans="1:21" x14ac:dyDescent="0.3">
      <c r="A294" s="62"/>
      <c r="B294" s="62"/>
      <c r="C294" s="62"/>
      <c r="D294" s="171"/>
      <c r="E294" s="62"/>
      <c r="F294" s="62"/>
      <c r="G294" s="171"/>
      <c r="H294" s="171"/>
      <c r="I294" s="62"/>
      <c r="J294" s="171"/>
      <c r="K294" s="171"/>
      <c r="L294" s="171"/>
      <c r="M294" s="171"/>
      <c r="N294" s="171"/>
      <c r="O294" s="171"/>
      <c r="P294" s="171"/>
      <c r="Q294" s="171"/>
      <c r="R294" s="171"/>
      <c r="S294" s="62"/>
      <c r="T294" s="62"/>
      <c r="U294" s="62"/>
    </row>
    <row r="295" spans="1:21" x14ac:dyDescent="0.3">
      <c r="A295" s="62"/>
      <c r="B295" s="62"/>
      <c r="C295" s="62"/>
      <c r="D295" s="171"/>
      <c r="E295" s="62"/>
      <c r="F295" s="62"/>
      <c r="G295" s="171"/>
      <c r="H295" s="171"/>
      <c r="I295" s="62"/>
      <c r="J295" s="171"/>
      <c r="K295" s="171"/>
      <c r="L295" s="171"/>
      <c r="M295" s="171"/>
      <c r="N295" s="171"/>
      <c r="O295" s="171"/>
      <c r="P295" s="171"/>
      <c r="Q295" s="171"/>
      <c r="R295" s="171"/>
      <c r="S295" s="62"/>
      <c r="T295" s="62"/>
      <c r="U295" s="62"/>
    </row>
    <row r="296" spans="1:21" x14ac:dyDescent="0.3">
      <c r="A296" s="62"/>
      <c r="B296" s="62"/>
      <c r="C296" s="62"/>
      <c r="D296" s="171"/>
      <c r="E296" s="62"/>
      <c r="F296" s="62"/>
      <c r="G296" s="171"/>
      <c r="H296" s="171"/>
      <c r="I296" s="62"/>
      <c r="J296" s="171"/>
      <c r="K296" s="171"/>
      <c r="L296" s="171"/>
      <c r="M296" s="171"/>
      <c r="N296" s="171"/>
      <c r="O296" s="171"/>
      <c r="P296" s="171"/>
      <c r="Q296" s="171"/>
      <c r="R296" s="171"/>
      <c r="S296" s="62"/>
      <c r="T296" s="62"/>
      <c r="U296" s="62"/>
    </row>
    <row r="297" spans="1:21" x14ac:dyDescent="0.3">
      <c r="A297" s="62"/>
      <c r="B297" s="62"/>
      <c r="C297" s="62"/>
      <c r="D297" s="171"/>
      <c r="E297" s="62"/>
      <c r="F297" s="62"/>
      <c r="G297" s="171"/>
      <c r="H297" s="171"/>
      <c r="I297" s="62"/>
      <c r="J297" s="171"/>
      <c r="K297" s="171"/>
      <c r="L297" s="171"/>
      <c r="M297" s="171"/>
      <c r="N297" s="171"/>
      <c r="O297" s="171"/>
      <c r="P297" s="171"/>
      <c r="Q297" s="171"/>
      <c r="R297" s="171"/>
      <c r="S297" s="62"/>
      <c r="T297" s="62"/>
      <c r="U297" s="62"/>
    </row>
    <row r="298" spans="1:21" x14ac:dyDescent="0.3">
      <c r="A298" s="62"/>
      <c r="B298" s="62"/>
      <c r="C298" s="62"/>
      <c r="D298" s="171"/>
      <c r="E298" s="62"/>
      <c r="F298" s="62"/>
      <c r="G298" s="171"/>
      <c r="H298" s="171"/>
      <c r="I298" s="62"/>
      <c r="J298" s="171"/>
      <c r="K298" s="171"/>
      <c r="L298" s="171"/>
      <c r="M298" s="171"/>
      <c r="N298" s="171"/>
      <c r="O298" s="171"/>
      <c r="P298" s="171"/>
      <c r="Q298" s="171"/>
      <c r="R298" s="171"/>
      <c r="S298" s="62"/>
      <c r="T298" s="62"/>
      <c r="U298" s="62"/>
    </row>
    <row r="299" spans="1:21" x14ac:dyDescent="0.3">
      <c r="A299" s="62"/>
      <c r="B299" s="62"/>
      <c r="C299" s="62"/>
      <c r="D299" s="171"/>
      <c r="E299" s="62"/>
      <c r="F299" s="62"/>
      <c r="G299" s="171"/>
      <c r="H299" s="171"/>
      <c r="I299" s="62"/>
      <c r="J299" s="171"/>
      <c r="K299" s="171"/>
      <c r="L299" s="171"/>
      <c r="M299" s="171"/>
      <c r="N299" s="171"/>
      <c r="O299" s="171"/>
      <c r="P299" s="171"/>
      <c r="Q299" s="171"/>
      <c r="R299" s="171"/>
      <c r="S299" s="62"/>
      <c r="T299" s="62"/>
      <c r="U299" s="62"/>
    </row>
  </sheetData>
  <customSheetViews>
    <customSheetView guid="{121E4431-22F3-11D5-8242-00600818425F}" scale="75" showRuler="0">
      <pane xSplit="2" ySplit="7" topLeftCell="E218" activePane="bottomRight" state="frozen"/>
      <selection pane="bottomRight" activeCell="B229" sqref="B229"/>
      <rowBreaks count="4" manualBreakCount="4">
        <brk id="53" max="16383" man="1"/>
        <brk id="98" max="16383" man="1"/>
        <brk id="152" max="16383" man="1"/>
        <brk id="195" max="16383" man="1"/>
      </rowBreaks>
      <pageMargins left="0" right="0" top="0.5" bottom="0.4" header="0.2" footer="0.2"/>
      <printOptions horizontalCentered="1" gridLines="1"/>
      <pageSetup scale="60" fitToHeight="0" orientation="landscape" horizontalDpi="300" vertic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hiddenColumns="1" showRuler="0">
      <pane xSplit="2" ySplit="7" topLeftCell="C226" activePane="bottomRight" state="frozen"/>
      <selection pane="bottomRight" activeCell="D207" sqref="D207"/>
      <rowBreaks count="4" manualBreakCount="4">
        <brk id="53" max="16383" man="1"/>
        <brk id="98" max="16383" man="1"/>
        <brk id="152" max="16383" man="1"/>
        <brk id="195" max="16383" man="1"/>
      </rowBreaks>
      <pageMargins left="0" right="0" top="0.5" bottom="0.4" header="0.2" footer="0.2"/>
      <printOptions horizontalCentered="1" gridLines="1"/>
      <pageSetup scale="60" fitToHeight="0" orientation="landscape" horizontalDpi="300" vertic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hiddenColumns="1" showRuler="0">
      <pane xSplit="2" ySplit="7" topLeftCell="C226" activePane="bottomRight" state="frozen"/>
      <selection pane="bottomRight" activeCell="D207" sqref="D207"/>
      <rowBreaks count="4" manualBreakCount="4">
        <brk id="53" max="16383" man="1"/>
        <brk id="98" max="16383" man="1"/>
        <brk id="152" max="16383" man="1"/>
        <brk id="195" max="16383" man="1"/>
      </rowBreaks>
      <pageMargins left="0" right="0" top="0.5" bottom="0.4" header="0.2" footer="0.2"/>
      <printOptions horizontalCentered="1" gridLines="1"/>
      <pageSetup scale="60" fitToHeight="0" orientation="landscape" horizontalDpi="300" verticalDpi="30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53" fitToHeight="0" orientation="landscape" horizontalDpi="300" verticalDpi="300" r:id="rId4"/>
  <headerFooter alignWithMargins="0">
    <oddFooter>&amp;L&amp;8&amp;F&amp;C&amp;8&amp;A
page &amp;P&amp;R&amp;8&amp;D
&amp;T</oddFooter>
  </headerFooter>
  <rowBreaks count="4" manualBreakCount="4">
    <brk id="53" max="16383" man="1"/>
    <brk id="100" max="16383" man="1"/>
    <brk id="154" max="16383" man="1"/>
    <brk id="21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316"/>
  <sheetViews>
    <sheetView zoomScale="80" zoomScaleNormal="80" workbookViewId="0">
      <pane xSplit="2" ySplit="7" topLeftCell="C8" activePane="bottomRight" state="frozen"/>
      <selection activeCell="C368" sqref="C368"/>
      <selection pane="topRight" activeCell="C368" sqref="C368"/>
      <selection pane="bottomLeft" activeCell="C368" sqref="C368"/>
      <selection pane="bottomRight" activeCell="C8" sqref="C8"/>
    </sheetView>
  </sheetViews>
  <sheetFormatPr defaultColWidth="9.1796875" defaultRowHeight="13" x14ac:dyDescent="0.3"/>
  <cols>
    <col min="1" max="1" width="11.1796875" style="4" customWidth="1"/>
    <col min="2" max="2" width="38.81640625" style="4" customWidth="1"/>
    <col min="3" max="3" width="10.54296875" style="4" customWidth="1"/>
    <col min="4" max="4" width="13.54296875" style="17" customWidth="1"/>
    <col min="5" max="11" width="13.54296875" style="20" customWidth="1"/>
    <col min="12" max="12" width="11.54296875" style="17" customWidth="1"/>
    <col min="13" max="13" width="12" style="17" customWidth="1"/>
    <col min="14" max="14" width="11.453125" style="4" customWidth="1"/>
    <col min="15" max="15" width="13.453125" style="4" bestFit="1" customWidth="1"/>
    <col min="16" max="16" width="11" style="4" bestFit="1" customWidth="1"/>
    <col min="17" max="17" width="12.1796875" style="4" bestFit="1" customWidth="1"/>
    <col min="18" max="18" width="12.81640625" style="4" bestFit="1" customWidth="1"/>
    <col min="19" max="19" width="10.453125" style="4" bestFit="1" customWidth="1"/>
    <col min="20" max="20" width="12.1796875" style="4" bestFit="1" customWidth="1"/>
    <col min="21" max="21" width="8.1796875" style="4" bestFit="1" customWidth="1"/>
    <col min="22" max="22" width="10.54296875" style="4" bestFit="1" customWidth="1"/>
    <col min="23" max="23" width="10.453125" style="4" customWidth="1"/>
    <col min="24" max="24" width="12.81640625" style="4" bestFit="1" customWidth="1"/>
    <col min="25" max="26" width="11.54296875" style="4" customWidth="1"/>
    <col min="27" max="27" width="13.1796875" style="4" bestFit="1" customWidth="1"/>
    <col min="28" max="28" width="12.453125" style="4" bestFit="1" customWidth="1"/>
    <col min="29" max="31" width="11.54296875" style="4" customWidth="1"/>
    <col min="32" max="32" width="13.54296875" style="4" bestFit="1" customWidth="1"/>
    <col min="33" max="33" width="12" style="4" customWidth="1"/>
    <col min="34" max="34" width="11.81640625" style="4" bestFit="1" customWidth="1"/>
    <col min="35" max="35" width="9.1796875" style="4" bestFit="1" customWidth="1"/>
    <col min="36" max="36" width="14.54296875" style="4" bestFit="1" customWidth="1"/>
    <col min="37" max="37" width="13.453125" style="4" bestFit="1" customWidth="1"/>
    <col min="38" max="38" width="12" style="4" bestFit="1" customWidth="1"/>
    <col min="39" max="16384" width="9.1796875" style="4"/>
  </cols>
  <sheetData>
    <row r="1" spans="1:40" x14ac:dyDescent="0.3">
      <c r="A1" s="343" t="str">
        <f>'1. RB-i'!A1</f>
        <v>CPS Energy</v>
      </c>
      <c r="B1" s="207"/>
      <c r="C1" s="207"/>
      <c r="D1" s="207"/>
      <c r="E1" s="207"/>
      <c r="F1" s="449"/>
      <c r="G1" s="449"/>
      <c r="H1" s="449"/>
      <c r="I1" s="449"/>
      <c r="J1" s="449"/>
      <c r="K1" s="449"/>
      <c r="L1" s="353"/>
      <c r="M1" s="353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345"/>
    </row>
    <row r="2" spans="1:40" x14ac:dyDescent="0.3">
      <c r="A2" s="346" t="str">
        <f>'4a. OM less M&amp;S'!A2</f>
        <v>O&amp;M less M&amp;S-Excluding Fuel (accts. 501 and 518)</v>
      </c>
      <c r="B2" s="191"/>
      <c r="C2" s="191"/>
      <c r="D2" s="256"/>
      <c r="E2" s="445"/>
      <c r="F2" s="445"/>
      <c r="G2" s="445"/>
      <c r="H2" s="445"/>
      <c r="I2" s="445"/>
      <c r="J2" s="445"/>
      <c r="K2" s="445"/>
      <c r="L2" s="256"/>
      <c r="M2" s="256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347"/>
    </row>
    <row r="3" spans="1:40" x14ac:dyDescent="0.3">
      <c r="A3" s="346" t="s">
        <v>921</v>
      </c>
      <c r="B3" s="191"/>
      <c r="C3" s="191"/>
      <c r="D3" s="256"/>
      <c r="E3" s="445"/>
      <c r="F3" s="445"/>
      <c r="G3" s="445"/>
      <c r="H3" s="445"/>
      <c r="I3" s="445"/>
      <c r="J3" s="445"/>
      <c r="K3" s="445"/>
      <c r="L3" s="256"/>
      <c r="M3" s="257" t="s">
        <v>367</v>
      </c>
      <c r="N3" s="258"/>
      <c r="O3" s="258"/>
      <c r="P3" s="258"/>
      <c r="Q3" s="258"/>
      <c r="R3" s="258"/>
      <c r="S3" s="258"/>
      <c r="T3" s="258"/>
      <c r="U3" s="258"/>
      <c r="V3" s="259"/>
      <c r="W3" s="259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347"/>
      <c r="AJ3" s="31"/>
    </row>
    <row r="4" spans="1:40" x14ac:dyDescent="0.3">
      <c r="A4" s="261"/>
      <c r="B4" s="262"/>
      <c r="C4" s="262"/>
      <c r="D4" s="257" t="s">
        <v>544</v>
      </c>
      <c r="E4" s="258"/>
      <c r="F4" s="258"/>
      <c r="G4" s="258"/>
      <c r="H4" s="258"/>
      <c r="I4" s="259"/>
      <c r="J4" s="258"/>
      <c r="K4" s="259"/>
      <c r="L4" s="262"/>
      <c r="M4" s="191"/>
      <c r="N4" s="257" t="s">
        <v>922</v>
      </c>
      <c r="O4" s="258"/>
      <c r="P4" s="258"/>
      <c r="Q4" s="259"/>
      <c r="R4" s="257" t="s">
        <v>923</v>
      </c>
      <c r="S4" s="258"/>
      <c r="T4" s="258"/>
      <c r="U4" s="258"/>
      <c r="V4" s="259"/>
      <c r="W4" s="265"/>
      <c r="X4" s="257" t="s">
        <v>907</v>
      </c>
      <c r="Y4" s="258"/>
      <c r="Z4" s="259"/>
      <c r="AA4" s="191"/>
      <c r="AB4" s="257" t="s">
        <v>85</v>
      </c>
      <c r="AC4" s="258"/>
      <c r="AD4" s="258"/>
      <c r="AE4" s="258"/>
      <c r="AF4" s="257" t="s">
        <v>912</v>
      </c>
      <c r="AG4" s="259"/>
      <c r="AH4" s="347"/>
      <c r="AJ4" s="31"/>
    </row>
    <row r="5" spans="1:40" x14ac:dyDescent="0.3">
      <c r="A5" s="268"/>
      <c r="B5" s="194"/>
      <c r="C5" s="194"/>
      <c r="D5" s="195" t="s">
        <v>357</v>
      </c>
      <c r="E5" s="417" t="s">
        <v>924</v>
      </c>
      <c r="F5" s="417"/>
      <c r="G5" s="417"/>
      <c r="H5" s="417"/>
      <c r="I5" s="417" t="s">
        <v>924</v>
      </c>
      <c r="J5" s="269"/>
      <c r="K5" s="197" t="s">
        <v>79</v>
      </c>
      <c r="L5" s="198" t="s">
        <v>357</v>
      </c>
      <c r="M5" s="199" t="s">
        <v>357</v>
      </c>
      <c r="N5" s="270"/>
      <c r="O5" s="271" t="s">
        <v>925</v>
      </c>
      <c r="P5" s="271" t="s">
        <v>926</v>
      </c>
      <c r="Q5" s="216"/>
      <c r="R5" s="270" t="s">
        <v>925</v>
      </c>
      <c r="S5" s="271" t="s">
        <v>926</v>
      </c>
      <c r="T5" s="271"/>
      <c r="U5" s="263"/>
      <c r="V5" s="263"/>
      <c r="W5" s="216" t="s">
        <v>1010</v>
      </c>
      <c r="X5" s="271" t="s">
        <v>357</v>
      </c>
      <c r="Y5" s="270"/>
      <c r="Z5" s="270" t="s">
        <v>994</v>
      </c>
      <c r="AA5" s="215" t="s">
        <v>357</v>
      </c>
      <c r="AB5" s="215" t="s">
        <v>357</v>
      </c>
      <c r="AC5" s="215" t="s">
        <v>86</v>
      </c>
      <c r="AD5" s="215" t="s">
        <v>1003</v>
      </c>
      <c r="AE5" s="272"/>
      <c r="AF5" s="215" t="s">
        <v>911</v>
      </c>
      <c r="AG5" s="215"/>
      <c r="AH5" s="217" t="s">
        <v>357</v>
      </c>
      <c r="AJ5" s="5" t="s">
        <v>357</v>
      </c>
    </row>
    <row r="6" spans="1:40" x14ac:dyDescent="0.3">
      <c r="A6" s="268" t="s">
        <v>539</v>
      </c>
      <c r="B6" s="186" t="s">
        <v>359</v>
      </c>
      <c r="C6" s="194"/>
      <c r="D6" s="186" t="s">
        <v>544</v>
      </c>
      <c r="E6" s="417" t="s">
        <v>928</v>
      </c>
      <c r="F6" s="417" t="s">
        <v>1140</v>
      </c>
      <c r="G6" s="417" t="s">
        <v>1139</v>
      </c>
      <c r="H6" s="417" t="s">
        <v>947</v>
      </c>
      <c r="I6" s="417" t="s">
        <v>927</v>
      </c>
      <c r="J6" s="417" t="s">
        <v>617</v>
      </c>
      <c r="K6" s="187" t="s">
        <v>80</v>
      </c>
      <c r="L6" s="198" t="s">
        <v>366</v>
      </c>
      <c r="M6" s="199" t="s">
        <v>367</v>
      </c>
      <c r="N6" s="200" t="s">
        <v>929</v>
      </c>
      <c r="O6" s="417" t="s">
        <v>930</v>
      </c>
      <c r="P6" s="417" t="s">
        <v>930</v>
      </c>
      <c r="Q6" s="187" t="s">
        <v>931</v>
      </c>
      <c r="R6" s="200" t="s">
        <v>930</v>
      </c>
      <c r="S6" s="417" t="s">
        <v>930</v>
      </c>
      <c r="T6" s="417" t="s">
        <v>931</v>
      </c>
      <c r="U6" s="417" t="s">
        <v>456</v>
      </c>
      <c r="V6" s="417" t="s">
        <v>932</v>
      </c>
      <c r="W6" s="187" t="s">
        <v>1011</v>
      </c>
      <c r="X6" s="417" t="s">
        <v>907</v>
      </c>
      <c r="Y6" s="200" t="s">
        <v>907</v>
      </c>
      <c r="Z6" s="200" t="s">
        <v>995</v>
      </c>
      <c r="AA6" s="186" t="s">
        <v>84</v>
      </c>
      <c r="AB6" s="186" t="s">
        <v>82</v>
      </c>
      <c r="AC6" s="186" t="s">
        <v>87</v>
      </c>
      <c r="AD6" s="186" t="s">
        <v>1004</v>
      </c>
      <c r="AE6" s="186" t="s">
        <v>1005</v>
      </c>
      <c r="AF6" s="186" t="s">
        <v>912</v>
      </c>
      <c r="AG6" s="186" t="s">
        <v>1006</v>
      </c>
      <c r="AH6" s="219" t="s">
        <v>913</v>
      </c>
      <c r="AJ6" s="5" t="s">
        <v>365</v>
      </c>
      <c r="AK6" s="6" t="s">
        <v>933</v>
      </c>
      <c r="AL6" s="6" t="s">
        <v>824</v>
      </c>
    </row>
    <row r="7" spans="1:40" ht="13.5" thickBot="1" x14ac:dyDescent="0.35">
      <c r="A7" s="278" t="s">
        <v>545</v>
      </c>
      <c r="B7" s="279"/>
      <c r="C7" s="279"/>
      <c r="D7" s="281" t="s">
        <v>815</v>
      </c>
      <c r="E7" s="282" t="s">
        <v>816</v>
      </c>
      <c r="F7" s="282"/>
      <c r="G7" s="282"/>
      <c r="H7" s="282"/>
      <c r="I7" s="282" t="s">
        <v>817</v>
      </c>
      <c r="J7" s="282" t="s">
        <v>818</v>
      </c>
      <c r="K7" s="282" t="s">
        <v>819</v>
      </c>
      <c r="L7" s="234" t="s">
        <v>820</v>
      </c>
      <c r="M7" s="282" t="s">
        <v>821</v>
      </c>
      <c r="N7" s="281" t="s">
        <v>822</v>
      </c>
      <c r="O7" s="282" t="s">
        <v>823</v>
      </c>
      <c r="P7" s="282" t="s">
        <v>908</v>
      </c>
      <c r="Q7" s="282" t="s">
        <v>914</v>
      </c>
      <c r="R7" s="281" t="s">
        <v>915</v>
      </c>
      <c r="S7" s="282" t="s">
        <v>916</v>
      </c>
      <c r="T7" s="282" t="s">
        <v>917</v>
      </c>
      <c r="U7" s="282" t="s">
        <v>918</v>
      </c>
      <c r="V7" s="282" t="s">
        <v>934</v>
      </c>
      <c r="W7" s="283" t="s">
        <v>935</v>
      </c>
      <c r="X7" s="282" t="s">
        <v>936</v>
      </c>
      <c r="Y7" s="282" t="s">
        <v>937</v>
      </c>
      <c r="Z7" s="234" t="s">
        <v>938</v>
      </c>
      <c r="AA7" s="234" t="s">
        <v>939</v>
      </c>
      <c r="AB7" s="234" t="s">
        <v>985</v>
      </c>
      <c r="AC7" s="234" t="s">
        <v>986</v>
      </c>
      <c r="AD7" s="234" t="s">
        <v>987</v>
      </c>
      <c r="AE7" s="234" t="s">
        <v>988</v>
      </c>
      <c r="AF7" s="234" t="s">
        <v>989</v>
      </c>
      <c r="AG7" s="234" t="s">
        <v>990</v>
      </c>
      <c r="AH7" s="235" t="s">
        <v>991</v>
      </c>
      <c r="AI7" s="179"/>
      <c r="AJ7" s="45"/>
    </row>
    <row r="8" spans="1:40" x14ac:dyDescent="0.3">
      <c r="A8" s="44"/>
      <c r="B8" s="31"/>
      <c r="C8" s="31"/>
      <c r="D8" s="5"/>
      <c r="E8" s="5"/>
      <c r="F8" s="626"/>
      <c r="G8" s="626"/>
      <c r="H8" s="626"/>
      <c r="I8" s="5"/>
      <c r="J8" s="5"/>
      <c r="K8" s="5"/>
      <c r="L8" s="5"/>
      <c r="M8" s="6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J8" s="45"/>
    </row>
    <row r="9" spans="1:40" x14ac:dyDescent="0.3">
      <c r="A9" s="460" t="s">
        <v>547</v>
      </c>
      <c r="B9" s="461"/>
      <c r="C9" s="461"/>
      <c r="D9" s="171"/>
      <c r="E9" s="481"/>
      <c r="F9" s="637"/>
      <c r="G9" s="637"/>
      <c r="H9" s="637"/>
      <c r="I9" s="481"/>
      <c r="J9" s="481"/>
      <c r="K9" s="481"/>
      <c r="L9" s="171"/>
      <c r="M9" s="171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</row>
    <row r="10" spans="1:40" x14ac:dyDescent="0.3">
      <c r="A10" s="462"/>
      <c r="B10" s="461"/>
      <c r="C10" s="461"/>
      <c r="D10" s="171"/>
      <c r="E10" s="481"/>
      <c r="F10" s="637"/>
      <c r="G10" s="637"/>
      <c r="H10" s="637"/>
      <c r="I10" s="481"/>
      <c r="J10" s="481"/>
      <c r="K10" s="481"/>
      <c r="L10" s="171"/>
      <c r="M10" s="171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</row>
    <row r="11" spans="1:40" x14ac:dyDescent="0.3">
      <c r="A11" s="462"/>
      <c r="B11" s="463" t="s">
        <v>548</v>
      </c>
      <c r="C11" s="463"/>
      <c r="D11" s="171"/>
      <c r="E11" s="481"/>
      <c r="F11" s="637"/>
      <c r="G11" s="637"/>
      <c r="H11" s="637"/>
      <c r="I11" s="481"/>
      <c r="J11" s="481"/>
      <c r="K11" s="481"/>
      <c r="L11" s="171"/>
      <c r="M11" s="171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</row>
    <row r="12" spans="1:40" x14ac:dyDescent="0.3">
      <c r="A12" s="462"/>
      <c r="B12" s="464" t="s">
        <v>549</v>
      </c>
      <c r="C12" s="464"/>
      <c r="D12" s="171"/>
      <c r="E12" s="481"/>
      <c r="F12" s="637"/>
      <c r="G12" s="637"/>
      <c r="H12" s="637"/>
      <c r="I12" s="481"/>
      <c r="J12" s="481"/>
      <c r="K12" s="481"/>
      <c r="L12" s="171"/>
      <c r="M12" s="171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</row>
    <row r="13" spans="1:40" x14ac:dyDescent="0.3">
      <c r="A13" s="465">
        <v>500</v>
      </c>
      <c r="B13" s="466" t="s">
        <v>551</v>
      </c>
      <c r="C13" s="466"/>
      <c r="D13" s="669"/>
      <c r="E13" s="669"/>
      <c r="F13" s="669"/>
      <c r="G13" s="669"/>
      <c r="H13" s="669"/>
      <c r="I13" s="669"/>
      <c r="J13" s="669"/>
      <c r="K13" s="669"/>
      <c r="L13" s="669"/>
      <c r="M13" s="669"/>
      <c r="N13" s="669"/>
      <c r="O13" s="669"/>
      <c r="P13" s="669"/>
      <c r="Q13" s="669"/>
      <c r="R13" s="669"/>
      <c r="S13" s="669"/>
      <c r="T13" s="669"/>
      <c r="U13" s="669"/>
      <c r="V13" s="669"/>
      <c r="W13" s="669"/>
      <c r="X13" s="669"/>
      <c r="Y13" s="669"/>
      <c r="Z13" s="669"/>
      <c r="AA13" s="669"/>
      <c r="AB13" s="669"/>
      <c r="AC13" s="669"/>
      <c r="AD13" s="669"/>
      <c r="AE13" s="669"/>
      <c r="AF13" s="669"/>
      <c r="AG13" s="669"/>
      <c r="AH13" s="669"/>
      <c r="AI13" s="62"/>
      <c r="AJ13" s="468">
        <f>'4a. OM less M&amp;S'!I13</f>
        <v>0</v>
      </c>
      <c r="AK13" s="62">
        <f t="shared" ref="AK13:AK22" si="0">SUM(F13:K13,L13,N13:W13,Y13:Z13,AA13:AA13,AC13:AE13,AG13:AH13)</f>
        <v>0</v>
      </c>
      <c r="AL13" s="62">
        <f t="shared" ref="AL13:AL22" si="1">AJ13-AK13</f>
        <v>0</v>
      </c>
      <c r="AM13" s="62"/>
      <c r="AN13" s="62"/>
    </row>
    <row r="14" spans="1:40" x14ac:dyDescent="0.3">
      <c r="A14" s="465">
        <v>501</v>
      </c>
      <c r="B14" s="461" t="s">
        <v>553</v>
      </c>
      <c r="C14" s="461"/>
      <c r="D14" s="669"/>
      <c r="E14" s="669"/>
      <c r="F14" s="669"/>
      <c r="G14" s="669"/>
      <c r="H14" s="669"/>
      <c r="I14" s="669"/>
      <c r="J14" s="669"/>
      <c r="K14" s="669"/>
      <c r="L14" s="669"/>
      <c r="M14" s="669"/>
      <c r="N14" s="669"/>
      <c r="O14" s="669"/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2"/>
      <c r="AJ14" s="468">
        <f>'4a. OM less M&amp;S'!I14</f>
        <v>0</v>
      </c>
      <c r="AK14" s="62">
        <f t="shared" si="0"/>
        <v>0</v>
      </c>
      <c r="AL14" s="62">
        <f t="shared" si="1"/>
        <v>0</v>
      </c>
      <c r="AM14" s="62"/>
      <c r="AN14" s="62"/>
    </row>
    <row r="15" spans="1:40" x14ac:dyDescent="0.3">
      <c r="A15" s="465">
        <v>501</v>
      </c>
      <c r="B15" s="466" t="s">
        <v>554</v>
      </c>
      <c r="C15" s="466"/>
      <c r="D15" s="669"/>
      <c r="E15" s="669"/>
      <c r="F15" s="669"/>
      <c r="G15" s="669"/>
      <c r="H15" s="669"/>
      <c r="I15" s="669"/>
      <c r="J15" s="669"/>
      <c r="K15" s="669"/>
      <c r="L15" s="669"/>
      <c r="M15" s="669"/>
      <c r="N15" s="669"/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2"/>
      <c r="AJ15" s="468">
        <f>'4a. OM less M&amp;S'!I15</f>
        <v>0</v>
      </c>
      <c r="AK15" s="62">
        <f t="shared" si="0"/>
        <v>0</v>
      </c>
      <c r="AL15" s="62">
        <f t="shared" si="1"/>
        <v>0</v>
      </c>
      <c r="AM15" s="62"/>
      <c r="AN15" s="62"/>
    </row>
    <row r="16" spans="1:40" x14ac:dyDescent="0.3">
      <c r="A16" s="465">
        <v>502</v>
      </c>
      <c r="B16" s="461" t="s">
        <v>556</v>
      </c>
      <c r="C16" s="461"/>
      <c r="D16" s="669"/>
      <c r="E16" s="669"/>
      <c r="F16" s="669"/>
      <c r="G16" s="669"/>
      <c r="H16" s="669"/>
      <c r="I16" s="669"/>
      <c r="J16" s="669"/>
      <c r="K16" s="669"/>
      <c r="L16" s="669"/>
      <c r="M16" s="669"/>
      <c r="N16" s="669"/>
      <c r="O16" s="669"/>
      <c r="P16" s="669"/>
      <c r="Q16" s="669"/>
      <c r="R16" s="669"/>
      <c r="S16" s="669"/>
      <c r="T16" s="669"/>
      <c r="U16" s="669"/>
      <c r="V16" s="669"/>
      <c r="W16" s="669"/>
      <c r="X16" s="669"/>
      <c r="Y16" s="669"/>
      <c r="Z16" s="669"/>
      <c r="AA16" s="669"/>
      <c r="AB16" s="669"/>
      <c r="AC16" s="669"/>
      <c r="AD16" s="669"/>
      <c r="AE16" s="669"/>
      <c r="AF16" s="669"/>
      <c r="AG16" s="669"/>
      <c r="AH16" s="669"/>
      <c r="AI16" s="62"/>
      <c r="AJ16" s="468">
        <f>'4a. OM less M&amp;S'!I16</f>
        <v>0</v>
      </c>
      <c r="AK16" s="62">
        <f t="shared" si="0"/>
        <v>0</v>
      </c>
      <c r="AL16" s="62">
        <f t="shared" si="1"/>
        <v>0</v>
      </c>
      <c r="AM16" s="62"/>
      <c r="AN16" s="62"/>
    </row>
    <row r="17" spans="1:40" x14ac:dyDescent="0.3">
      <c r="A17" s="465">
        <v>503</v>
      </c>
      <c r="B17" s="461" t="s">
        <v>558</v>
      </c>
      <c r="C17" s="461"/>
      <c r="D17" s="669"/>
      <c r="E17" s="669"/>
      <c r="F17" s="669"/>
      <c r="G17" s="669"/>
      <c r="H17" s="669"/>
      <c r="I17" s="669"/>
      <c r="J17" s="669"/>
      <c r="K17" s="669"/>
      <c r="L17" s="669"/>
      <c r="M17" s="669"/>
      <c r="N17" s="669"/>
      <c r="O17" s="669"/>
      <c r="P17" s="669"/>
      <c r="Q17" s="669"/>
      <c r="R17" s="669"/>
      <c r="S17" s="669"/>
      <c r="T17" s="669"/>
      <c r="U17" s="669"/>
      <c r="V17" s="669"/>
      <c r="W17" s="669"/>
      <c r="X17" s="669"/>
      <c r="Y17" s="669"/>
      <c r="Z17" s="669"/>
      <c r="AA17" s="669"/>
      <c r="AB17" s="669"/>
      <c r="AC17" s="669"/>
      <c r="AD17" s="669"/>
      <c r="AE17" s="669"/>
      <c r="AF17" s="669"/>
      <c r="AG17" s="669"/>
      <c r="AH17" s="669"/>
      <c r="AI17" s="62"/>
      <c r="AJ17" s="468">
        <f>'4a. OM less M&amp;S'!I17</f>
        <v>0</v>
      </c>
      <c r="AK17" s="62">
        <f t="shared" si="0"/>
        <v>0</v>
      </c>
      <c r="AL17" s="62">
        <f t="shared" si="1"/>
        <v>0</v>
      </c>
      <c r="AM17" s="62"/>
      <c r="AN17" s="62"/>
    </row>
    <row r="18" spans="1:40" x14ac:dyDescent="0.3">
      <c r="A18" s="465">
        <v>505</v>
      </c>
      <c r="B18" s="461" t="s">
        <v>560</v>
      </c>
      <c r="C18" s="461"/>
      <c r="D18" s="669"/>
      <c r="E18" s="669"/>
      <c r="F18" s="669"/>
      <c r="G18" s="669"/>
      <c r="H18" s="669"/>
      <c r="I18" s="669"/>
      <c r="J18" s="669"/>
      <c r="K18" s="669"/>
      <c r="L18" s="669"/>
      <c r="M18" s="669"/>
      <c r="N18" s="669"/>
      <c r="O18" s="669"/>
      <c r="P18" s="669"/>
      <c r="Q18" s="669"/>
      <c r="R18" s="669"/>
      <c r="S18" s="669"/>
      <c r="T18" s="669"/>
      <c r="U18" s="669"/>
      <c r="V18" s="669"/>
      <c r="W18" s="669"/>
      <c r="X18" s="669"/>
      <c r="Y18" s="669"/>
      <c r="Z18" s="669"/>
      <c r="AA18" s="669"/>
      <c r="AB18" s="669"/>
      <c r="AC18" s="669"/>
      <c r="AD18" s="669"/>
      <c r="AE18" s="669"/>
      <c r="AF18" s="669"/>
      <c r="AG18" s="669"/>
      <c r="AH18" s="669"/>
      <c r="AI18" s="62"/>
      <c r="AJ18" s="468">
        <f>'4a. OM less M&amp;S'!I18</f>
        <v>0</v>
      </c>
      <c r="AK18" s="62">
        <f t="shared" si="0"/>
        <v>0</v>
      </c>
      <c r="AL18" s="62">
        <f t="shared" si="1"/>
        <v>0</v>
      </c>
      <c r="AM18" s="62"/>
      <c r="AN18" s="62"/>
    </row>
    <row r="19" spans="1:40" x14ac:dyDescent="0.3">
      <c r="A19" s="465">
        <v>506</v>
      </c>
      <c r="B19" s="461" t="s">
        <v>562</v>
      </c>
      <c r="C19" s="461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  <c r="O19" s="669"/>
      <c r="P19" s="669"/>
      <c r="Q19" s="669"/>
      <c r="R19" s="669"/>
      <c r="S19" s="669"/>
      <c r="T19" s="669"/>
      <c r="U19" s="669"/>
      <c r="V19" s="669"/>
      <c r="W19" s="669"/>
      <c r="X19" s="669"/>
      <c r="Y19" s="669"/>
      <c r="Z19" s="669"/>
      <c r="AA19" s="669"/>
      <c r="AB19" s="669"/>
      <c r="AC19" s="669"/>
      <c r="AD19" s="669"/>
      <c r="AE19" s="669"/>
      <c r="AF19" s="669"/>
      <c r="AG19" s="669"/>
      <c r="AH19" s="669"/>
      <c r="AI19" s="62"/>
      <c r="AJ19" s="468">
        <f>'4a. OM less M&amp;S'!I19</f>
        <v>0</v>
      </c>
      <c r="AK19" s="62">
        <f t="shared" si="0"/>
        <v>0</v>
      </c>
      <c r="AL19" s="62">
        <f t="shared" si="1"/>
        <v>0</v>
      </c>
      <c r="AM19" s="62"/>
      <c r="AN19" s="62"/>
    </row>
    <row r="20" spans="1:40" x14ac:dyDescent="0.3">
      <c r="A20" s="465">
        <v>507</v>
      </c>
      <c r="B20" s="461" t="s">
        <v>564</v>
      </c>
      <c r="C20" s="461"/>
      <c r="D20" s="669"/>
      <c r="E20" s="669"/>
      <c r="F20" s="669"/>
      <c r="G20" s="669"/>
      <c r="H20" s="669"/>
      <c r="I20" s="669"/>
      <c r="J20" s="669"/>
      <c r="K20" s="669"/>
      <c r="L20" s="669"/>
      <c r="M20" s="669"/>
      <c r="N20" s="669"/>
      <c r="O20" s="669"/>
      <c r="P20" s="669"/>
      <c r="Q20" s="669"/>
      <c r="R20" s="669"/>
      <c r="S20" s="669"/>
      <c r="T20" s="669"/>
      <c r="U20" s="669"/>
      <c r="V20" s="669"/>
      <c r="W20" s="669"/>
      <c r="X20" s="669"/>
      <c r="Y20" s="669"/>
      <c r="Z20" s="669"/>
      <c r="AA20" s="669"/>
      <c r="AB20" s="669"/>
      <c r="AC20" s="669"/>
      <c r="AD20" s="669"/>
      <c r="AE20" s="669"/>
      <c r="AF20" s="669"/>
      <c r="AG20" s="669"/>
      <c r="AH20" s="669"/>
      <c r="AI20" s="62"/>
      <c r="AJ20" s="468">
        <f>'4a. OM less M&amp;S'!I20</f>
        <v>0</v>
      </c>
      <c r="AK20" s="62">
        <f t="shared" si="0"/>
        <v>0</v>
      </c>
      <c r="AL20" s="62">
        <f t="shared" si="1"/>
        <v>0</v>
      </c>
      <c r="AM20" s="62"/>
      <c r="AN20" s="62"/>
    </row>
    <row r="21" spans="1:40" x14ac:dyDescent="0.3">
      <c r="A21" s="461">
        <v>508</v>
      </c>
      <c r="B21" s="461" t="s">
        <v>893</v>
      </c>
      <c r="C21" s="461"/>
      <c r="D21" s="669"/>
      <c r="E21" s="669"/>
      <c r="F21" s="669"/>
      <c r="G21" s="669"/>
      <c r="H21" s="669"/>
      <c r="I21" s="669"/>
      <c r="J21" s="669"/>
      <c r="K21" s="669"/>
      <c r="L21" s="669"/>
      <c r="M21" s="669"/>
      <c r="N21" s="669"/>
      <c r="O21" s="669"/>
      <c r="P21" s="669"/>
      <c r="Q21" s="669"/>
      <c r="R21" s="669"/>
      <c r="S21" s="669"/>
      <c r="T21" s="669"/>
      <c r="U21" s="669"/>
      <c r="V21" s="669"/>
      <c r="W21" s="669"/>
      <c r="X21" s="669"/>
      <c r="Y21" s="669"/>
      <c r="Z21" s="669"/>
      <c r="AA21" s="669"/>
      <c r="AB21" s="669"/>
      <c r="AC21" s="669"/>
      <c r="AD21" s="669"/>
      <c r="AE21" s="669"/>
      <c r="AF21" s="669"/>
      <c r="AG21" s="669"/>
      <c r="AH21" s="669"/>
      <c r="AI21" s="62"/>
      <c r="AJ21" s="468">
        <f>'4a. OM less M&amp;S'!I21</f>
        <v>0</v>
      </c>
      <c r="AK21" s="62">
        <f t="shared" si="0"/>
        <v>0</v>
      </c>
      <c r="AL21" s="62">
        <f t="shared" si="1"/>
        <v>0</v>
      </c>
      <c r="AM21" s="62"/>
      <c r="AN21" s="62"/>
    </row>
    <row r="22" spans="1:40" x14ac:dyDescent="0.3">
      <c r="A22" s="461"/>
      <c r="B22" s="474" t="s">
        <v>524</v>
      </c>
      <c r="C22" s="474"/>
      <c r="D22" s="678"/>
      <c r="E22" s="678"/>
      <c r="F22" s="678"/>
      <c r="G22" s="678"/>
      <c r="H22" s="678"/>
      <c r="I22" s="678"/>
      <c r="J22" s="678"/>
      <c r="K22" s="678"/>
      <c r="L22" s="678"/>
      <c r="M22" s="678"/>
      <c r="N22" s="678"/>
      <c r="O22" s="678"/>
      <c r="P22" s="678"/>
      <c r="Q22" s="678"/>
      <c r="R22" s="678"/>
      <c r="S22" s="678"/>
      <c r="T22" s="678"/>
      <c r="U22" s="678"/>
      <c r="V22" s="678"/>
      <c r="W22" s="678"/>
      <c r="X22" s="678"/>
      <c r="Y22" s="678"/>
      <c r="Z22" s="678"/>
      <c r="AA22" s="678"/>
      <c r="AB22" s="678"/>
      <c r="AC22" s="678"/>
      <c r="AD22" s="678"/>
      <c r="AE22" s="678"/>
      <c r="AF22" s="678"/>
      <c r="AG22" s="678"/>
      <c r="AH22" s="678"/>
      <c r="AI22" s="62"/>
      <c r="AJ22" s="171">
        <f>SUM(AJ13:AJ21)</f>
        <v>0</v>
      </c>
      <c r="AK22" s="62">
        <f t="shared" si="0"/>
        <v>0</v>
      </c>
      <c r="AL22" s="62">
        <f t="shared" si="1"/>
        <v>0</v>
      </c>
      <c r="AM22" s="62"/>
      <c r="AN22" s="62"/>
    </row>
    <row r="23" spans="1:40" x14ac:dyDescent="0.3">
      <c r="A23" s="461"/>
      <c r="B23" s="461"/>
      <c r="C23" s="461"/>
      <c r="D23" s="678"/>
      <c r="E23" s="687"/>
      <c r="F23" s="687"/>
      <c r="G23" s="687"/>
      <c r="H23" s="687"/>
      <c r="I23" s="687"/>
      <c r="J23" s="687"/>
      <c r="K23" s="687"/>
      <c r="L23" s="678"/>
      <c r="M23" s="678"/>
      <c r="N23" s="677"/>
      <c r="O23" s="677"/>
      <c r="P23" s="677"/>
      <c r="Q23" s="677"/>
      <c r="R23" s="677"/>
      <c r="S23" s="677"/>
      <c r="T23" s="677"/>
      <c r="U23" s="677"/>
      <c r="V23" s="677"/>
      <c r="W23" s="677"/>
      <c r="X23" s="678"/>
      <c r="Y23" s="678"/>
      <c r="Z23" s="678"/>
      <c r="AA23" s="678"/>
      <c r="AB23" s="678"/>
      <c r="AC23" s="678"/>
      <c r="AD23" s="678"/>
      <c r="AE23" s="678"/>
      <c r="AF23" s="678"/>
      <c r="AG23" s="678"/>
      <c r="AH23" s="678"/>
      <c r="AI23" s="62"/>
      <c r="AJ23" s="62"/>
      <c r="AK23" s="62"/>
      <c r="AL23" s="62"/>
      <c r="AM23" s="62"/>
      <c r="AN23" s="62"/>
    </row>
    <row r="24" spans="1:40" x14ac:dyDescent="0.3">
      <c r="A24" s="461"/>
      <c r="B24" s="464" t="s">
        <v>565</v>
      </c>
      <c r="C24" s="464"/>
      <c r="D24" s="678"/>
      <c r="E24" s="687"/>
      <c r="F24" s="687"/>
      <c r="G24" s="687"/>
      <c r="H24" s="687"/>
      <c r="I24" s="687"/>
      <c r="J24" s="687"/>
      <c r="K24" s="687"/>
      <c r="L24" s="678"/>
      <c r="M24" s="678"/>
      <c r="N24" s="677"/>
      <c r="O24" s="677"/>
      <c r="P24" s="677"/>
      <c r="Q24" s="677"/>
      <c r="R24" s="677"/>
      <c r="S24" s="677"/>
      <c r="T24" s="677"/>
      <c r="U24" s="677"/>
      <c r="V24" s="677"/>
      <c r="W24" s="677"/>
      <c r="X24" s="678"/>
      <c r="Y24" s="678"/>
      <c r="Z24" s="678"/>
      <c r="AA24" s="678"/>
      <c r="AB24" s="678"/>
      <c r="AC24" s="678"/>
      <c r="AD24" s="678"/>
      <c r="AE24" s="678"/>
      <c r="AF24" s="678"/>
      <c r="AG24" s="678"/>
      <c r="AH24" s="678"/>
      <c r="AI24" s="62"/>
      <c r="AJ24" s="62"/>
      <c r="AK24" s="62"/>
      <c r="AL24" s="62"/>
      <c r="AM24" s="62"/>
      <c r="AN24" s="62"/>
    </row>
    <row r="25" spans="1:40" x14ac:dyDescent="0.3">
      <c r="A25" s="465">
        <v>510</v>
      </c>
      <c r="B25" s="466" t="s">
        <v>567</v>
      </c>
      <c r="C25" s="466"/>
      <c r="D25" s="669"/>
      <c r="E25" s="669"/>
      <c r="F25" s="669"/>
      <c r="G25" s="669"/>
      <c r="H25" s="669"/>
      <c r="I25" s="669"/>
      <c r="J25" s="669"/>
      <c r="K25" s="669"/>
      <c r="L25" s="669"/>
      <c r="M25" s="669"/>
      <c r="N25" s="669"/>
      <c r="O25" s="669"/>
      <c r="P25" s="669"/>
      <c r="Q25" s="669"/>
      <c r="R25" s="669"/>
      <c r="S25" s="669"/>
      <c r="T25" s="669"/>
      <c r="U25" s="669"/>
      <c r="V25" s="669"/>
      <c r="W25" s="669"/>
      <c r="X25" s="669"/>
      <c r="Y25" s="669"/>
      <c r="Z25" s="669"/>
      <c r="AA25" s="669"/>
      <c r="AB25" s="669"/>
      <c r="AC25" s="669"/>
      <c r="AD25" s="669"/>
      <c r="AE25" s="669"/>
      <c r="AF25" s="669"/>
      <c r="AG25" s="669"/>
      <c r="AH25" s="669"/>
      <c r="AI25" s="62"/>
      <c r="AJ25" s="468">
        <f>'4a. OM less M&amp;S'!I25</f>
        <v>0</v>
      </c>
      <c r="AK25" s="62">
        <f t="shared" ref="AK25:AK31" si="2">SUM(F25:K25,L25,N25:W25,Y25:Z25,AA25:AA25,AC25:AE25,AG25:AH25)</f>
        <v>0</v>
      </c>
      <c r="AL25" s="62">
        <f t="shared" ref="AL25:AL31" si="3">AJ25-AK25</f>
        <v>0</v>
      </c>
      <c r="AM25" s="62"/>
      <c r="AN25" s="62"/>
    </row>
    <row r="26" spans="1:40" x14ac:dyDescent="0.3">
      <c r="A26" s="465">
        <v>511</v>
      </c>
      <c r="B26" s="466" t="s">
        <v>569</v>
      </c>
      <c r="C26" s="466"/>
      <c r="D26" s="669"/>
      <c r="E26" s="669"/>
      <c r="F26" s="669"/>
      <c r="G26" s="669"/>
      <c r="H26" s="669"/>
      <c r="I26" s="669"/>
      <c r="J26" s="669"/>
      <c r="K26" s="669"/>
      <c r="L26" s="669"/>
      <c r="M26" s="669"/>
      <c r="N26" s="669"/>
      <c r="O26" s="669"/>
      <c r="P26" s="669"/>
      <c r="Q26" s="669"/>
      <c r="R26" s="669"/>
      <c r="S26" s="669"/>
      <c r="T26" s="669"/>
      <c r="U26" s="669"/>
      <c r="V26" s="669"/>
      <c r="W26" s="669"/>
      <c r="X26" s="669"/>
      <c r="Y26" s="669"/>
      <c r="Z26" s="669"/>
      <c r="AA26" s="669"/>
      <c r="AB26" s="669"/>
      <c r="AC26" s="669"/>
      <c r="AD26" s="669"/>
      <c r="AE26" s="669"/>
      <c r="AF26" s="669"/>
      <c r="AG26" s="669"/>
      <c r="AH26" s="669"/>
      <c r="AI26" s="62"/>
      <c r="AJ26" s="468">
        <f>'4a. OM less M&amp;S'!I26</f>
        <v>0</v>
      </c>
      <c r="AK26" s="62">
        <f t="shared" si="2"/>
        <v>0</v>
      </c>
      <c r="AL26" s="62">
        <f t="shared" si="3"/>
        <v>0</v>
      </c>
      <c r="AM26" s="62"/>
      <c r="AN26" s="62"/>
    </row>
    <row r="27" spans="1:40" x14ac:dyDescent="0.3">
      <c r="A27" s="465">
        <v>512</v>
      </c>
      <c r="B27" s="461" t="s">
        <v>571</v>
      </c>
      <c r="C27" s="461"/>
      <c r="D27" s="669"/>
      <c r="E27" s="669"/>
      <c r="F27" s="669"/>
      <c r="G27" s="669"/>
      <c r="H27" s="669"/>
      <c r="I27" s="669"/>
      <c r="J27" s="669"/>
      <c r="K27" s="669"/>
      <c r="L27" s="669"/>
      <c r="M27" s="669"/>
      <c r="N27" s="669"/>
      <c r="O27" s="669"/>
      <c r="P27" s="669"/>
      <c r="Q27" s="669"/>
      <c r="R27" s="669"/>
      <c r="S27" s="669"/>
      <c r="T27" s="669"/>
      <c r="U27" s="669"/>
      <c r="V27" s="669"/>
      <c r="W27" s="669"/>
      <c r="X27" s="669"/>
      <c r="Y27" s="669"/>
      <c r="Z27" s="669"/>
      <c r="AA27" s="669"/>
      <c r="AB27" s="669"/>
      <c r="AC27" s="669"/>
      <c r="AD27" s="669"/>
      <c r="AE27" s="669"/>
      <c r="AF27" s="669"/>
      <c r="AG27" s="669"/>
      <c r="AH27" s="669"/>
      <c r="AI27" s="62"/>
      <c r="AJ27" s="468">
        <f>'4a. OM less M&amp;S'!I27</f>
        <v>0</v>
      </c>
      <c r="AK27" s="62">
        <f t="shared" si="2"/>
        <v>0</v>
      </c>
      <c r="AL27" s="62">
        <f t="shared" si="3"/>
        <v>0</v>
      </c>
      <c r="AM27" s="62"/>
      <c r="AN27" s="62"/>
    </row>
    <row r="28" spans="1:40" x14ac:dyDescent="0.3">
      <c r="A28" s="465">
        <v>513</v>
      </c>
      <c r="B28" s="461" t="s">
        <v>573</v>
      </c>
      <c r="C28" s="461"/>
      <c r="D28" s="669"/>
      <c r="E28" s="669"/>
      <c r="F28" s="669"/>
      <c r="G28" s="669"/>
      <c r="H28" s="669"/>
      <c r="I28" s="669"/>
      <c r="J28" s="669"/>
      <c r="K28" s="669"/>
      <c r="L28" s="669"/>
      <c r="M28" s="669"/>
      <c r="N28" s="669"/>
      <c r="O28" s="669"/>
      <c r="P28" s="669"/>
      <c r="Q28" s="669"/>
      <c r="R28" s="669"/>
      <c r="S28" s="669"/>
      <c r="T28" s="669"/>
      <c r="U28" s="669"/>
      <c r="V28" s="669"/>
      <c r="W28" s="669"/>
      <c r="X28" s="669"/>
      <c r="Y28" s="669"/>
      <c r="Z28" s="669"/>
      <c r="AA28" s="669"/>
      <c r="AB28" s="669"/>
      <c r="AC28" s="669"/>
      <c r="AD28" s="669"/>
      <c r="AE28" s="669"/>
      <c r="AF28" s="669"/>
      <c r="AG28" s="669"/>
      <c r="AH28" s="669"/>
      <c r="AI28" s="62"/>
      <c r="AJ28" s="468">
        <f>'4a. OM less M&amp;S'!I28</f>
        <v>0</v>
      </c>
      <c r="AK28" s="62">
        <f t="shared" si="2"/>
        <v>0</v>
      </c>
      <c r="AL28" s="62">
        <f t="shared" si="3"/>
        <v>0</v>
      </c>
      <c r="AM28" s="62"/>
      <c r="AN28" s="62"/>
    </row>
    <row r="29" spans="1:40" x14ac:dyDescent="0.3">
      <c r="A29" s="465">
        <v>514</v>
      </c>
      <c r="B29" s="461" t="s">
        <v>575</v>
      </c>
      <c r="C29" s="461"/>
      <c r="D29" s="669"/>
      <c r="E29" s="669"/>
      <c r="F29" s="669"/>
      <c r="G29" s="669"/>
      <c r="H29" s="669"/>
      <c r="I29" s="669"/>
      <c r="J29" s="669"/>
      <c r="K29" s="669"/>
      <c r="L29" s="669"/>
      <c r="M29" s="669"/>
      <c r="N29" s="669"/>
      <c r="O29" s="669"/>
      <c r="P29" s="669"/>
      <c r="Q29" s="669"/>
      <c r="R29" s="669"/>
      <c r="S29" s="669"/>
      <c r="T29" s="669"/>
      <c r="U29" s="669"/>
      <c r="V29" s="669"/>
      <c r="W29" s="669"/>
      <c r="X29" s="669"/>
      <c r="Y29" s="669"/>
      <c r="Z29" s="669"/>
      <c r="AA29" s="669"/>
      <c r="AB29" s="669"/>
      <c r="AC29" s="669"/>
      <c r="AD29" s="669"/>
      <c r="AE29" s="669"/>
      <c r="AF29" s="669"/>
      <c r="AG29" s="669"/>
      <c r="AH29" s="669"/>
      <c r="AI29" s="62"/>
      <c r="AJ29" s="468">
        <f>'4a. OM less M&amp;S'!I29</f>
        <v>0</v>
      </c>
      <c r="AK29" s="62">
        <f t="shared" si="2"/>
        <v>0</v>
      </c>
      <c r="AL29" s="62">
        <f t="shared" si="3"/>
        <v>0</v>
      </c>
      <c r="AM29" s="62"/>
      <c r="AN29" s="62"/>
    </row>
    <row r="30" spans="1:40" x14ac:dyDescent="0.3">
      <c r="A30" s="465">
        <v>516</v>
      </c>
      <c r="B30" s="461" t="s">
        <v>891</v>
      </c>
      <c r="C30" s="461"/>
      <c r="D30" s="669"/>
      <c r="E30" s="669"/>
      <c r="F30" s="669"/>
      <c r="G30" s="669"/>
      <c r="H30" s="669"/>
      <c r="I30" s="669"/>
      <c r="J30" s="669"/>
      <c r="K30" s="669"/>
      <c r="L30" s="669"/>
      <c r="M30" s="669"/>
      <c r="N30" s="669"/>
      <c r="O30" s="669"/>
      <c r="P30" s="669"/>
      <c r="Q30" s="669"/>
      <c r="R30" s="669"/>
      <c r="S30" s="669"/>
      <c r="T30" s="669"/>
      <c r="U30" s="669"/>
      <c r="V30" s="669"/>
      <c r="W30" s="669"/>
      <c r="X30" s="669"/>
      <c r="Y30" s="669"/>
      <c r="Z30" s="669"/>
      <c r="AA30" s="669"/>
      <c r="AB30" s="669"/>
      <c r="AC30" s="669"/>
      <c r="AD30" s="669"/>
      <c r="AE30" s="669"/>
      <c r="AF30" s="669"/>
      <c r="AG30" s="669"/>
      <c r="AH30" s="669"/>
      <c r="AI30" s="62"/>
      <c r="AJ30" s="468">
        <f>'4a. OM less M&amp;S'!I30</f>
        <v>0</v>
      </c>
      <c r="AK30" s="62">
        <f t="shared" si="2"/>
        <v>0</v>
      </c>
      <c r="AL30" s="62">
        <f t="shared" si="3"/>
        <v>0</v>
      </c>
      <c r="AM30" s="62"/>
      <c r="AN30" s="62"/>
    </row>
    <row r="31" spans="1:40" x14ac:dyDescent="0.3">
      <c r="A31" s="461"/>
      <c r="B31" s="474" t="s">
        <v>524</v>
      </c>
      <c r="C31" s="474"/>
      <c r="D31" s="669"/>
      <c r="E31" s="669"/>
      <c r="F31" s="669"/>
      <c r="G31" s="669"/>
      <c r="H31" s="669"/>
      <c r="I31" s="669"/>
      <c r="J31" s="669"/>
      <c r="K31" s="669"/>
      <c r="L31" s="669"/>
      <c r="M31" s="669"/>
      <c r="N31" s="669"/>
      <c r="O31" s="669"/>
      <c r="P31" s="669"/>
      <c r="Q31" s="669"/>
      <c r="R31" s="669"/>
      <c r="S31" s="669"/>
      <c r="T31" s="669"/>
      <c r="U31" s="669"/>
      <c r="V31" s="669"/>
      <c r="W31" s="669"/>
      <c r="X31" s="669"/>
      <c r="Y31" s="669"/>
      <c r="Z31" s="669"/>
      <c r="AA31" s="669"/>
      <c r="AB31" s="669"/>
      <c r="AC31" s="669"/>
      <c r="AD31" s="669"/>
      <c r="AE31" s="669"/>
      <c r="AF31" s="669"/>
      <c r="AG31" s="669"/>
      <c r="AH31" s="669"/>
      <c r="AI31" s="62"/>
      <c r="AJ31" s="171">
        <f>SUM(AJ25:AJ30)</f>
        <v>0</v>
      </c>
      <c r="AK31" s="62">
        <f t="shared" si="2"/>
        <v>0</v>
      </c>
      <c r="AL31" s="62">
        <f t="shared" si="3"/>
        <v>0</v>
      </c>
      <c r="AM31" s="62"/>
      <c r="AN31" s="62"/>
    </row>
    <row r="32" spans="1:40" x14ac:dyDescent="0.3">
      <c r="A32" s="461"/>
      <c r="B32" s="474"/>
      <c r="C32" s="474"/>
      <c r="D32" s="669"/>
      <c r="E32" s="669"/>
      <c r="F32" s="669"/>
      <c r="G32" s="669"/>
      <c r="H32" s="669"/>
      <c r="I32" s="669"/>
      <c r="J32" s="669"/>
      <c r="K32" s="669"/>
      <c r="L32" s="669"/>
      <c r="M32" s="669"/>
      <c r="N32" s="669"/>
      <c r="O32" s="669"/>
      <c r="P32" s="669"/>
      <c r="Q32" s="669"/>
      <c r="R32" s="669"/>
      <c r="S32" s="669"/>
      <c r="T32" s="669"/>
      <c r="U32" s="669"/>
      <c r="V32" s="669"/>
      <c r="W32" s="669"/>
      <c r="X32" s="669"/>
      <c r="Y32" s="669"/>
      <c r="Z32" s="669"/>
      <c r="AA32" s="669"/>
      <c r="AB32" s="669"/>
      <c r="AC32" s="669"/>
      <c r="AD32" s="669"/>
      <c r="AE32" s="669"/>
      <c r="AF32" s="669"/>
      <c r="AG32" s="669"/>
      <c r="AH32" s="669"/>
      <c r="AI32" s="62"/>
      <c r="AJ32" s="62"/>
      <c r="AK32" s="62"/>
      <c r="AL32" s="62"/>
      <c r="AM32" s="62"/>
      <c r="AN32" s="62"/>
    </row>
    <row r="33" spans="1:40" x14ac:dyDescent="0.3">
      <c r="A33" s="461">
        <v>515</v>
      </c>
      <c r="B33" s="461" t="s">
        <v>577</v>
      </c>
      <c r="C33" s="461"/>
      <c r="D33" s="669"/>
      <c r="E33" s="669"/>
      <c r="F33" s="669"/>
      <c r="G33" s="669"/>
      <c r="H33" s="669"/>
      <c r="I33" s="669"/>
      <c r="J33" s="669"/>
      <c r="K33" s="669"/>
      <c r="L33" s="669"/>
      <c r="M33" s="669"/>
      <c r="N33" s="669"/>
      <c r="O33" s="669"/>
      <c r="P33" s="669"/>
      <c r="Q33" s="669"/>
      <c r="R33" s="669"/>
      <c r="S33" s="669"/>
      <c r="T33" s="669"/>
      <c r="U33" s="669"/>
      <c r="V33" s="669"/>
      <c r="W33" s="669"/>
      <c r="X33" s="669"/>
      <c r="Y33" s="669"/>
      <c r="Z33" s="669"/>
      <c r="AA33" s="669"/>
      <c r="AB33" s="669"/>
      <c r="AC33" s="669"/>
      <c r="AD33" s="669"/>
      <c r="AE33" s="669"/>
      <c r="AF33" s="669"/>
      <c r="AG33" s="669"/>
      <c r="AH33" s="669"/>
      <c r="AI33" s="62"/>
      <c r="AJ33" s="468">
        <f>'4a. OM less M&amp;S'!I33</f>
        <v>0</v>
      </c>
      <c r="AK33" s="62">
        <f t="shared" ref="AK33" si="4">SUM(F33:K33,L33,N33:W33,Y33:Z33,AA33:AA33,AC33:AE33,AG33:AH33)</f>
        <v>0</v>
      </c>
      <c r="AL33" s="62">
        <f>AJ33-AK33</f>
        <v>0</v>
      </c>
      <c r="AM33" s="62"/>
      <c r="AN33" s="62"/>
    </row>
    <row r="34" spans="1:40" x14ac:dyDescent="0.3">
      <c r="A34" s="461"/>
      <c r="B34" s="461"/>
      <c r="C34" s="461"/>
      <c r="D34" s="669"/>
      <c r="E34" s="669"/>
      <c r="F34" s="669"/>
      <c r="G34" s="669"/>
      <c r="H34" s="669"/>
      <c r="I34" s="669"/>
      <c r="J34" s="669"/>
      <c r="K34" s="669"/>
      <c r="L34" s="669"/>
      <c r="M34" s="669"/>
      <c r="N34" s="669"/>
      <c r="O34" s="669"/>
      <c r="P34" s="669"/>
      <c r="Q34" s="669"/>
      <c r="R34" s="669"/>
      <c r="S34" s="669"/>
      <c r="T34" s="669"/>
      <c r="U34" s="669"/>
      <c r="V34" s="669"/>
      <c r="W34" s="669"/>
      <c r="X34" s="669"/>
      <c r="Y34" s="669"/>
      <c r="Z34" s="669"/>
      <c r="AA34" s="669"/>
      <c r="AB34" s="669"/>
      <c r="AC34" s="669"/>
      <c r="AD34" s="669"/>
      <c r="AE34" s="669"/>
      <c r="AF34" s="669"/>
      <c r="AG34" s="669"/>
      <c r="AH34" s="669"/>
      <c r="AI34" s="62"/>
      <c r="AJ34" s="62"/>
      <c r="AK34" s="62"/>
      <c r="AL34" s="62"/>
      <c r="AM34" s="62"/>
      <c r="AN34" s="62"/>
    </row>
    <row r="35" spans="1:40" x14ac:dyDescent="0.3">
      <c r="A35" s="461"/>
      <c r="B35" s="463" t="s">
        <v>578</v>
      </c>
      <c r="C35" s="463"/>
      <c r="D35" s="669"/>
      <c r="E35" s="669"/>
      <c r="F35" s="669"/>
      <c r="G35" s="669"/>
      <c r="H35" s="669"/>
      <c r="I35" s="669"/>
      <c r="J35" s="669"/>
      <c r="K35" s="669"/>
      <c r="L35" s="669"/>
      <c r="M35" s="669"/>
      <c r="N35" s="669"/>
      <c r="O35" s="669"/>
      <c r="P35" s="669"/>
      <c r="Q35" s="669"/>
      <c r="R35" s="669"/>
      <c r="S35" s="669"/>
      <c r="T35" s="669"/>
      <c r="U35" s="669"/>
      <c r="V35" s="669"/>
      <c r="W35" s="669"/>
      <c r="X35" s="669"/>
      <c r="Y35" s="669"/>
      <c r="Z35" s="669"/>
      <c r="AA35" s="669"/>
      <c r="AB35" s="669"/>
      <c r="AC35" s="669"/>
      <c r="AD35" s="669"/>
      <c r="AE35" s="669"/>
      <c r="AF35" s="669"/>
      <c r="AG35" s="669"/>
      <c r="AH35" s="669"/>
      <c r="AI35" s="62"/>
      <c r="AJ35" s="62"/>
      <c r="AK35" s="62"/>
      <c r="AL35" s="62"/>
      <c r="AM35" s="62"/>
      <c r="AN35" s="62"/>
    </row>
    <row r="36" spans="1:40" x14ac:dyDescent="0.3">
      <c r="A36" s="461"/>
      <c r="B36" s="464" t="s">
        <v>549</v>
      </c>
      <c r="C36" s="464"/>
      <c r="D36" s="669"/>
      <c r="E36" s="669"/>
      <c r="F36" s="669"/>
      <c r="G36" s="669"/>
      <c r="H36" s="669"/>
      <c r="I36" s="669"/>
      <c r="J36" s="669"/>
      <c r="K36" s="669"/>
      <c r="L36" s="669"/>
      <c r="M36" s="669"/>
      <c r="N36" s="669"/>
      <c r="O36" s="669"/>
      <c r="P36" s="669"/>
      <c r="Q36" s="669"/>
      <c r="R36" s="669"/>
      <c r="S36" s="669"/>
      <c r="T36" s="669"/>
      <c r="U36" s="669"/>
      <c r="V36" s="669"/>
      <c r="W36" s="669"/>
      <c r="X36" s="669"/>
      <c r="Y36" s="669"/>
      <c r="Z36" s="669"/>
      <c r="AA36" s="669"/>
      <c r="AB36" s="669"/>
      <c r="AC36" s="669"/>
      <c r="AD36" s="669"/>
      <c r="AE36" s="669"/>
      <c r="AF36" s="669"/>
      <c r="AG36" s="669"/>
      <c r="AH36" s="669"/>
      <c r="AI36" s="62"/>
      <c r="AJ36" s="62"/>
      <c r="AK36" s="62"/>
      <c r="AL36" s="62"/>
      <c r="AM36" s="62"/>
      <c r="AN36" s="62"/>
    </row>
    <row r="37" spans="1:40" x14ac:dyDescent="0.3">
      <c r="A37" s="461">
        <v>517</v>
      </c>
      <c r="B37" s="461" t="s">
        <v>580</v>
      </c>
      <c r="C37" s="461"/>
      <c r="D37" s="669"/>
      <c r="E37" s="669"/>
      <c r="F37" s="669"/>
      <c r="G37" s="669"/>
      <c r="H37" s="669"/>
      <c r="I37" s="669"/>
      <c r="J37" s="669"/>
      <c r="K37" s="669"/>
      <c r="L37" s="669"/>
      <c r="M37" s="669"/>
      <c r="N37" s="669"/>
      <c r="O37" s="669"/>
      <c r="P37" s="669"/>
      <c r="Q37" s="669"/>
      <c r="R37" s="669"/>
      <c r="S37" s="669"/>
      <c r="T37" s="669"/>
      <c r="U37" s="669"/>
      <c r="V37" s="669"/>
      <c r="W37" s="669"/>
      <c r="X37" s="669"/>
      <c r="Y37" s="669"/>
      <c r="Z37" s="669"/>
      <c r="AA37" s="669"/>
      <c r="AB37" s="669"/>
      <c r="AC37" s="669"/>
      <c r="AD37" s="669"/>
      <c r="AE37" s="669"/>
      <c r="AF37" s="669"/>
      <c r="AG37" s="669"/>
      <c r="AH37" s="669"/>
      <c r="AI37" s="62"/>
      <c r="AJ37" s="468">
        <f>'4a. OM less M&amp;S'!I37</f>
        <v>0</v>
      </c>
      <c r="AK37" s="62">
        <f t="shared" ref="AK37:AK44" si="5">SUM(F37:K37,L37,N37:W37,Y37:Z37,AA37:AA37,AC37:AE37,AG37:AH37)</f>
        <v>0</v>
      </c>
      <c r="AL37" s="62">
        <f t="shared" ref="AL37:AL44" si="6">AJ37-AK37</f>
        <v>0</v>
      </c>
      <c r="AM37" s="62"/>
      <c r="AN37" s="62"/>
    </row>
    <row r="38" spans="1:40" x14ac:dyDescent="0.3">
      <c r="A38" s="461">
        <v>518</v>
      </c>
      <c r="B38" s="461" t="s">
        <v>582</v>
      </c>
      <c r="C38" s="461"/>
      <c r="D38" s="669"/>
      <c r="E38" s="669"/>
      <c r="F38" s="669"/>
      <c r="G38" s="669"/>
      <c r="H38" s="669"/>
      <c r="I38" s="669"/>
      <c r="J38" s="669"/>
      <c r="K38" s="669"/>
      <c r="L38" s="669"/>
      <c r="M38" s="669"/>
      <c r="N38" s="669"/>
      <c r="O38" s="669"/>
      <c r="P38" s="669"/>
      <c r="Q38" s="669"/>
      <c r="R38" s="669"/>
      <c r="S38" s="669"/>
      <c r="T38" s="669"/>
      <c r="U38" s="669"/>
      <c r="V38" s="669"/>
      <c r="W38" s="669"/>
      <c r="X38" s="669"/>
      <c r="Y38" s="669"/>
      <c r="Z38" s="669"/>
      <c r="AA38" s="669"/>
      <c r="AB38" s="669"/>
      <c r="AC38" s="669"/>
      <c r="AD38" s="669"/>
      <c r="AE38" s="669"/>
      <c r="AF38" s="669"/>
      <c r="AG38" s="669"/>
      <c r="AH38" s="669"/>
      <c r="AI38" s="62"/>
      <c r="AJ38" s="468">
        <f>'4a. OM less M&amp;S'!I38</f>
        <v>0</v>
      </c>
      <c r="AK38" s="62">
        <f t="shared" si="5"/>
        <v>0</v>
      </c>
      <c r="AL38" s="62">
        <f t="shared" si="6"/>
        <v>0</v>
      </c>
      <c r="AM38" s="62"/>
      <c r="AN38" s="62"/>
    </row>
    <row r="39" spans="1:40" x14ac:dyDescent="0.3">
      <c r="A39" s="461">
        <v>519</v>
      </c>
      <c r="B39" s="461" t="s">
        <v>584</v>
      </c>
      <c r="C39" s="461"/>
      <c r="D39" s="669"/>
      <c r="E39" s="669"/>
      <c r="F39" s="669"/>
      <c r="G39" s="669"/>
      <c r="H39" s="669"/>
      <c r="I39" s="669"/>
      <c r="J39" s="669"/>
      <c r="K39" s="669"/>
      <c r="L39" s="669"/>
      <c r="M39" s="669"/>
      <c r="N39" s="669"/>
      <c r="O39" s="669"/>
      <c r="P39" s="669"/>
      <c r="Q39" s="669"/>
      <c r="R39" s="669"/>
      <c r="S39" s="669"/>
      <c r="T39" s="669"/>
      <c r="U39" s="669"/>
      <c r="V39" s="669"/>
      <c r="W39" s="669"/>
      <c r="X39" s="669"/>
      <c r="Y39" s="669"/>
      <c r="Z39" s="669"/>
      <c r="AA39" s="669"/>
      <c r="AB39" s="669"/>
      <c r="AC39" s="669"/>
      <c r="AD39" s="669"/>
      <c r="AE39" s="669"/>
      <c r="AF39" s="669"/>
      <c r="AG39" s="669"/>
      <c r="AH39" s="669"/>
      <c r="AI39" s="62"/>
      <c r="AJ39" s="468">
        <f>'4a. OM less M&amp;S'!I39</f>
        <v>0</v>
      </c>
      <c r="AK39" s="62">
        <f t="shared" si="5"/>
        <v>0</v>
      </c>
      <c r="AL39" s="62">
        <f t="shared" si="6"/>
        <v>0</v>
      </c>
      <c r="AM39" s="62"/>
      <c r="AN39" s="62"/>
    </row>
    <row r="40" spans="1:40" x14ac:dyDescent="0.3">
      <c r="A40" s="461">
        <v>520</v>
      </c>
      <c r="B40" s="461" t="s">
        <v>556</v>
      </c>
      <c r="C40" s="461"/>
      <c r="D40" s="669"/>
      <c r="E40" s="669"/>
      <c r="F40" s="669"/>
      <c r="G40" s="669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69"/>
      <c r="V40" s="669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62"/>
      <c r="AJ40" s="468">
        <f>'4a. OM less M&amp;S'!I40</f>
        <v>0</v>
      </c>
      <c r="AK40" s="62">
        <f t="shared" si="5"/>
        <v>0</v>
      </c>
      <c r="AL40" s="62">
        <f t="shared" si="6"/>
        <v>0</v>
      </c>
      <c r="AM40" s="62"/>
      <c r="AN40" s="62"/>
    </row>
    <row r="41" spans="1:40" x14ac:dyDescent="0.3">
      <c r="A41" s="461">
        <v>523</v>
      </c>
      <c r="B41" s="466" t="s">
        <v>587</v>
      </c>
      <c r="C41" s="466"/>
      <c r="D41" s="669"/>
      <c r="E41" s="669"/>
      <c r="F41" s="669"/>
      <c r="G41" s="669"/>
      <c r="H41" s="669"/>
      <c r="I41" s="669"/>
      <c r="J41" s="669"/>
      <c r="K41" s="669"/>
      <c r="L41" s="669"/>
      <c r="M41" s="669"/>
      <c r="N41" s="669"/>
      <c r="O41" s="669"/>
      <c r="P41" s="669"/>
      <c r="Q41" s="669"/>
      <c r="R41" s="669"/>
      <c r="S41" s="669"/>
      <c r="T41" s="669"/>
      <c r="U41" s="669"/>
      <c r="V41" s="669"/>
      <c r="W41" s="669"/>
      <c r="X41" s="669"/>
      <c r="Y41" s="669"/>
      <c r="Z41" s="669"/>
      <c r="AA41" s="669"/>
      <c r="AB41" s="669"/>
      <c r="AC41" s="669"/>
      <c r="AD41" s="669"/>
      <c r="AE41" s="669"/>
      <c r="AF41" s="669"/>
      <c r="AG41" s="669"/>
      <c r="AH41" s="669"/>
      <c r="AI41" s="62"/>
      <c r="AJ41" s="468">
        <f>'4a. OM less M&amp;S'!I41</f>
        <v>0</v>
      </c>
      <c r="AK41" s="62">
        <f t="shared" si="5"/>
        <v>0</v>
      </c>
      <c r="AL41" s="62">
        <f t="shared" si="6"/>
        <v>0</v>
      </c>
      <c r="AM41" s="62"/>
      <c r="AN41" s="62"/>
    </row>
    <row r="42" spans="1:40" x14ac:dyDescent="0.3">
      <c r="A42" s="461">
        <v>524</v>
      </c>
      <c r="B42" s="461" t="s">
        <v>589</v>
      </c>
      <c r="C42" s="461"/>
      <c r="D42" s="669"/>
      <c r="E42" s="669"/>
      <c r="F42" s="669"/>
      <c r="G42" s="669"/>
      <c r="H42" s="669"/>
      <c r="I42" s="669"/>
      <c r="J42" s="669"/>
      <c r="K42" s="669"/>
      <c r="L42" s="669"/>
      <c r="M42" s="669"/>
      <c r="N42" s="669"/>
      <c r="O42" s="669"/>
      <c r="P42" s="669"/>
      <c r="Q42" s="669"/>
      <c r="R42" s="669"/>
      <c r="S42" s="669"/>
      <c r="T42" s="669"/>
      <c r="U42" s="669"/>
      <c r="V42" s="669"/>
      <c r="W42" s="669"/>
      <c r="X42" s="669"/>
      <c r="Y42" s="669"/>
      <c r="Z42" s="669"/>
      <c r="AA42" s="669"/>
      <c r="AB42" s="669"/>
      <c r="AC42" s="669"/>
      <c r="AD42" s="669"/>
      <c r="AE42" s="669"/>
      <c r="AF42" s="669"/>
      <c r="AG42" s="669"/>
      <c r="AH42" s="669"/>
      <c r="AI42" s="62"/>
      <c r="AJ42" s="468">
        <f>'4a. OM less M&amp;S'!I42</f>
        <v>0</v>
      </c>
      <c r="AK42" s="62">
        <f t="shared" si="5"/>
        <v>0</v>
      </c>
      <c r="AL42" s="62">
        <f t="shared" si="6"/>
        <v>0</v>
      </c>
      <c r="AM42" s="62"/>
      <c r="AN42" s="62"/>
    </row>
    <row r="43" spans="1:40" x14ac:dyDescent="0.3">
      <c r="A43" s="461">
        <v>525</v>
      </c>
      <c r="B43" s="461" t="s">
        <v>591</v>
      </c>
      <c r="C43" s="461"/>
      <c r="D43" s="669"/>
      <c r="E43" s="669"/>
      <c r="F43" s="669"/>
      <c r="G43" s="669"/>
      <c r="H43" s="669"/>
      <c r="I43" s="669"/>
      <c r="J43" s="669"/>
      <c r="K43" s="669"/>
      <c r="L43" s="669"/>
      <c r="M43" s="669"/>
      <c r="N43" s="669"/>
      <c r="O43" s="669"/>
      <c r="P43" s="669"/>
      <c r="Q43" s="669"/>
      <c r="R43" s="669"/>
      <c r="S43" s="669"/>
      <c r="T43" s="669"/>
      <c r="U43" s="669"/>
      <c r="V43" s="669"/>
      <c r="W43" s="669"/>
      <c r="X43" s="669"/>
      <c r="Y43" s="669"/>
      <c r="Z43" s="669"/>
      <c r="AA43" s="669"/>
      <c r="AB43" s="669"/>
      <c r="AC43" s="669"/>
      <c r="AD43" s="669"/>
      <c r="AE43" s="669"/>
      <c r="AF43" s="669"/>
      <c r="AG43" s="669"/>
      <c r="AH43" s="669"/>
      <c r="AI43" s="62"/>
      <c r="AJ43" s="468">
        <f>'4a. OM less M&amp;S'!I43</f>
        <v>0</v>
      </c>
      <c r="AK43" s="62">
        <f t="shared" si="5"/>
        <v>0</v>
      </c>
      <c r="AL43" s="62">
        <f t="shared" si="6"/>
        <v>0</v>
      </c>
      <c r="AM43" s="62"/>
      <c r="AN43" s="62"/>
    </row>
    <row r="44" spans="1:40" x14ac:dyDescent="0.3">
      <c r="A44" s="461"/>
      <c r="B44" s="474" t="s">
        <v>524</v>
      </c>
      <c r="C44" s="474"/>
      <c r="D44" s="669"/>
      <c r="E44" s="669"/>
      <c r="F44" s="669"/>
      <c r="G44" s="669"/>
      <c r="H44" s="669"/>
      <c r="I44" s="669"/>
      <c r="J44" s="669"/>
      <c r="K44" s="669"/>
      <c r="L44" s="669"/>
      <c r="M44" s="669"/>
      <c r="N44" s="669"/>
      <c r="O44" s="669"/>
      <c r="P44" s="669"/>
      <c r="Q44" s="669"/>
      <c r="R44" s="669"/>
      <c r="S44" s="669"/>
      <c r="T44" s="669"/>
      <c r="U44" s="669"/>
      <c r="V44" s="669"/>
      <c r="W44" s="669"/>
      <c r="X44" s="669"/>
      <c r="Y44" s="669"/>
      <c r="Z44" s="669"/>
      <c r="AA44" s="669"/>
      <c r="AB44" s="669"/>
      <c r="AC44" s="669"/>
      <c r="AD44" s="669"/>
      <c r="AE44" s="669"/>
      <c r="AF44" s="669"/>
      <c r="AG44" s="669"/>
      <c r="AH44" s="669"/>
      <c r="AI44" s="62"/>
      <c r="AJ44" s="171">
        <f>SUM(AJ37:AJ43)</f>
        <v>0</v>
      </c>
      <c r="AK44" s="62">
        <f t="shared" si="5"/>
        <v>0</v>
      </c>
      <c r="AL44" s="62">
        <f t="shared" si="6"/>
        <v>0</v>
      </c>
      <c r="AM44" s="62"/>
      <c r="AN44" s="62"/>
    </row>
    <row r="45" spans="1:40" x14ac:dyDescent="0.3">
      <c r="A45" s="461"/>
      <c r="B45" s="461"/>
      <c r="C45" s="461"/>
      <c r="D45" s="669"/>
      <c r="E45" s="669"/>
      <c r="F45" s="669"/>
      <c r="G45" s="669"/>
      <c r="H45" s="669"/>
      <c r="I45" s="669"/>
      <c r="J45" s="669"/>
      <c r="K45" s="669"/>
      <c r="L45" s="669"/>
      <c r="M45" s="669"/>
      <c r="N45" s="669"/>
      <c r="O45" s="669"/>
      <c r="P45" s="669"/>
      <c r="Q45" s="669"/>
      <c r="R45" s="669"/>
      <c r="S45" s="669"/>
      <c r="T45" s="669"/>
      <c r="U45" s="669"/>
      <c r="V45" s="669"/>
      <c r="W45" s="669"/>
      <c r="X45" s="669"/>
      <c r="Y45" s="669"/>
      <c r="Z45" s="669"/>
      <c r="AA45" s="669"/>
      <c r="AB45" s="669"/>
      <c r="AC45" s="669"/>
      <c r="AD45" s="669"/>
      <c r="AE45" s="669"/>
      <c r="AF45" s="669"/>
      <c r="AG45" s="669"/>
      <c r="AH45" s="669"/>
      <c r="AI45" s="62"/>
      <c r="AJ45" s="62"/>
      <c r="AK45" s="62"/>
      <c r="AL45" s="62"/>
      <c r="AM45" s="62"/>
      <c r="AN45" s="62"/>
    </row>
    <row r="46" spans="1:40" x14ac:dyDescent="0.3">
      <c r="A46" s="461"/>
      <c r="B46" s="464" t="s">
        <v>565</v>
      </c>
      <c r="C46" s="464"/>
      <c r="D46" s="669"/>
      <c r="E46" s="669"/>
      <c r="F46" s="669"/>
      <c r="G46" s="669"/>
      <c r="H46" s="669"/>
      <c r="I46" s="669"/>
      <c r="J46" s="669"/>
      <c r="K46" s="669"/>
      <c r="L46" s="669"/>
      <c r="M46" s="669"/>
      <c r="N46" s="669"/>
      <c r="O46" s="669"/>
      <c r="P46" s="669"/>
      <c r="Q46" s="669"/>
      <c r="R46" s="669"/>
      <c r="S46" s="669"/>
      <c r="T46" s="669"/>
      <c r="U46" s="669"/>
      <c r="V46" s="669"/>
      <c r="W46" s="669"/>
      <c r="X46" s="669"/>
      <c r="Y46" s="669"/>
      <c r="Z46" s="669"/>
      <c r="AA46" s="669"/>
      <c r="AB46" s="669"/>
      <c r="AC46" s="669"/>
      <c r="AD46" s="669"/>
      <c r="AE46" s="669"/>
      <c r="AF46" s="669"/>
      <c r="AG46" s="669"/>
      <c r="AH46" s="669"/>
      <c r="AI46" s="62"/>
      <c r="AJ46" s="62"/>
      <c r="AK46" s="62"/>
      <c r="AL46" s="62"/>
      <c r="AM46" s="62"/>
      <c r="AN46" s="62"/>
    </row>
    <row r="47" spans="1:40" x14ac:dyDescent="0.3">
      <c r="A47" s="461">
        <v>528</v>
      </c>
      <c r="B47" s="461" t="s">
        <v>593</v>
      </c>
      <c r="C47" s="461"/>
      <c r="D47" s="669"/>
      <c r="E47" s="669"/>
      <c r="F47" s="669"/>
      <c r="G47" s="669"/>
      <c r="H47" s="669"/>
      <c r="I47" s="669"/>
      <c r="J47" s="669"/>
      <c r="K47" s="669"/>
      <c r="L47" s="669"/>
      <c r="M47" s="669"/>
      <c r="N47" s="669"/>
      <c r="O47" s="669"/>
      <c r="P47" s="669"/>
      <c r="Q47" s="669"/>
      <c r="R47" s="669"/>
      <c r="S47" s="669"/>
      <c r="T47" s="669"/>
      <c r="U47" s="669"/>
      <c r="V47" s="669"/>
      <c r="W47" s="669"/>
      <c r="X47" s="669"/>
      <c r="Y47" s="669"/>
      <c r="Z47" s="669"/>
      <c r="AA47" s="669"/>
      <c r="AB47" s="669"/>
      <c r="AC47" s="669"/>
      <c r="AD47" s="669"/>
      <c r="AE47" s="669"/>
      <c r="AF47" s="669"/>
      <c r="AG47" s="669"/>
      <c r="AH47" s="669"/>
      <c r="AI47" s="62"/>
      <c r="AJ47" s="468">
        <f>'4a. OM less M&amp;S'!I47</f>
        <v>0</v>
      </c>
      <c r="AK47" s="62">
        <f t="shared" ref="AK47:AK52" si="7">SUM(F47:K47,L47,N47:W47,Y47:Z47,AA47:AA47,AC47:AE47,AG47:AH47)</f>
        <v>0</v>
      </c>
      <c r="AL47" s="62">
        <f t="shared" ref="AL47:AL52" si="8">AJ47-AK47</f>
        <v>0</v>
      </c>
      <c r="AM47" s="62"/>
      <c r="AN47" s="62"/>
    </row>
    <row r="48" spans="1:40" x14ac:dyDescent="0.3">
      <c r="A48" s="461">
        <v>529</v>
      </c>
      <c r="B48" s="461" t="s">
        <v>569</v>
      </c>
      <c r="C48" s="461"/>
      <c r="D48" s="669"/>
      <c r="E48" s="669"/>
      <c r="F48" s="669"/>
      <c r="G48" s="669"/>
      <c r="H48" s="669"/>
      <c r="I48" s="669"/>
      <c r="J48" s="669"/>
      <c r="K48" s="669"/>
      <c r="L48" s="669"/>
      <c r="M48" s="669"/>
      <c r="N48" s="669"/>
      <c r="O48" s="669"/>
      <c r="P48" s="669"/>
      <c r="Q48" s="669"/>
      <c r="R48" s="669"/>
      <c r="S48" s="669"/>
      <c r="T48" s="669"/>
      <c r="U48" s="669"/>
      <c r="V48" s="669"/>
      <c r="W48" s="669"/>
      <c r="X48" s="669"/>
      <c r="Y48" s="669"/>
      <c r="Z48" s="669"/>
      <c r="AA48" s="669"/>
      <c r="AB48" s="669"/>
      <c r="AC48" s="669"/>
      <c r="AD48" s="669"/>
      <c r="AE48" s="669"/>
      <c r="AF48" s="669"/>
      <c r="AG48" s="669"/>
      <c r="AH48" s="669"/>
      <c r="AI48" s="62"/>
      <c r="AJ48" s="468">
        <f>'4a. OM less M&amp;S'!I48</f>
        <v>0</v>
      </c>
      <c r="AK48" s="62">
        <f t="shared" si="7"/>
        <v>0</v>
      </c>
      <c r="AL48" s="62">
        <f t="shared" si="8"/>
        <v>0</v>
      </c>
      <c r="AM48" s="62"/>
      <c r="AN48" s="62"/>
    </row>
    <row r="49" spans="1:40" x14ac:dyDescent="0.3">
      <c r="A49" s="461">
        <v>530</v>
      </c>
      <c r="B49" s="461" t="s">
        <v>596</v>
      </c>
      <c r="C49" s="461"/>
      <c r="D49" s="669"/>
      <c r="E49" s="669"/>
      <c r="F49" s="669"/>
      <c r="G49" s="669"/>
      <c r="H49" s="669"/>
      <c r="I49" s="669"/>
      <c r="J49" s="669"/>
      <c r="K49" s="669"/>
      <c r="L49" s="669"/>
      <c r="M49" s="669"/>
      <c r="N49" s="669"/>
      <c r="O49" s="669"/>
      <c r="P49" s="669"/>
      <c r="Q49" s="669"/>
      <c r="R49" s="669"/>
      <c r="S49" s="669"/>
      <c r="T49" s="669"/>
      <c r="U49" s="669"/>
      <c r="V49" s="669"/>
      <c r="W49" s="669"/>
      <c r="X49" s="669"/>
      <c r="Y49" s="669"/>
      <c r="Z49" s="669"/>
      <c r="AA49" s="669"/>
      <c r="AB49" s="669"/>
      <c r="AC49" s="669"/>
      <c r="AD49" s="669"/>
      <c r="AE49" s="669"/>
      <c r="AF49" s="669"/>
      <c r="AG49" s="669"/>
      <c r="AH49" s="669"/>
      <c r="AI49" s="62"/>
      <c r="AJ49" s="468">
        <f>'4a. OM less M&amp;S'!I49</f>
        <v>0</v>
      </c>
      <c r="AK49" s="62">
        <f t="shared" si="7"/>
        <v>0</v>
      </c>
      <c r="AL49" s="62">
        <f t="shared" si="8"/>
        <v>0</v>
      </c>
      <c r="AM49" s="62"/>
      <c r="AN49" s="62"/>
    </row>
    <row r="50" spans="1:40" x14ac:dyDescent="0.3">
      <c r="A50" s="461">
        <v>531</v>
      </c>
      <c r="B50" s="461" t="s">
        <v>573</v>
      </c>
      <c r="C50" s="461"/>
      <c r="D50" s="669"/>
      <c r="E50" s="669"/>
      <c r="F50" s="669"/>
      <c r="G50" s="669"/>
      <c r="H50" s="669"/>
      <c r="I50" s="669"/>
      <c r="J50" s="669"/>
      <c r="K50" s="669"/>
      <c r="L50" s="669"/>
      <c r="M50" s="669"/>
      <c r="N50" s="669"/>
      <c r="O50" s="669"/>
      <c r="P50" s="669"/>
      <c r="Q50" s="669"/>
      <c r="R50" s="669"/>
      <c r="S50" s="669"/>
      <c r="T50" s="669"/>
      <c r="U50" s="669"/>
      <c r="V50" s="669"/>
      <c r="W50" s="669"/>
      <c r="X50" s="669"/>
      <c r="Y50" s="669"/>
      <c r="Z50" s="669"/>
      <c r="AA50" s="669"/>
      <c r="AB50" s="669"/>
      <c r="AC50" s="669"/>
      <c r="AD50" s="669"/>
      <c r="AE50" s="669"/>
      <c r="AF50" s="669"/>
      <c r="AG50" s="669"/>
      <c r="AH50" s="669"/>
      <c r="AI50" s="62"/>
      <c r="AJ50" s="468">
        <f>'4a. OM less M&amp;S'!I50</f>
        <v>0</v>
      </c>
      <c r="AK50" s="62">
        <f t="shared" si="7"/>
        <v>0</v>
      </c>
      <c r="AL50" s="62">
        <f t="shared" si="8"/>
        <v>0</v>
      </c>
      <c r="AM50" s="62"/>
      <c r="AN50" s="62"/>
    </row>
    <row r="51" spans="1:40" x14ac:dyDescent="0.3">
      <c r="A51" s="461">
        <v>532</v>
      </c>
      <c r="B51" s="461" t="s">
        <v>599</v>
      </c>
      <c r="C51" s="461"/>
      <c r="D51" s="669"/>
      <c r="E51" s="669"/>
      <c r="F51" s="669"/>
      <c r="G51" s="669"/>
      <c r="H51" s="669"/>
      <c r="I51" s="669"/>
      <c r="J51" s="669"/>
      <c r="K51" s="669"/>
      <c r="L51" s="669"/>
      <c r="M51" s="669"/>
      <c r="N51" s="669"/>
      <c r="O51" s="669"/>
      <c r="P51" s="669"/>
      <c r="Q51" s="669"/>
      <c r="R51" s="669"/>
      <c r="S51" s="669"/>
      <c r="T51" s="669"/>
      <c r="U51" s="669"/>
      <c r="V51" s="669"/>
      <c r="W51" s="669"/>
      <c r="X51" s="669"/>
      <c r="Y51" s="669"/>
      <c r="Z51" s="669"/>
      <c r="AA51" s="669"/>
      <c r="AB51" s="669"/>
      <c r="AC51" s="669"/>
      <c r="AD51" s="669"/>
      <c r="AE51" s="669"/>
      <c r="AF51" s="669"/>
      <c r="AG51" s="669"/>
      <c r="AH51" s="669"/>
      <c r="AI51" s="62"/>
      <c r="AJ51" s="468">
        <f>'4a. OM less M&amp;S'!I51</f>
        <v>0</v>
      </c>
      <c r="AK51" s="62">
        <f t="shared" si="7"/>
        <v>0</v>
      </c>
      <c r="AL51" s="62">
        <f t="shared" si="8"/>
        <v>0</v>
      </c>
      <c r="AM51" s="62"/>
      <c r="AN51" s="62"/>
    </row>
    <row r="52" spans="1:40" x14ac:dyDescent="0.3">
      <c r="A52" s="461"/>
      <c r="B52" s="474" t="s">
        <v>524</v>
      </c>
      <c r="C52" s="474"/>
      <c r="D52" s="669"/>
      <c r="E52" s="669"/>
      <c r="F52" s="669"/>
      <c r="G52" s="669"/>
      <c r="H52" s="669"/>
      <c r="I52" s="669"/>
      <c r="J52" s="669"/>
      <c r="K52" s="669"/>
      <c r="L52" s="669"/>
      <c r="M52" s="669"/>
      <c r="N52" s="669"/>
      <c r="O52" s="669"/>
      <c r="P52" s="669"/>
      <c r="Q52" s="669"/>
      <c r="R52" s="669"/>
      <c r="S52" s="669"/>
      <c r="T52" s="669"/>
      <c r="U52" s="669"/>
      <c r="V52" s="669"/>
      <c r="W52" s="669"/>
      <c r="X52" s="669"/>
      <c r="Y52" s="669"/>
      <c r="Z52" s="669"/>
      <c r="AA52" s="669"/>
      <c r="AB52" s="669"/>
      <c r="AC52" s="669"/>
      <c r="AD52" s="669"/>
      <c r="AE52" s="669"/>
      <c r="AF52" s="669"/>
      <c r="AG52" s="669"/>
      <c r="AH52" s="669"/>
      <c r="AI52" s="62"/>
      <c r="AJ52" s="171">
        <f>SUM(AJ47:AJ51)</f>
        <v>0</v>
      </c>
      <c r="AK52" s="62">
        <f t="shared" si="7"/>
        <v>0</v>
      </c>
      <c r="AL52" s="62">
        <f t="shared" si="8"/>
        <v>0</v>
      </c>
      <c r="AM52" s="62"/>
      <c r="AN52" s="62"/>
    </row>
    <row r="53" spans="1:40" x14ac:dyDescent="0.3">
      <c r="A53" s="461"/>
      <c r="B53" s="461"/>
      <c r="C53" s="461"/>
      <c r="D53" s="669"/>
      <c r="E53" s="669"/>
      <c r="F53" s="669"/>
      <c r="G53" s="669"/>
      <c r="H53" s="669"/>
      <c r="I53" s="669"/>
      <c r="J53" s="669"/>
      <c r="K53" s="669"/>
      <c r="L53" s="669"/>
      <c r="M53" s="669"/>
      <c r="N53" s="669"/>
      <c r="O53" s="669"/>
      <c r="P53" s="669"/>
      <c r="Q53" s="669"/>
      <c r="R53" s="669"/>
      <c r="S53" s="669"/>
      <c r="T53" s="669"/>
      <c r="U53" s="669"/>
      <c r="V53" s="669"/>
      <c r="W53" s="669"/>
      <c r="X53" s="669"/>
      <c r="Y53" s="669"/>
      <c r="Z53" s="669"/>
      <c r="AA53" s="669"/>
      <c r="AB53" s="669"/>
      <c r="AC53" s="669"/>
      <c r="AD53" s="669"/>
      <c r="AE53" s="669"/>
      <c r="AF53" s="669"/>
      <c r="AG53" s="669"/>
      <c r="AH53" s="669"/>
      <c r="AI53" s="62"/>
      <c r="AJ53" s="62"/>
      <c r="AK53" s="62"/>
      <c r="AL53" s="62"/>
      <c r="AM53" s="62"/>
      <c r="AN53" s="62"/>
    </row>
    <row r="54" spans="1:40" x14ac:dyDescent="0.3">
      <c r="A54" s="461"/>
      <c r="B54" s="477" t="s">
        <v>1327</v>
      </c>
      <c r="C54" s="477"/>
      <c r="D54" s="669"/>
      <c r="E54" s="669"/>
      <c r="F54" s="669"/>
      <c r="G54" s="669"/>
      <c r="H54" s="669"/>
      <c r="I54" s="669"/>
      <c r="J54" s="669"/>
      <c r="K54" s="669"/>
      <c r="L54" s="669"/>
      <c r="M54" s="669"/>
      <c r="N54" s="669"/>
      <c r="O54" s="669"/>
      <c r="P54" s="669"/>
      <c r="Q54" s="669"/>
      <c r="R54" s="669"/>
      <c r="S54" s="669"/>
      <c r="T54" s="669"/>
      <c r="U54" s="669"/>
      <c r="V54" s="669"/>
      <c r="W54" s="669"/>
      <c r="X54" s="669"/>
      <c r="Y54" s="669"/>
      <c r="Z54" s="669"/>
      <c r="AA54" s="669"/>
      <c r="AB54" s="669"/>
      <c r="AC54" s="669"/>
      <c r="AD54" s="669"/>
      <c r="AE54" s="669"/>
      <c r="AF54" s="669"/>
      <c r="AG54" s="669"/>
      <c r="AH54" s="669"/>
      <c r="AI54" s="62"/>
      <c r="AJ54" s="62"/>
      <c r="AK54" s="62"/>
      <c r="AL54" s="62"/>
      <c r="AM54" s="62"/>
      <c r="AN54" s="62"/>
    </row>
    <row r="55" spans="1:40" x14ac:dyDescent="0.3">
      <c r="A55" s="461"/>
      <c r="B55" s="464" t="s">
        <v>549</v>
      </c>
      <c r="C55" s="464"/>
      <c r="D55" s="669"/>
      <c r="E55" s="669"/>
      <c r="F55" s="669"/>
      <c r="G55" s="669"/>
      <c r="H55" s="669"/>
      <c r="I55" s="669"/>
      <c r="J55" s="669"/>
      <c r="K55" s="669"/>
      <c r="L55" s="669"/>
      <c r="M55" s="669"/>
      <c r="N55" s="669"/>
      <c r="O55" s="669"/>
      <c r="P55" s="669"/>
      <c r="Q55" s="669"/>
      <c r="R55" s="669"/>
      <c r="S55" s="669"/>
      <c r="T55" s="669"/>
      <c r="U55" s="669"/>
      <c r="V55" s="669"/>
      <c r="W55" s="669"/>
      <c r="X55" s="669"/>
      <c r="Y55" s="669"/>
      <c r="Z55" s="669"/>
      <c r="AA55" s="669"/>
      <c r="AB55" s="669"/>
      <c r="AC55" s="669"/>
      <c r="AD55" s="669"/>
      <c r="AE55" s="669"/>
      <c r="AF55" s="669"/>
      <c r="AG55" s="669"/>
      <c r="AH55" s="669"/>
      <c r="AI55" s="62"/>
      <c r="AJ55" s="62"/>
      <c r="AK55" s="62"/>
      <c r="AL55" s="62"/>
      <c r="AM55" s="62"/>
      <c r="AN55" s="62"/>
    </row>
    <row r="56" spans="1:40" x14ac:dyDescent="0.3">
      <c r="A56" s="466">
        <v>535</v>
      </c>
      <c r="B56" s="461" t="s">
        <v>580</v>
      </c>
      <c r="C56" s="461"/>
      <c r="D56" s="669"/>
      <c r="E56" s="669"/>
      <c r="F56" s="669"/>
      <c r="G56" s="669"/>
      <c r="H56" s="669"/>
      <c r="I56" s="669"/>
      <c r="J56" s="669"/>
      <c r="K56" s="669"/>
      <c r="L56" s="669"/>
      <c r="M56" s="669"/>
      <c r="N56" s="669"/>
      <c r="O56" s="669"/>
      <c r="P56" s="669"/>
      <c r="Q56" s="669"/>
      <c r="R56" s="669"/>
      <c r="S56" s="669"/>
      <c r="T56" s="669"/>
      <c r="U56" s="669"/>
      <c r="V56" s="669"/>
      <c r="W56" s="669"/>
      <c r="X56" s="669"/>
      <c r="Y56" s="669"/>
      <c r="Z56" s="669"/>
      <c r="AA56" s="669"/>
      <c r="AB56" s="669"/>
      <c r="AC56" s="669"/>
      <c r="AD56" s="669"/>
      <c r="AE56" s="669"/>
      <c r="AF56" s="669"/>
      <c r="AG56" s="669"/>
      <c r="AH56" s="669"/>
      <c r="AI56" s="62"/>
      <c r="AJ56" s="468">
        <f>'4a. OM less M&amp;S'!I56</f>
        <v>0</v>
      </c>
      <c r="AK56" s="62">
        <f t="shared" ref="AK56:AK62" si="9">SUM(E56:K56,L56,N56:W56,Y56:Z56,AA56:AA56,AC56:AE56,AG56:AH56)</f>
        <v>0</v>
      </c>
      <c r="AL56" s="62">
        <f t="shared" ref="AL56:AL62" si="10">AJ56-AK56</f>
        <v>0</v>
      </c>
      <c r="AM56" s="62"/>
      <c r="AN56" s="62"/>
    </row>
    <row r="57" spans="1:40" x14ac:dyDescent="0.3">
      <c r="A57" s="466">
        <v>536</v>
      </c>
      <c r="B57" s="466" t="s">
        <v>602</v>
      </c>
      <c r="C57" s="466"/>
      <c r="D57" s="669"/>
      <c r="E57" s="669"/>
      <c r="F57" s="669"/>
      <c r="G57" s="669"/>
      <c r="H57" s="669"/>
      <c r="I57" s="669"/>
      <c r="J57" s="669"/>
      <c r="K57" s="669"/>
      <c r="L57" s="669"/>
      <c r="M57" s="669"/>
      <c r="N57" s="669"/>
      <c r="O57" s="669"/>
      <c r="P57" s="669"/>
      <c r="Q57" s="669"/>
      <c r="R57" s="669"/>
      <c r="S57" s="669"/>
      <c r="T57" s="669"/>
      <c r="U57" s="669"/>
      <c r="V57" s="669"/>
      <c r="W57" s="669"/>
      <c r="X57" s="669"/>
      <c r="Y57" s="669"/>
      <c r="Z57" s="669"/>
      <c r="AA57" s="669"/>
      <c r="AB57" s="669"/>
      <c r="AC57" s="669"/>
      <c r="AD57" s="669"/>
      <c r="AE57" s="669"/>
      <c r="AF57" s="669"/>
      <c r="AG57" s="669"/>
      <c r="AH57" s="669"/>
      <c r="AI57" s="62"/>
      <c r="AJ57" s="468">
        <f>'4a. OM less M&amp;S'!I57</f>
        <v>0</v>
      </c>
      <c r="AK57" s="62">
        <f t="shared" si="9"/>
        <v>0</v>
      </c>
      <c r="AL57" s="62">
        <f t="shared" si="10"/>
        <v>0</v>
      </c>
      <c r="AM57" s="62"/>
      <c r="AN57" s="62"/>
    </row>
    <row r="58" spans="1:40" x14ac:dyDescent="0.3">
      <c r="A58" s="461">
        <v>537</v>
      </c>
      <c r="B58" s="461" t="s">
        <v>1328</v>
      </c>
      <c r="C58" s="461"/>
      <c r="D58" s="669"/>
      <c r="E58" s="669"/>
      <c r="F58" s="669"/>
      <c r="G58" s="669"/>
      <c r="H58" s="669"/>
      <c r="I58" s="669"/>
      <c r="J58" s="669"/>
      <c r="K58" s="669"/>
      <c r="L58" s="669"/>
      <c r="M58" s="669"/>
      <c r="N58" s="669"/>
      <c r="O58" s="669"/>
      <c r="P58" s="669"/>
      <c r="Q58" s="669"/>
      <c r="R58" s="669"/>
      <c r="S58" s="669"/>
      <c r="T58" s="669"/>
      <c r="U58" s="669"/>
      <c r="V58" s="669"/>
      <c r="W58" s="669"/>
      <c r="X58" s="669"/>
      <c r="Y58" s="669"/>
      <c r="Z58" s="669"/>
      <c r="AA58" s="669"/>
      <c r="AB58" s="669"/>
      <c r="AC58" s="669"/>
      <c r="AD58" s="669"/>
      <c r="AE58" s="669"/>
      <c r="AF58" s="669"/>
      <c r="AG58" s="669"/>
      <c r="AH58" s="669"/>
      <c r="AI58" s="62"/>
      <c r="AJ58" s="468">
        <f>'4a. OM less M&amp;S'!I58</f>
        <v>0</v>
      </c>
      <c r="AK58" s="62">
        <f t="shared" si="9"/>
        <v>0</v>
      </c>
      <c r="AL58" s="62">
        <f t="shared" si="10"/>
        <v>0</v>
      </c>
      <c r="AM58" s="62"/>
      <c r="AN58" s="62"/>
    </row>
    <row r="59" spans="1:40" x14ac:dyDescent="0.3">
      <c r="A59" s="461">
        <v>538</v>
      </c>
      <c r="B59" s="461" t="s">
        <v>560</v>
      </c>
      <c r="C59" s="461"/>
      <c r="D59" s="669"/>
      <c r="E59" s="669"/>
      <c r="F59" s="669"/>
      <c r="G59" s="669"/>
      <c r="H59" s="669"/>
      <c r="I59" s="669"/>
      <c r="J59" s="669"/>
      <c r="K59" s="669"/>
      <c r="L59" s="669"/>
      <c r="M59" s="669"/>
      <c r="N59" s="669"/>
      <c r="O59" s="669"/>
      <c r="P59" s="669"/>
      <c r="Q59" s="669"/>
      <c r="R59" s="669"/>
      <c r="S59" s="669"/>
      <c r="T59" s="669"/>
      <c r="U59" s="669"/>
      <c r="V59" s="669"/>
      <c r="W59" s="669"/>
      <c r="X59" s="669"/>
      <c r="Y59" s="669"/>
      <c r="Z59" s="669"/>
      <c r="AA59" s="669"/>
      <c r="AB59" s="669"/>
      <c r="AC59" s="669"/>
      <c r="AD59" s="669"/>
      <c r="AE59" s="669"/>
      <c r="AF59" s="669"/>
      <c r="AG59" s="669"/>
      <c r="AH59" s="669"/>
      <c r="AI59" s="62"/>
      <c r="AJ59" s="468">
        <f>'4a. OM less M&amp;S'!I59</f>
        <v>0</v>
      </c>
      <c r="AK59" s="62">
        <f t="shared" si="9"/>
        <v>0</v>
      </c>
      <c r="AL59" s="62">
        <f t="shared" si="10"/>
        <v>0</v>
      </c>
      <c r="AM59" s="62"/>
      <c r="AN59" s="62"/>
    </row>
    <row r="60" spans="1:40" x14ac:dyDescent="0.3">
      <c r="A60" s="461">
        <v>539</v>
      </c>
      <c r="B60" s="466" t="s">
        <v>1329</v>
      </c>
      <c r="C60" s="466"/>
      <c r="D60" s="669"/>
      <c r="E60" s="669"/>
      <c r="F60" s="669"/>
      <c r="G60" s="669"/>
      <c r="H60" s="669"/>
      <c r="I60" s="669"/>
      <c r="J60" s="669"/>
      <c r="K60" s="669"/>
      <c r="L60" s="669"/>
      <c r="M60" s="669"/>
      <c r="N60" s="669"/>
      <c r="O60" s="669"/>
      <c r="P60" s="669"/>
      <c r="Q60" s="669"/>
      <c r="R60" s="669"/>
      <c r="S60" s="669"/>
      <c r="T60" s="669"/>
      <c r="U60" s="669"/>
      <c r="V60" s="669"/>
      <c r="W60" s="669"/>
      <c r="X60" s="669"/>
      <c r="Y60" s="669"/>
      <c r="Z60" s="669"/>
      <c r="AA60" s="669"/>
      <c r="AB60" s="669"/>
      <c r="AC60" s="669"/>
      <c r="AD60" s="669"/>
      <c r="AE60" s="669"/>
      <c r="AF60" s="669"/>
      <c r="AG60" s="669"/>
      <c r="AH60" s="669"/>
      <c r="AI60" s="62"/>
      <c r="AJ60" s="468">
        <f>'4a. OM less M&amp;S'!I60</f>
        <v>0</v>
      </c>
      <c r="AK60" s="62">
        <f t="shared" si="9"/>
        <v>0</v>
      </c>
      <c r="AL60" s="62">
        <f t="shared" si="10"/>
        <v>0</v>
      </c>
      <c r="AM60" s="62"/>
      <c r="AN60" s="62"/>
    </row>
    <row r="61" spans="1:40" x14ac:dyDescent="0.3">
      <c r="A61" s="461">
        <v>540</v>
      </c>
      <c r="B61" s="461" t="s">
        <v>564</v>
      </c>
      <c r="C61" s="461"/>
      <c r="D61" s="669"/>
      <c r="E61" s="669"/>
      <c r="F61" s="669"/>
      <c r="G61" s="669"/>
      <c r="H61" s="669"/>
      <c r="I61" s="669"/>
      <c r="J61" s="669"/>
      <c r="K61" s="669"/>
      <c r="L61" s="669"/>
      <c r="M61" s="669"/>
      <c r="N61" s="669"/>
      <c r="O61" s="669"/>
      <c r="P61" s="669"/>
      <c r="Q61" s="669"/>
      <c r="R61" s="669"/>
      <c r="S61" s="669"/>
      <c r="T61" s="669"/>
      <c r="U61" s="669"/>
      <c r="V61" s="669"/>
      <c r="W61" s="669"/>
      <c r="X61" s="669"/>
      <c r="Y61" s="669"/>
      <c r="Z61" s="669"/>
      <c r="AA61" s="669"/>
      <c r="AB61" s="669"/>
      <c r="AC61" s="669"/>
      <c r="AD61" s="669"/>
      <c r="AE61" s="669"/>
      <c r="AF61" s="669"/>
      <c r="AG61" s="669"/>
      <c r="AH61" s="669"/>
      <c r="AI61" s="62"/>
      <c r="AJ61" s="468">
        <f>'4a. OM less M&amp;S'!I61</f>
        <v>0</v>
      </c>
      <c r="AK61" s="62">
        <f t="shared" si="9"/>
        <v>0</v>
      </c>
      <c r="AL61" s="62">
        <f t="shared" si="10"/>
        <v>0</v>
      </c>
      <c r="AM61" s="62"/>
      <c r="AN61" s="62"/>
    </row>
    <row r="62" spans="1:40" x14ac:dyDescent="0.3">
      <c r="A62" s="466"/>
      <c r="B62" s="474" t="s">
        <v>524</v>
      </c>
      <c r="C62" s="474"/>
      <c r="D62" s="669"/>
      <c r="E62" s="669"/>
      <c r="F62" s="669"/>
      <c r="G62" s="669"/>
      <c r="H62" s="669"/>
      <c r="I62" s="669"/>
      <c r="J62" s="669"/>
      <c r="K62" s="669"/>
      <c r="L62" s="669"/>
      <c r="M62" s="669"/>
      <c r="N62" s="669"/>
      <c r="O62" s="669"/>
      <c r="P62" s="669"/>
      <c r="Q62" s="669"/>
      <c r="R62" s="669"/>
      <c r="S62" s="669"/>
      <c r="T62" s="669"/>
      <c r="U62" s="669"/>
      <c r="V62" s="669"/>
      <c r="W62" s="669"/>
      <c r="X62" s="669"/>
      <c r="Y62" s="669"/>
      <c r="Z62" s="669"/>
      <c r="AA62" s="669"/>
      <c r="AB62" s="669"/>
      <c r="AC62" s="669"/>
      <c r="AD62" s="669"/>
      <c r="AE62" s="669"/>
      <c r="AF62" s="669"/>
      <c r="AG62" s="669"/>
      <c r="AH62" s="669"/>
      <c r="AI62" s="62"/>
      <c r="AJ62" s="62"/>
      <c r="AK62" s="62">
        <f t="shared" si="9"/>
        <v>0</v>
      </c>
      <c r="AL62" s="62">
        <f t="shared" si="10"/>
        <v>0</v>
      </c>
      <c r="AM62" s="62"/>
      <c r="AN62" s="62"/>
    </row>
    <row r="63" spans="1:40" x14ac:dyDescent="0.3">
      <c r="A63" s="461"/>
      <c r="B63" s="474"/>
      <c r="C63" s="474"/>
      <c r="D63" s="669"/>
      <c r="E63" s="669"/>
      <c r="F63" s="669"/>
      <c r="G63" s="669"/>
      <c r="H63" s="669"/>
      <c r="I63" s="669"/>
      <c r="J63" s="669"/>
      <c r="K63" s="669"/>
      <c r="L63" s="669"/>
      <c r="M63" s="669"/>
      <c r="N63" s="669"/>
      <c r="O63" s="669"/>
      <c r="P63" s="669"/>
      <c r="Q63" s="669"/>
      <c r="R63" s="669"/>
      <c r="S63" s="669"/>
      <c r="T63" s="669"/>
      <c r="U63" s="669"/>
      <c r="V63" s="669"/>
      <c r="W63" s="669"/>
      <c r="X63" s="669"/>
      <c r="Y63" s="669"/>
      <c r="Z63" s="669"/>
      <c r="AA63" s="669"/>
      <c r="AB63" s="669"/>
      <c r="AC63" s="669"/>
      <c r="AD63" s="669"/>
      <c r="AE63" s="669"/>
      <c r="AF63" s="669"/>
      <c r="AG63" s="669"/>
      <c r="AH63" s="669"/>
      <c r="AI63" s="62"/>
      <c r="AJ63" s="62"/>
      <c r="AK63" s="62"/>
      <c r="AL63" s="62"/>
      <c r="AM63" s="62"/>
      <c r="AN63" s="62"/>
    </row>
    <row r="64" spans="1:40" x14ac:dyDescent="0.3">
      <c r="A64" s="461"/>
      <c r="B64" s="464" t="s">
        <v>565</v>
      </c>
      <c r="C64" s="464"/>
      <c r="D64" s="669"/>
      <c r="E64" s="669"/>
      <c r="F64" s="669"/>
      <c r="G64" s="669"/>
      <c r="H64" s="669"/>
      <c r="I64" s="669"/>
      <c r="J64" s="669"/>
      <c r="K64" s="669"/>
      <c r="L64" s="669"/>
      <c r="M64" s="669"/>
      <c r="N64" s="669"/>
      <c r="O64" s="669"/>
      <c r="P64" s="669"/>
      <c r="Q64" s="669"/>
      <c r="R64" s="669"/>
      <c r="S64" s="669"/>
      <c r="T64" s="669"/>
      <c r="U64" s="669"/>
      <c r="V64" s="669"/>
      <c r="W64" s="669"/>
      <c r="X64" s="669"/>
      <c r="Y64" s="669"/>
      <c r="Z64" s="669"/>
      <c r="AA64" s="669"/>
      <c r="AB64" s="669"/>
      <c r="AC64" s="669"/>
      <c r="AD64" s="669"/>
      <c r="AE64" s="669"/>
      <c r="AF64" s="669"/>
      <c r="AG64" s="669"/>
      <c r="AH64" s="669"/>
      <c r="AI64" s="62"/>
      <c r="AJ64" s="62"/>
      <c r="AK64" s="62"/>
      <c r="AL64" s="62"/>
      <c r="AM64" s="62"/>
      <c r="AN64" s="62"/>
    </row>
    <row r="65" spans="1:40" x14ac:dyDescent="0.3">
      <c r="A65" s="466">
        <v>541</v>
      </c>
      <c r="B65" s="461" t="s">
        <v>593</v>
      </c>
      <c r="C65" s="461"/>
      <c r="D65" s="669"/>
      <c r="E65" s="669"/>
      <c r="F65" s="669"/>
      <c r="G65" s="669"/>
      <c r="H65" s="669"/>
      <c r="I65" s="669"/>
      <c r="J65" s="669"/>
      <c r="K65" s="669"/>
      <c r="L65" s="669"/>
      <c r="M65" s="669"/>
      <c r="N65" s="669"/>
      <c r="O65" s="669"/>
      <c r="P65" s="669"/>
      <c r="Q65" s="669"/>
      <c r="R65" s="669"/>
      <c r="S65" s="669"/>
      <c r="T65" s="669"/>
      <c r="U65" s="669"/>
      <c r="V65" s="669"/>
      <c r="W65" s="669"/>
      <c r="X65" s="669"/>
      <c r="Y65" s="669"/>
      <c r="Z65" s="669"/>
      <c r="AA65" s="669"/>
      <c r="AB65" s="669"/>
      <c r="AC65" s="669"/>
      <c r="AD65" s="669"/>
      <c r="AE65" s="669"/>
      <c r="AF65" s="669"/>
      <c r="AG65" s="669"/>
      <c r="AH65" s="669"/>
      <c r="AI65" s="62"/>
      <c r="AJ65" s="468">
        <f>'4a. OM less M&amp;S'!I65</f>
        <v>0</v>
      </c>
      <c r="AK65" s="62">
        <f t="shared" ref="AK65:AK70" si="11">SUM(E65:K65,L65,N65:W65,Y65:Z65,AA65:AA65,AC65:AE65,AG65:AH65)</f>
        <v>0</v>
      </c>
      <c r="AL65" s="62">
        <f t="shared" ref="AL65:AL70" si="12">AJ65-AK65</f>
        <v>0</v>
      </c>
      <c r="AM65" s="62"/>
      <c r="AN65" s="62"/>
    </row>
    <row r="66" spans="1:40" x14ac:dyDescent="0.3">
      <c r="A66" s="466">
        <v>542</v>
      </c>
      <c r="B66" s="461" t="s">
        <v>569</v>
      </c>
      <c r="C66" s="461"/>
      <c r="D66" s="669"/>
      <c r="E66" s="669"/>
      <c r="F66" s="669"/>
      <c r="G66" s="669"/>
      <c r="H66" s="669"/>
      <c r="I66" s="669"/>
      <c r="J66" s="669"/>
      <c r="K66" s="669"/>
      <c r="L66" s="669"/>
      <c r="M66" s="669"/>
      <c r="N66" s="669"/>
      <c r="O66" s="669"/>
      <c r="P66" s="669"/>
      <c r="Q66" s="669"/>
      <c r="R66" s="669"/>
      <c r="S66" s="669"/>
      <c r="T66" s="669"/>
      <c r="U66" s="669"/>
      <c r="V66" s="669"/>
      <c r="W66" s="669"/>
      <c r="X66" s="669"/>
      <c r="Y66" s="669"/>
      <c r="Z66" s="669"/>
      <c r="AA66" s="669"/>
      <c r="AB66" s="669"/>
      <c r="AC66" s="669"/>
      <c r="AD66" s="669"/>
      <c r="AE66" s="669"/>
      <c r="AF66" s="669"/>
      <c r="AG66" s="669"/>
      <c r="AH66" s="669"/>
      <c r="AI66" s="62"/>
      <c r="AJ66" s="468">
        <f>'4a. OM less M&amp;S'!I66</f>
        <v>0</v>
      </c>
      <c r="AK66" s="62">
        <f t="shared" si="11"/>
        <v>0</v>
      </c>
      <c r="AL66" s="62">
        <f t="shared" si="12"/>
        <v>0</v>
      </c>
      <c r="AM66" s="62"/>
      <c r="AN66" s="62"/>
    </row>
    <row r="67" spans="1:40" x14ac:dyDescent="0.3">
      <c r="A67" s="466">
        <v>543</v>
      </c>
      <c r="B67" s="466" t="s">
        <v>610</v>
      </c>
      <c r="C67" s="466"/>
      <c r="D67" s="669"/>
      <c r="E67" s="669"/>
      <c r="F67" s="669"/>
      <c r="G67" s="669"/>
      <c r="H67" s="669"/>
      <c r="I67" s="669"/>
      <c r="J67" s="669"/>
      <c r="K67" s="669"/>
      <c r="L67" s="669"/>
      <c r="M67" s="669"/>
      <c r="N67" s="669"/>
      <c r="O67" s="669"/>
      <c r="P67" s="669"/>
      <c r="Q67" s="669"/>
      <c r="R67" s="669"/>
      <c r="S67" s="669"/>
      <c r="T67" s="669"/>
      <c r="U67" s="669"/>
      <c r="V67" s="669"/>
      <c r="W67" s="669"/>
      <c r="X67" s="669"/>
      <c r="Y67" s="669"/>
      <c r="Z67" s="669"/>
      <c r="AA67" s="669"/>
      <c r="AB67" s="669"/>
      <c r="AC67" s="669"/>
      <c r="AD67" s="669"/>
      <c r="AE67" s="669"/>
      <c r="AF67" s="669"/>
      <c r="AG67" s="669"/>
      <c r="AH67" s="669"/>
      <c r="AI67" s="62"/>
      <c r="AJ67" s="468">
        <f>'4a. OM less M&amp;S'!I67</f>
        <v>0</v>
      </c>
      <c r="AK67" s="62">
        <f t="shared" si="11"/>
        <v>0</v>
      </c>
      <c r="AL67" s="62">
        <f t="shared" si="12"/>
        <v>0</v>
      </c>
      <c r="AM67" s="62"/>
      <c r="AN67" s="62"/>
    </row>
    <row r="68" spans="1:40" x14ac:dyDescent="0.3">
      <c r="A68" s="466">
        <v>544</v>
      </c>
      <c r="B68" s="461" t="s">
        <v>573</v>
      </c>
      <c r="C68" s="461"/>
      <c r="D68" s="669"/>
      <c r="E68" s="669"/>
      <c r="F68" s="669"/>
      <c r="G68" s="669"/>
      <c r="H68" s="669"/>
      <c r="I68" s="669"/>
      <c r="J68" s="669"/>
      <c r="K68" s="669"/>
      <c r="L68" s="669"/>
      <c r="M68" s="669"/>
      <c r="N68" s="669"/>
      <c r="O68" s="669"/>
      <c r="P68" s="669"/>
      <c r="Q68" s="669"/>
      <c r="R68" s="669"/>
      <c r="S68" s="669"/>
      <c r="T68" s="669"/>
      <c r="U68" s="669"/>
      <c r="V68" s="669"/>
      <c r="W68" s="669"/>
      <c r="X68" s="669"/>
      <c r="Y68" s="669"/>
      <c r="Z68" s="669"/>
      <c r="AA68" s="669"/>
      <c r="AB68" s="669"/>
      <c r="AC68" s="669"/>
      <c r="AD68" s="669"/>
      <c r="AE68" s="669"/>
      <c r="AF68" s="669"/>
      <c r="AG68" s="669"/>
      <c r="AH68" s="669"/>
      <c r="AI68" s="62"/>
      <c r="AJ68" s="468">
        <f>'4a. OM less M&amp;S'!I68</f>
        <v>0</v>
      </c>
      <c r="AK68" s="62">
        <f t="shared" si="11"/>
        <v>0</v>
      </c>
      <c r="AL68" s="62">
        <f t="shared" si="12"/>
        <v>0</v>
      </c>
      <c r="AM68" s="62"/>
      <c r="AN68" s="62"/>
    </row>
    <row r="69" spans="1:40" x14ac:dyDescent="0.3">
      <c r="A69" s="466">
        <v>545</v>
      </c>
      <c r="B69" s="466" t="s">
        <v>1330</v>
      </c>
      <c r="C69" s="466"/>
      <c r="D69" s="669"/>
      <c r="E69" s="669"/>
      <c r="F69" s="669"/>
      <c r="G69" s="669"/>
      <c r="H69" s="669"/>
      <c r="I69" s="669"/>
      <c r="J69" s="669"/>
      <c r="K69" s="669"/>
      <c r="L69" s="669"/>
      <c r="M69" s="669"/>
      <c r="N69" s="669"/>
      <c r="O69" s="669"/>
      <c r="P69" s="669"/>
      <c r="Q69" s="669"/>
      <c r="R69" s="669"/>
      <c r="S69" s="669"/>
      <c r="T69" s="669"/>
      <c r="U69" s="669"/>
      <c r="V69" s="669"/>
      <c r="W69" s="669"/>
      <c r="X69" s="669"/>
      <c r="Y69" s="669"/>
      <c r="Z69" s="669"/>
      <c r="AA69" s="669"/>
      <c r="AB69" s="669"/>
      <c r="AC69" s="669"/>
      <c r="AD69" s="669"/>
      <c r="AE69" s="669"/>
      <c r="AF69" s="669"/>
      <c r="AG69" s="669"/>
      <c r="AH69" s="669"/>
      <c r="AI69" s="62"/>
      <c r="AJ69" s="468">
        <f>'4a. OM less M&amp;S'!I69</f>
        <v>0</v>
      </c>
      <c r="AK69" s="62">
        <f t="shared" si="11"/>
        <v>0</v>
      </c>
      <c r="AL69" s="62">
        <f t="shared" si="12"/>
        <v>0</v>
      </c>
      <c r="AM69" s="62"/>
      <c r="AN69" s="62"/>
    </row>
    <row r="70" spans="1:40" x14ac:dyDescent="0.3">
      <c r="A70" s="461"/>
      <c r="B70" s="474" t="s">
        <v>524</v>
      </c>
      <c r="C70" s="474"/>
      <c r="D70" s="669"/>
      <c r="E70" s="669"/>
      <c r="F70" s="669"/>
      <c r="G70" s="669"/>
      <c r="H70" s="669"/>
      <c r="I70" s="669"/>
      <c r="J70" s="669"/>
      <c r="K70" s="669"/>
      <c r="L70" s="669"/>
      <c r="M70" s="669"/>
      <c r="N70" s="669"/>
      <c r="O70" s="669"/>
      <c r="P70" s="669"/>
      <c r="Q70" s="669"/>
      <c r="R70" s="669"/>
      <c r="S70" s="669"/>
      <c r="T70" s="669"/>
      <c r="U70" s="669"/>
      <c r="V70" s="669"/>
      <c r="W70" s="669"/>
      <c r="X70" s="669"/>
      <c r="Y70" s="669"/>
      <c r="Z70" s="669"/>
      <c r="AA70" s="669"/>
      <c r="AB70" s="669"/>
      <c r="AC70" s="669"/>
      <c r="AD70" s="669"/>
      <c r="AE70" s="669"/>
      <c r="AF70" s="669"/>
      <c r="AG70" s="669"/>
      <c r="AH70" s="669"/>
      <c r="AI70" s="62"/>
      <c r="AJ70" s="62"/>
      <c r="AK70" s="62">
        <f t="shared" si="11"/>
        <v>0</v>
      </c>
      <c r="AL70" s="62">
        <f t="shared" si="12"/>
        <v>0</v>
      </c>
      <c r="AM70" s="62"/>
      <c r="AN70" s="62"/>
    </row>
    <row r="71" spans="1:40" x14ac:dyDescent="0.3">
      <c r="A71" s="461"/>
      <c r="B71" s="461"/>
      <c r="C71" s="461"/>
      <c r="D71" s="669"/>
      <c r="E71" s="669"/>
      <c r="F71" s="669"/>
      <c r="G71" s="669"/>
      <c r="H71" s="669"/>
      <c r="I71" s="669"/>
      <c r="J71" s="669"/>
      <c r="K71" s="669"/>
      <c r="L71" s="669"/>
      <c r="M71" s="669"/>
      <c r="N71" s="669"/>
      <c r="O71" s="669"/>
      <c r="P71" s="669"/>
      <c r="Q71" s="669"/>
      <c r="R71" s="669"/>
      <c r="S71" s="669"/>
      <c r="T71" s="669"/>
      <c r="U71" s="669"/>
      <c r="V71" s="669"/>
      <c r="W71" s="669"/>
      <c r="X71" s="669"/>
      <c r="Y71" s="669"/>
      <c r="Z71" s="669"/>
      <c r="AA71" s="669"/>
      <c r="AB71" s="669"/>
      <c r="AC71" s="669"/>
      <c r="AD71" s="669"/>
      <c r="AE71" s="669"/>
      <c r="AF71" s="669"/>
      <c r="AG71" s="669"/>
      <c r="AH71" s="669"/>
      <c r="AI71" s="62"/>
      <c r="AJ71" s="62"/>
      <c r="AK71" s="62"/>
      <c r="AL71" s="62"/>
      <c r="AM71" s="62"/>
      <c r="AN71" s="62"/>
    </row>
    <row r="72" spans="1:40" x14ac:dyDescent="0.3">
      <c r="A72" s="461"/>
      <c r="B72" s="477" t="s">
        <v>613</v>
      </c>
      <c r="C72" s="477"/>
      <c r="D72" s="669"/>
      <c r="E72" s="669"/>
      <c r="F72" s="669"/>
      <c r="G72" s="669"/>
      <c r="H72" s="669"/>
      <c r="I72" s="669"/>
      <c r="J72" s="669"/>
      <c r="K72" s="669"/>
      <c r="L72" s="669"/>
      <c r="M72" s="669"/>
      <c r="N72" s="669"/>
      <c r="O72" s="669"/>
      <c r="P72" s="669"/>
      <c r="Q72" s="669"/>
      <c r="R72" s="669"/>
      <c r="S72" s="669"/>
      <c r="T72" s="669"/>
      <c r="U72" s="669"/>
      <c r="V72" s="669"/>
      <c r="W72" s="669"/>
      <c r="X72" s="669"/>
      <c r="Y72" s="669"/>
      <c r="Z72" s="669"/>
      <c r="AA72" s="669"/>
      <c r="AB72" s="669"/>
      <c r="AC72" s="669"/>
      <c r="AD72" s="669"/>
      <c r="AE72" s="669"/>
      <c r="AF72" s="669"/>
      <c r="AG72" s="669"/>
      <c r="AH72" s="669"/>
      <c r="AI72" s="62"/>
      <c r="AJ72" s="62"/>
      <c r="AK72" s="62"/>
      <c r="AL72" s="62"/>
      <c r="AM72" s="62"/>
      <c r="AN72" s="62"/>
    </row>
    <row r="73" spans="1:40" x14ac:dyDescent="0.3">
      <c r="A73" s="461"/>
      <c r="B73" s="464" t="s">
        <v>549</v>
      </c>
      <c r="C73" s="464"/>
      <c r="D73" s="669"/>
      <c r="E73" s="669"/>
      <c r="F73" s="669"/>
      <c r="G73" s="669"/>
      <c r="H73" s="669"/>
      <c r="I73" s="669"/>
      <c r="J73" s="669"/>
      <c r="K73" s="669"/>
      <c r="L73" s="669"/>
      <c r="M73" s="669"/>
      <c r="N73" s="669"/>
      <c r="O73" s="669"/>
      <c r="P73" s="669"/>
      <c r="Q73" s="669"/>
      <c r="R73" s="669"/>
      <c r="S73" s="669"/>
      <c r="T73" s="669"/>
      <c r="U73" s="669"/>
      <c r="V73" s="669"/>
      <c r="W73" s="669"/>
      <c r="X73" s="669"/>
      <c r="Y73" s="669"/>
      <c r="Z73" s="669"/>
      <c r="AA73" s="669"/>
      <c r="AB73" s="669"/>
      <c r="AC73" s="669"/>
      <c r="AD73" s="669"/>
      <c r="AE73" s="669"/>
      <c r="AF73" s="669"/>
      <c r="AG73" s="669"/>
      <c r="AH73" s="669"/>
      <c r="AI73" s="62"/>
      <c r="AJ73" s="62"/>
      <c r="AK73" s="62"/>
      <c r="AL73" s="62"/>
      <c r="AM73" s="62"/>
      <c r="AN73" s="62"/>
    </row>
    <row r="74" spans="1:40" x14ac:dyDescent="0.3">
      <c r="A74" s="465">
        <v>546</v>
      </c>
      <c r="B74" s="461" t="s">
        <v>615</v>
      </c>
      <c r="C74" s="461"/>
      <c r="D74" s="669"/>
      <c r="E74" s="669"/>
      <c r="F74" s="669"/>
      <c r="G74" s="669"/>
      <c r="H74" s="669"/>
      <c r="I74" s="669"/>
      <c r="J74" s="669"/>
      <c r="K74" s="669"/>
      <c r="L74" s="669"/>
      <c r="M74" s="669"/>
      <c r="N74" s="669"/>
      <c r="O74" s="669"/>
      <c r="P74" s="669"/>
      <c r="Q74" s="669"/>
      <c r="R74" s="669"/>
      <c r="S74" s="669"/>
      <c r="T74" s="669"/>
      <c r="U74" s="669"/>
      <c r="V74" s="669"/>
      <c r="W74" s="669"/>
      <c r="X74" s="669"/>
      <c r="Y74" s="669"/>
      <c r="Z74" s="669"/>
      <c r="AA74" s="669"/>
      <c r="AB74" s="669"/>
      <c r="AC74" s="669"/>
      <c r="AD74" s="669"/>
      <c r="AE74" s="669"/>
      <c r="AF74" s="669"/>
      <c r="AG74" s="669"/>
      <c r="AH74" s="669"/>
      <c r="AI74" s="62"/>
      <c r="AJ74" s="468">
        <f>'4a. OM less M&amp;S'!I74</f>
        <v>0</v>
      </c>
      <c r="AK74" s="62">
        <f t="shared" ref="AK74:AK86" si="13">SUM(F74:K74,L74,N74:W74,Y74:Z74,AA74:AA74,AC74:AE74,AG74:AH74)</f>
        <v>0</v>
      </c>
      <c r="AL74" s="62">
        <f>AJ74-AK74</f>
        <v>0</v>
      </c>
      <c r="AM74" s="62"/>
      <c r="AN74" s="62"/>
    </row>
    <row r="75" spans="1:40" x14ac:dyDescent="0.3">
      <c r="A75" s="465">
        <v>547</v>
      </c>
      <c r="B75" s="461" t="s">
        <v>617</v>
      </c>
      <c r="C75" s="461"/>
      <c r="D75" s="669"/>
      <c r="E75" s="669"/>
      <c r="F75" s="669"/>
      <c r="G75" s="669"/>
      <c r="H75" s="669"/>
      <c r="I75" s="669"/>
      <c r="J75" s="669"/>
      <c r="K75" s="669"/>
      <c r="L75" s="669"/>
      <c r="M75" s="669"/>
      <c r="N75" s="669"/>
      <c r="O75" s="669"/>
      <c r="P75" s="669"/>
      <c r="Q75" s="669"/>
      <c r="R75" s="669"/>
      <c r="S75" s="669"/>
      <c r="T75" s="669"/>
      <c r="U75" s="669"/>
      <c r="V75" s="669"/>
      <c r="W75" s="669"/>
      <c r="X75" s="669"/>
      <c r="Y75" s="669"/>
      <c r="Z75" s="669"/>
      <c r="AA75" s="669"/>
      <c r="AB75" s="669"/>
      <c r="AC75" s="669"/>
      <c r="AD75" s="669"/>
      <c r="AE75" s="669"/>
      <c r="AF75" s="669"/>
      <c r="AG75" s="669"/>
      <c r="AH75" s="669"/>
      <c r="AI75" s="62"/>
      <c r="AJ75" s="468"/>
      <c r="AK75" s="62"/>
      <c r="AL75" s="62"/>
      <c r="AM75" s="62"/>
      <c r="AN75" s="62"/>
    </row>
    <row r="76" spans="1:40" x14ac:dyDescent="0.3">
      <c r="A76" s="465">
        <v>548</v>
      </c>
      <c r="B76" s="461" t="s">
        <v>560</v>
      </c>
      <c r="C76" s="461"/>
      <c r="D76" s="669"/>
      <c r="E76" s="669"/>
      <c r="F76" s="669"/>
      <c r="G76" s="669"/>
      <c r="H76" s="669"/>
      <c r="I76" s="669"/>
      <c r="J76" s="669"/>
      <c r="K76" s="669"/>
      <c r="L76" s="669"/>
      <c r="M76" s="669"/>
      <c r="N76" s="669"/>
      <c r="O76" s="669"/>
      <c r="P76" s="669"/>
      <c r="Q76" s="669"/>
      <c r="R76" s="669"/>
      <c r="S76" s="669"/>
      <c r="T76" s="669"/>
      <c r="U76" s="669"/>
      <c r="V76" s="669"/>
      <c r="W76" s="669"/>
      <c r="X76" s="669"/>
      <c r="Y76" s="669"/>
      <c r="Z76" s="669"/>
      <c r="AA76" s="669"/>
      <c r="AB76" s="669"/>
      <c r="AC76" s="669"/>
      <c r="AD76" s="669"/>
      <c r="AE76" s="669"/>
      <c r="AF76" s="669"/>
      <c r="AG76" s="669"/>
      <c r="AH76" s="669"/>
      <c r="AI76" s="62"/>
      <c r="AJ76" s="468">
        <f>'4a. OM less M&amp;S'!I76</f>
        <v>0</v>
      </c>
      <c r="AK76" s="62">
        <f t="shared" si="13"/>
        <v>0</v>
      </c>
      <c r="AL76" s="62">
        <f>AJ76-AK76</f>
        <v>0</v>
      </c>
      <c r="AM76" s="62"/>
      <c r="AN76" s="62"/>
    </row>
    <row r="77" spans="1:40" x14ac:dyDescent="0.3">
      <c r="A77" s="465">
        <v>549</v>
      </c>
      <c r="B77" s="461" t="s">
        <v>619</v>
      </c>
      <c r="C77" s="461"/>
      <c r="D77" s="669"/>
      <c r="E77" s="669"/>
      <c r="F77" s="669"/>
      <c r="G77" s="669"/>
      <c r="H77" s="669"/>
      <c r="I77" s="669"/>
      <c r="J77" s="669"/>
      <c r="K77" s="669"/>
      <c r="L77" s="669"/>
      <c r="M77" s="669"/>
      <c r="N77" s="669"/>
      <c r="O77" s="669"/>
      <c r="P77" s="669"/>
      <c r="Q77" s="669"/>
      <c r="R77" s="669"/>
      <c r="S77" s="669"/>
      <c r="T77" s="669"/>
      <c r="U77" s="669"/>
      <c r="V77" s="669"/>
      <c r="W77" s="669"/>
      <c r="X77" s="669"/>
      <c r="Y77" s="669"/>
      <c r="Z77" s="669"/>
      <c r="AA77" s="669"/>
      <c r="AB77" s="669"/>
      <c r="AC77" s="669"/>
      <c r="AD77" s="669"/>
      <c r="AE77" s="669"/>
      <c r="AF77" s="669"/>
      <c r="AG77" s="669"/>
      <c r="AH77" s="669"/>
      <c r="AI77" s="62"/>
      <c r="AJ77" s="468">
        <f>'4a. OM less M&amp;S'!I77</f>
        <v>0</v>
      </c>
      <c r="AK77" s="62">
        <f t="shared" si="13"/>
        <v>0</v>
      </c>
      <c r="AL77" s="62">
        <f>AJ77-AK77</f>
        <v>0</v>
      </c>
      <c r="AM77" s="62"/>
      <c r="AN77" s="62"/>
    </row>
    <row r="78" spans="1:40" x14ac:dyDescent="0.3">
      <c r="A78" s="465">
        <v>550</v>
      </c>
      <c r="B78" s="461" t="s">
        <v>564</v>
      </c>
      <c r="C78" s="461"/>
      <c r="D78" s="669"/>
      <c r="E78" s="669"/>
      <c r="F78" s="669"/>
      <c r="G78" s="669"/>
      <c r="H78" s="669"/>
      <c r="I78" s="669"/>
      <c r="J78" s="669"/>
      <c r="K78" s="669"/>
      <c r="L78" s="669"/>
      <c r="M78" s="669"/>
      <c r="N78" s="669"/>
      <c r="O78" s="669"/>
      <c r="P78" s="669"/>
      <c r="Q78" s="669"/>
      <c r="R78" s="669"/>
      <c r="S78" s="669"/>
      <c r="T78" s="669"/>
      <c r="U78" s="669"/>
      <c r="V78" s="669"/>
      <c r="W78" s="669"/>
      <c r="X78" s="669"/>
      <c r="Y78" s="669"/>
      <c r="Z78" s="669"/>
      <c r="AA78" s="669"/>
      <c r="AB78" s="669"/>
      <c r="AC78" s="669"/>
      <c r="AD78" s="669"/>
      <c r="AE78" s="669"/>
      <c r="AF78" s="669"/>
      <c r="AG78" s="669"/>
      <c r="AH78" s="669"/>
      <c r="AI78" s="62"/>
      <c r="AJ78" s="468">
        <f>'4a. OM less M&amp;S'!I78</f>
        <v>0</v>
      </c>
      <c r="AK78" s="62">
        <f t="shared" si="13"/>
        <v>0</v>
      </c>
      <c r="AL78" s="62">
        <f>AJ78-AK78</f>
        <v>0</v>
      </c>
      <c r="AM78" s="62"/>
      <c r="AN78" s="62"/>
    </row>
    <row r="79" spans="1:40" x14ac:dyDescent="0.3">
      <c r="A79" s="461"/>
      <c r="B79" s="474" t="s">
        <v>524</v>
      </c>
      <c r="C79" s="474"/>
      <c r="D79" s="669"/>
      <c r="E79" s="669"/>
      <c r="F79" s="669"/>
      <c r="G79" s="669"/>
      <c r="H79" s="669"/>
      <c r="I79" s="669"/>
      <c r="J79" s="669"/>
      <c r="K79" s="669"/>
      <c r="L79" s="669"/>
      <c r="M79" s="669"/>
      <c r="N79" s="669"/>
      <c r="O79" s="669"/>
      <c r="P79" s="669"/>
      <c r="Q79" s="669"/>
      <c r="R79" s="669"/>
      <c r="S79" s="669"/>
      <c r="T79" s="669"/>
      <c r="U79" s="669"/>
      <c r="V79" s="669"/>
      <c r="W79" s="669"/>
      <c r="X79" s="669"/>
      <c r="Y79" s="669"/>
      <c r="Z79" s="669"/>
      <c r="AA79" s="669"/>
      <c r="AB79" s="669"/>
      <c r="AC79" s="669"/>
      <c r="AD79" s="669"/>
      <c r="AE79" s="669"/>
      <c r="AF79" s="669"/>
      <c r="AG79" s="669"/>
      <c r="AH79" s="669"/>
      <c r="AI79" s="62"/>
      <c r="AJ79" s="62">
        <f>SUM(AJ74:AJ78)</f>
        <v>0</v>
      </c>
      <c r="AK79" s="62">
        <f t="shared" si="13"/>
        <v>0</v>
      </c>
      <c r="AL79" s="62">
        <f>AJ79-AK79</f>
        <v>0</v>
      </c>
      <c r="AM79" s="62"/>
      <c r="AN79" s="62"/>
    </row>
    <row r="80" spans="1:40" x14ac:dyDescent="0.3">
      <c r="A80" s="461"/>
      <c r="B80" s="461"/>
      <c r="C80" s="461"/>
      <c r="D80" s="669"/>
      <c r="E80" s="669"/>
      <c r="F80" s="669"/>
      <c r="G80" s="669"/>
      <c r="H80" s="669"/>
      <c r="I80" s="669"/>
      <c r="J80" s="669"/>
      <c r="K80" s="669"/>
      <c r="L80" s="669"/>
      <c r="M80" s="669"/>
      <c r="N80" s="669"/>
      <c r="O80" s="669"/>
      <c r="P80" s="669"/>
      <c r="Q80" s="669"/>
      <c r="R80" s="669"/>
      <c r="S80" s="669"/>
      <c r="T80" s="669"/>
      <c r="U80" s="669"/>
      <c r="V80" s="669"/>
      <c r="W80" s="669"/>
      <c r="X80" s="669"/>
      <c r="Y80" s="669"/>
      <c r="Z80" s="669"/>
      <c r="AA80" s="669"/>
      <c r="AB80" s="669"/>
      <c r="AC80" s="669"/>
      <c r="AD80" s="669"/>
      <c r="AE80" s="669"/>
      <c r="AF80" s="669"/>
      <c r="AG80" s="669"/>
      <c r="AH80" s="669"/>
      <c r="AI80" s="62"/>
      <c r="AJ80" s="62"/>
      <c r="AK80" s="62">
        <f t="shared" si="13"/>
        <v>0</v>
      </c>
      <c r="AL80" s="62"/>
      <c r="AM80" s="62"/>
      <c r="AN80" s="62"/>
    </row>
    <row r="81" spans="1:40" x14ac:dyDescent="0.3">
      <c r="A81" s="461"/>
      <c r="B81" s="464" t="s">
        <v>565</v>
      </c>
      <c r="C81" s="464"/>
      <c r="D81" s="669"/>
      <c r="E81" s="669"/>
      <c r="F81" s="669"/>
      <c r="G81" s="669"/>
      <c r="H81" s="669"/>
      <c r="I81" s="669"/>
      <c r="J81" s="669"/>
      <c r="K81" s="669"/>
      <c r="L81" s="669"/>
      <c r="M81" s="669"/>
      <c r="N81" s="669"/>
      <c r="O81" s="669"/>
      <c r="P81" s="669"/>
      <c r="Q81" s="669"/>
      <c r="R81" s="669"/>
      <c r="S81" s="669"/>
      <c r="T81" s="669"/>
      <c r="U81" s="669"/>
      <c r="V81" s="669"/>
      <c r="W81" s="669"/>
      <c r="X81" s="669"/>
      <c r="Y81" s="669"/>
      <c r="Z81" s="669"/>
      <c r="AA81" s="669"/>
      <c r="AB81" s="669"/>
      <c r="AC81" s="669"/>
      <c r="AD81" s="669"/>
      <c r="AE81" s="669"/>
      <c r="AF81" s="669"/>
      <c r="AG81" s="669"/>
      <c r="AH81" s="669"/>
      <c r="AI81" s="62"/>
      <c r="AJ81" s="62"/>
      <c r="AK81" s="62">
        <f t="shared" si="13"/>
        <v>0</v>
      </c>
      <c r="AL81" s="62"/>
      <c r="AM81" s="62"/>
      <c r="AN81" s="62"/>
    </row>
    <row r="82" spans="1:40" x14ac:dyDescent="0.3">
      <c r="A82" s="461">
        <v>551</v>
      </c>
      <c r="B82" s="461" t="s">
        <v>622</v>
      </c>
      <c r="C82" s="461"/>
      <c r="D82" s="669"/>
      <c r="E82" s="669"/>
      <c r="F82" s="669"/>
      <c r="G82" s="669"/>
      <c r="H82" s="669"/>
      <c r="I82" s="669"/>
      <c r="J82" s="669"/>
      <c r="K82" s="669"/>
      <c r="L82" s="669"/>
      <c r="M82" s="669"/>
      <c r="N82" s="669"/>
      <c r="O82" s="669"/>
      <c r="P82" s="669"/>
      <c r="Q82" s="669"/>
      <c r="R82" s="669"/>
      <c r="S82" s="669"/>
      <c r="T82" s="669"/>
      <c r="U82" s="669"/>
      <c r="V82" s="669"/>
      <c r="W82" s="669"/>
      <c r="X82" s="669"/>
      <c r="Y82" s="669"/>
      <c r="Z82" s="669"/>
      <c r="AA82" s="669"/>
      <c r="AB82" s="669"/>
      <c r="AC82" s="669"/>
      <c r="AD82" s="669"/>
      <c r="AE82" s="669"/>
      <c r="AF82" s="669"/>
      <c r="AG82" s="669"/>
      <c r="AH82" s="669"/>
      <c r="AI82" s="62"/>
      <c r="AJ82" s="468">
        <f>'4a. OM less M&amp;S'!I82</f>
        <v>0</v>
      </c>
      <c r="AK82" s="62">
        <f t="shared" si="13"/>
        <v>0</v>
      </c>
      <c r="AL82" s="62">
        <f>AJ82-AK82</f>
        <v>0</v>
      </c>
      <c r="AM82" s="62"/>
      <c r="AN82" s="62"/>
    </row>
    <row r="83" spans="1:40" x14ac:dyDescent="0.3">
      <c r="A83" s="461">
        <v>552</v>
      </c>
      <c r="B83" s="466" t="s">
        <v>624</v>
      </c>
      <c r="C83" s="466"/>
      <c r="D83" s="669"/>
      <c r="E83" s="669"/>
      <c r="F83" s="669"/>
      <c r="G83" s="669"/>
      <c r="H83" s="669"/>
      <c r="I83" s="669"/>
      <c r="J83" s="669"/>
      <c r="K83" s="669"/>
      <c r="L83" s="669"/>
      <c r="M83" s="669"/>
      <c r="N83" s="669"/>
      <c r="O83" s="669"/>
      <c r="P83" s="669"/>
      <c r="Q83" s="669"/>
      <c r="R83" s="669"/>
      <c r="S83" s="669"/>
      <c r="T83" s="669"/>
      <c r="U83" s="669"/>
      <c r="V83" s="669"/>
      <c r="W83" s="669"/>
      <c r="X83" s="669"/>
      <c r="Y83" s="669"/>
      <c r="Z83" s="669"/>
      <c r="AA83" s="669"/>
      <c r="AB83" s="669"/>
      <c r="AC83" s="669"/>
      <c r="AD83" s="669"/>
      <c r="AE83" s="669"/>
      <c r="AF83" s="669"/>
      <c r="AG83" s="669"/>
      <c r="AH83" s="669"/>
      <c r="AI83" s="62"/>
      <c r="AJ83" s="468">
        <f>'4a. OM less M&amp;S'!I83</f>
        <v>0</v>
      </c>
      <c r="AK83" s="62">
        <f t="shared" si="13"/>
        <v>0</v>
      </c>
      <c r="AL83" s="62">
        <f>AJ83-AK83</f>
        <v>0</v>
      </c>
      <c r="AM83" s="62"/>
      <c r="AN83" s="62"/>
    </row>
    <row r="84" spans="1:40" x14ac:dyDescent="0.3">
      <c r="A84" s="461">
        <v>553</v>
      </c>
      <c r="B84" s="461" t="s">
        <v>626</v>
      </c>
      <c r="C84" s="461"/>
      <c r="D84" s="669"/>
      <c r="E84" s="669"/>
      <c r="F84" s="669"/>
      <c r="G84" s="669"/>
      <c r="H84" s="669"/>
      <c r="I84" s="669"/>
      <c r="J84" s="669"/>
      <c r="K84" s="669"/>
      <c r="L84" s="669"/>
      <c r="M84" s="669"/>
      <c r="N84" s="669"/>
      <c r="O84" s="669"/>
      <c r="P84" s="669"/>
      <c r="Q84" s="669"/>
      <c r="R84" s="669"/>
      <c r="S84" s="669"/>
      <c r="T84" s="669"/>
      <c r="U84" s="669"/>
      <c r="V84" s="669"/>
      <c r="W84" s="669"/>
      <c r="X84" s="669"/>
      <c r="Y84" s="669"/>
      <c r="Z84" s="669"/>
      <c r="AA84" s="669"/>
      <c r="AB84" s="669"/>
      <c r="AC84" s="669"/>
      <c r="AD84" s="669"/>
      <c r="AE84" s="669"/>
      <c r="AF84" s="669"/>
      <c r="AG84" s="669"/>
      <c r="AH84" s="669"/>
      <c r="AI84" s="62"/>
      <c r="AJ84" s="468">
        <f>'4a. OM less M&amp;S'!I84</f>
        <v>0</v>
      </c>
      <c r="AK84" s="62">
        <f t="shared" si="13"/>
        <v>0</v>
      </c>
      <c r="AL84" s="62">
        <f>AJ84-AK84</f>
        <v>0</v>
      </c>
      <c r="AM84" s="62"/>
      <c r="AN84" s="62"/>
    </row>
    <row r="85" spans="1:40" x14ac:dyDescent="0.3">
      <c r="A85" s="461">
        <v>554</v>
      </c>
      <c r="B85" s="461" t="s">
        <v>628</v>
      </c>
      <c r="C85" s="461"/>
      <c r="D85" s="669"/>
      <c r="E85" s="669"/>
      <c r="F85" s="669"/>
      <c r="G85" s="669"/>
      <c r="H85" s="669"/>
      <c r="I85" s="669"/>
      <c r="J85" s="669"/>
      <c r="K85" s="669"/>
      <c r="L85" s="669"/>
      <c r="M85" s="669"/>
      <c r="N85" s="669"/>
      <c r="O85" s="669"/>
      <c r="P85" s="669"/>
      <c r="Q85" s="669"/>
      <c r="R85" s="669"/>
      <c r="S85" s="669"/>
      <c r="T85" s="669"/>
      <c r="U85" s="669"/>
      <c r="V85" s="669"/>
      <c r="W85" s="669"/>
      <c r="X85" s="669"/>
      <c r="Y85" s="669"/>
      <c r="Z85" s="669"/>
      <c r="AA85" s="669"/>
      <c r="AB85" s="669"/>
      <c r="AC85" s="669"/>
      <c r="AD85" s="669"/>
      <c r="AE85" s="669"/>
      <c r="AF85" s="669"/>
      <c r="AG85" s="669"/>
      <c r="AH85" s="669"/>
      <c r="AI85" s="62"/>
      <c r="AJ85" s="468">
        <f>'4a. OM less M&amp;S'!I85</f>
        <v>0</v>
      </c>
      <c r="AK85" s="62">
        <f t="shared" si="13"/>
        <v>0</v>
      </c>
      <c r="AL85" s="62">
        <f>AJ85-AK85</f>
        <v>0</v>
      </c>
      <c r="AM85" s="62"/>
      <c r="AN85" s="62"/>
    </row>
    <row r="86" spans="1:40" x14ac:dyDescent="0.3">
      <c r="A86" s="461"/>
      <c r="B86" s="474" t="s">
        <v>524</v>
      </c>
      <c r="C86" s="474"/>
      <c r="D86" s="669"/>
      <c r="E86" s="669"/>
      <c r="F86" s="669"/>
      <c r="G86" s="669"/>
      <c r="H86" s="669"/>
      <c r="I86" s="669"/>
      <c r="J86" s="669"/>
      <c r="K86" s="669"/>
      <c r="L86" s="669"/>
      <c r="M86" s="669"/>
      <c r="N86" s="669"/>
      <c r="O86" s="669"/>
      <c r="P86" s="669"/>
      <c r="Q86" s="669"/>
      <c r="R86" s="669"/>
      <c r="S86" s="669"/>
      <c r="T86" s="669"/>
      <c r="U86" s="669"/>
      <c r="V86" s="669"/>
      <c r="W86" s="669"/>
      <c r="X86" s="669"/>
      <c r="Y86" s="669"/>
      <c r="Z86" s="669"/>
      <c r="AA86" s="669"/>
      <c r="AB86" s="669"/>
      <c r="AC86" s="669"/>
      <c r="AD86" s="669"/>
      <c r="AE86" s="669"/>
      <c r="AF86" s="669"/>
      <c r="AG86" s="669"/>
      <c r="AH86" s="669"/>
      <c r="AI86" s="62"/>
      <c r="AJ86" s="62">
        <f>SUM(AJ82:AJ85)</f>
        <v>0</v>
      </c>
      <c r="AK86" s="62">
        <f t="shared" si="13"/>
        <v>0</v>
      </c>
      <c r="AL86" s="62">
        <f>AJ86-AK86</f>
        <v>0</v>
      </c>
      <c r="AM86" s="62"/>
      <c r="AN86" s="62"/>
    </row>
    <row r="87" spans="1:40" x14ac:dyDescent="0.3">
      <c r="A87" s="461"/>
      <c r="B87" s="461"/>
      <c r="C87" s="461"/>
      <c r="D87" s="669"/>
      <c r="E87" s="669"/>
      <c r="F87" s="669"/>
      <c r="G87" s="669"/>
      <c r="H87" s="669"/>
      <c r="I87" s="669"/>
      <c r="J87" s="669"/>
      <c r="K87" s="669"/>
      <c r="L87" s="669"/>
      <c r="M87" s="669"/>
      <c r="N87" s="669"/>
      <c r="O87" s="669"/>
      <c r="P87" s="669"/>
      <c r="Q87" s="669"/>
      <c r="R87" s="669"/>
      <c r="S87" s="669"/>
      <c r="T87" s="669"/>
      <c r="U87" s="669"/>
      <c r="V87" s="669"/>
      <c r="W87" s="669"/>
      <c r="X87" s="669"/>
      <c r="Y87" s="669"/>
      <c r="Z87" s="669"/>
      <c r="AA87" s="669"/>
      <c r="AB87" s="669"/>
      <c r="AC87" s="669"/>
      <c r="AD87" s="669"/>
      <c r="AE87" s="669"/>
      <c r="AF87" s="669"/>
      <c r="AG87" s="669"/>
      <c r="AH87" s="669"/>
      <c r="AI87" s="62"/>
      <c r="AJ87" s="62"/>
      <c r="AK87" s="62"/>
      <c r="AL87" s="62"/>
      <c r="AM87" s="62"/>
      <c r="AN87" s="62"/>
    </row>
    <row r="88" spans="1:40" x14ac:dyDescent="0.3">
      <c r="A88" s="461"/>
      <c r="B88" s="477" t="s">
        <v>629</v>
      </c>
      <c r="C88" s="477"/>
      <c r="D88" s="669"/>
      <c r="E88" s="669"/>
      <c r="F88" s="669"/>
      <c r="G88" s="669"/>
      <c r="H88" s="669"/>
      <c r="I88" s="669"/>
      <c r="J88" s="669"/>
      <c r="K88" s="669"/>
      <c r="L88" s="669"/>
      <c r="M88" s="669"/>
      <c r="N88" s="669"/>
      <c r="O88" s="669"/>
      <c r="P88" s="669"/>
      <c r="Q88" s="669"/>
      <c r="R88" s="669"/>
      <c r="S88" s="669"/>
      <c r="T88" s="669"/>
      <c r="U88" s="669"/>
      <c r="V88" s="669"/>
      <c r="W88" s="669"/>
      <c r="X88" s="669"/>
      <c r="Y88" s="669"/>
      <c r="Z88" s="669"/>
      <c r="AA88" s="669"/>
      <c r="AB88" s="669"/>
      <c r="AC88" s="669"/>
      <c r="AD88" s="669"/>
      <c r="AE88" s="669"/>
      <c r="AF88" s="669"/>
      <c r="AG88" s="669"/>
      <c r="AH88" s="669"/>
      <c r="AI88" s="62"/>
      <c r="AJ88" s="62"/>
      <c r="AK88" s="62"/>
      <c r="AL88" s="62"/>
      <c r="AM88" s="62"/>
      <c r="AN88" s="62"/>
    </row>
    <row r="89" spans="1:40" x14ac:dyDescent="0.3">
      <c r="A89" s="465">
        <v>555</v>
      </c>
      <c r="B89" s="461" t="s">
        <v>902</v>
      </c>
      <c r="C89" s="461"/>
      <c r="D89" s="669"/>
      <c r="E89" s="669"/>
      <c r="F89" s="669"/>
      <c r="G89" s="669"/>
      <c r="H89" s="669"/>
      <c r="I89" s="669"/>
      <c r="J89" s="669"/>
      <c r="K89" s="669"/>
      <c r="L89" s="669"/>
      <c r="M89" s="669"/>
      <c r="N89" s="669"/>
      <c r="O89" s="669"/>
      <c r="P89" s="669"/>
      <c r="Q89" s="669"/>
      <c r="R89" s="669"/>
      <c r="S89" s="669"/>
      <c r="T89" s="669"/>
      <c r="U89" s="669"/>
      <c r="V89" s="669"/>
      <c r="W89" s="669"/>
      <c r="X89" s="669"/>
      <c r="Y89" s="669"/>
      <c r="Z89" s="669"/>
      <c r="AA89" s="669"/>
      <c r="AB89" s="669"/>
      <c r="AC89" s="669"/>
      <c r="AD89" s="669"/>
      <c r="AE89" s="669"/>
      <c r="AF89" s="669"/>
      <c r="AG89" s="669"/>
      <c r="AH89" s="669"/>
      <c r="AI89" s="62"/>
      <c r="AJ89" s="468"/>
      <c r="AK89" s="62"/>
      <c r="AL89" s="62"/>
      <c r="AM89" s="62"/>
      <c r="AN89" s="62"/>
    </row>
    <row r="90" spans="1:40" x14ac:dyDescent="0.3">
      <c r="A90" s="465"/>
      <c r="B90" s="461" t="s">
        <v>903</v>
      </c>
      <c r="C90" s="461"/>
      <c r="D90" s="669"/>
      <c r="E90" s="669"/>
      <c r="F90" s="669"/>
      <c r="G90" s="669"/>
      <c r="H90" s="669"/>
      <c r="I90" s="669"/>
      <c r="J90" s="669"/>
      <c r="K90" s="669"/>
      <c r="L90" s="669"/>
      <c r="M90" s="669"/>
      <c r="N90" s="669"/>
      <c r="O90" s="669"/>
      <c r="P90" s="669"/>
      <c r="Q90" s="669"/>
      <c r="R90" s="669"/>
      <c r="S90" s="669"/>
      <c r="T90" s="669"/>
      <c r="U90" s="669"/>
      <c r="V90" s="669"/>
      <c r="W90" s="669"/>
      <c r="X90" s="669"/>
      <c r="Y90" s="669"/>
      <c r="Z90" s="669"/>
      <c r="AA90" s="669"/>
      <c r="AB90" s="669"/>
      <c r="AC90" s="669"/>
      <c r="AD90" s="669"/>
      <c r="AE90" s="669"/>
      <c r="AF90" s="669"/>
      <c r="AG90" s="669"/>
      <c r="AH90" s="669"/>
      <c r="AI90" s="62"/>
      <c r="AJ90" s="468"/>
      <c r="AK90" s="62"/>
      <c r="AL90" s="62"/>
      <c r="AM90" s="62"/>
      <c r="AN90" s="62"/>
    </row>
    <row r="91" spans="1:40" x14ac:dyDescent="0.3">
      <c r="A91" s="465"/>
      <c r="B91" s="461" t="s">
        <v>904</v>
      </c>
      <c r="C91" s="461"/>
      <c r="D91" s="669"/>
      <c r="E91" s="669"/>
      <c r="F91" s="669"/>
      <c r="G91" s="669"/>
      <c r="H91" s="669"/>
      <c r="I91" s="669"/>
      <c r="J91" s="669"/>
      <c r="K91" s="669"/>
      <c r="L91" s="669"/>
      <c r="M91" s="669"/>
      <c r="N91" s="669"/>
      <c r="O91" s="669"/>
      <c r="P91" s="669"/>
      <c r="Q91" s="669"/>
      <c r="R91" s="669"/>
      <c r="S91" s="669"/>
      <c r="T91" s="669"/>
      <c r="U91" s="669"/>
      <c r="V91" s="669"/>
      <c r="W91" s="669"/>
      <c r="X91" s="669"/>
      <c r="Y91" s="669"/>
      <c r="Z91" s="669"/>
      <c r="AA91" s="669"/>
      <c r="AB91" s="669"/>
      <c r="AC91" s="669"/>
      <c r="AD91" s="669"/>
      <c r="AE91" s="669"/>
      <c r="AF91" s="669"/>
      <c r="AG91" s="669"/>
      <c r="AH91" s="669"/>
      <c r="AI91" s="62"/>
      <c r="AJ91" s="468"/>
      <c r="AK91" s="62"/>
      <c r="AL91" s="62"/>
      <c r="AM91" s="62"/>
      <c r="AN91" s="62"/>
    </row>
    <row r="92" spans="1:40" x14ac:dyDescent="0.3">
      <c r="A92" s="465"/>
      <c r="B92" s="461" t="s">
        <v>905</v>
      </c>
      <c r="C92" s="461"/>
      <c r="D92" s="669"/>
      <c r="E92" s="669"/>
      <c r="F92" s="669"/>
      <c r="G92" s="669"/>
      <c r="H92" s="669"/>
      <c r="I92" s="669"/>
      <c r="J92" s="669"/>
      <c r="K92" s="669"/>
      <c r="L92" s="669"/>
      <c r="M92" s="669"/>
      <c r="N92" s="669"/>
      <c r="O92" s="669"/>
      <c r="P92" s="669"/>
      <c r="Q92" s="669"/>
      <c r="R92" s="669"/>
      <c r="S92" s="669"/>
      <c r="T92" s="669"/>
      <c r="U92" s="669"/>
      <c r="V92" s="669"/>
      <c r="W92" s="669"/>
      <c r="X92" s="669"/>
      <c r="Y92" s="669"/>
      <c r="Z92" s="669"/>
      <c r="AA92" s="669"/>
      <c r="AB92" s="669"/>
      <c r="AC92" s="669"/>
      <c r="AD92" s="669"/>
      <c r="AE92" s="669"/>
      <c r="AF92" s="669"/>
      <c r="AG92" s="669"/>
      <c r="AH92" s="669"/>
      <c r="AI92" s="62"/>
      <c r="AJ92" s="468"/>
      <c r="AK92" s="62"/>
      <c r="AL92" s="62"/>
      <c r="AM92" s="62"/>
      <c r="AN92" s="62"/>
    </row>
    <row r="93" spans="1:40" x14ac:dyDescent="0.3">
      <c r="A93" s="465">
        <v>555</v>
      </c>
      <c r="B93" s="474" t="s">
        <v>524</v>
      </c>
      <c r="C93" s="474"/>
      <c r="D93" s="669"/>
      <c r="E93" s="669"/>
      <c r="F93" s="669"/>
      <c r="G93" s="669"/>
      <c r="H93" s="669"/>
      <c r="I93" s="669"/>
      <c r="J93" s="669"/>
      <c r="K93" s="669"/>
      <c r="L93" s="669"/>
      <c r="M93" s="669"/>
      <c r="N93" s="669"/>
      <c r="O93" s="669"/>
      <c r="P93" s="669"/>
      <c r="Q93" s="669"/>
      <c r="R93" s="669"/>
      <c r="S93" s="669"/>
      <c r="T93" s="669"/>
      <c r="U93" s="669"/>
      <c r="V93" s="669"/>
      <c r="W93" s="669"/>
      <c r="X93" s="669"/>
      <c r="Y93" s="669"/>
      <c r="Z93" s="669"/>
      <c r="AA93" s="669"/>
      <c r="AB93" s="669"/>
      <c r="AC93" s="669"/>
      <c r="AD93" s="669"/>
      <c r="AE93" s="669"/>
      <c r="AF93" s="669"/>
      <c r="AG93" s="669"/>
      <c r="AH93" s="669"/>
      <c r="AI93" s="62"/>
      <c r="AJ93" s="468">
        <f>'4a. OM less M&amp;S'!I93</f>
        <v>0</v>
      </c>
      <c r="AK93" s="62">
        <f t="shared" ref="AK93:AK97" si="14">SUM(F93:K93,L93,N93:W93,Y93:Z93,AA93:AA93,AC93:AE93,AG93:AH93)</f>
        <v>0</v>
      </c>
      <c r="AL93" s="62">
        <f>AJ93-AK93</f>
        <v>0</v>
      </c>
      <c r="AM93" s="62"/>
      <c r="AN93" s="62"/>
    </row>
    <row r="94" spans="1:40" x14ac:dyDescent="0.3">
      <c r="A94" s="465">
        <v>556</v>
      </c>
      <c r="B94" s="461" t="s">
        <v>636</v>
      </c>
      <c r="C94" s="461"/>
      <c r="D94" s="669"/>
      <c r="E94" s="669"/>
      <c r="F94" s="669"/>
      <c r="G94" s="669"/>
      <c r="H94" s="669"/>
      <c r="I94" s="669"/>
      <c r="J94" s="669"/>
      <c r="K94" s="669"/>
      <c r="L94" s="669"/>
      <c r="M94" s="669"/>
      <c r="N94" s="669"/>
      <c r="O94" s="669"/>
      <c r="P94" s="669"/>
      <c r="Q94" s="669"/>
      <c r="R94" s="669"/>
      <c r="S94" s="669"/>
      <c r="T94" s="669"/>
      <c r="U94" s="669"/>
      <c r="V94" s="669"/>
      <c r="W94" s="669"/>
      <c r="X94" s="669"/>
      <c r="Y94" s="669"/>
      <c r="Z94" s="669"/>
      <c r="AA94" s="669"/>
      <c r="AB94" s="669"/>
      <c r="AC94" s="669"/>
      <c r="AD94" s="669"/>
      <c r="AE94" s="669"/>
      <c r="AF94" s="669"/>
      <c r="AG94" s="669"/>
      <c r="AH94" s="669"/>
      <c r="AI94" s="62"/>
      <c r="AJ94" s="468">
        <f>'4a. OM less M&amp;S'!I94</f>
        <v>0</v>
      </c>
      <c r="AK94" s="62">
        <f t="shared" si="14"/>
        <v>0</v>
      </c>
      <c r="AL94" s="62">
        <f>AJ94-AK94</f>
        <v>0</v>
      </c>
      <c r="AM94" s="62"/>
      <c r="AN94" s="62"/>
    </row>
    <row r="95" spans="1:40" x14ac:dyDescent="0.3">
      <c r="A95" s="465">
        <v>557</v>
      </c>
      <c r="B95" s="465" t="s">
        <v>1180</v>
      </c>
      <c r="C95" s="461"/>
      <c r="D95" s="669"/>
      <c r="E95" s="669"/>
      <c r="F95" s="669"/>
      <c r="G95" s="669"/>
      <c r="H95" s="669"/>
      <c r="I95" s="669"/>
      <c r="J95" s="669"/>
      <c r="K95" s="669"/>
      <c r="L95" s="669"/>
      <c r="M95" s="669"/>
      <c r="N95" s="669"/>
      <c r="O95" s="669"/>
      <c r="P95" s="669"/>
      <c r="Q95" s="669"/>
      <c r="R95" s="669"/>
      <c r="S95" s="669"/>
      <c r="T95" s="669"/>
      <c r="U95" s="669"/>
      <c r="V95" s="669"/>
      <c r="W95" s="669"/>
      <c r="X95" s="669"/>
      <c r="Y95" s="669"/>
      <c r="Z95" s="669"/>
      <c r="AA95" s="669"/>
      <c r="AB95" s="669"/>
      <c r="AC95" s="669"/>
      <c r="AD95" s="669"/>
      <c r="AE95" s="669"/>
      <c r="AF95" s="669"/>
      <c r="AG95" s="669"/>
      <c r="AH95" s="669"/>
      <c r="AI95" s="62"/>
      <c r="AJ95" s="468">
        <f>'4a. OM less M&amp;S'!I95</f>
        <v>0</v>
      </c>
      <c r="AK95" s="62">
        <f t="shared" si="14"/>
        <v>0</v>
      </c>
      <c r="AL95" s="62">
        <f>AJ95-AK95</f>
        <v>0</v>
      </c>
      <c r="AM95" s="62"/>
      <c r="AN95" s="62"/>
    </row>
    <row r="96" spans="1:40" x14ac:dyDescent="0.3">
      <c r="A96" s="465">
        <v>557</v>
      </c>
      <c r="B96" s="465" t="s">
        <v>1181</v>
      </c>
      <c r="C96" s="461"/>
      <c r="D96" s="669"/>
      <c r="E96" s="669"/>
      <c r="F96" s="669"/>
      <c r="G96" s="669"/>
      <c r="H96" s="669"/>
      <c r="I96" s="669"/>
      <c r="J96" s="669"/>
      <c r="K96" s="669"/>
      <c r="L96" s="669"/>
      <c r="M96" s="669"/>
      <c r="N96" s="669"/>
      <c r="O96" s="669"/>
      <c r="P96" s="669"/>
      <c r="Q96" s="669"/>
      <c r="R96" s="669"/>
      <c r="S96" s="669"/>
      <c r="T96" s="669"/>
      <c r="U96" s="669"/>
      <c r="V96" s="669"/>
      <c r="W96" s="669"/>
      <c r="X96" s="669"/>
      <c r="Y96" s="669"/>
      <c r="Z96" s="669"/>
      <c r="AA96" s="669"/>
      <c r="AB96" s="669"/>
      <c r="AC96" s="669"/>
      <c r="AD96" s="669"/>
      <c r="AE96" s="669"/>
      <c r="AF96" s="669"/>
      <c r="AG96" s="669"/>
      <c r="AH96" s="669"/>
      <c r="AI96" s="62"/>
      <c r="AJ96" s="468">
        <f>'4a. OM less M&amp;S'!I96</f>
        <v>0</v>
      </c>
      <c r="AK96" s="62">
        <f t="shared" ref="AK96" si="15">SUM(F96:K96,L96,N96:W96,Y96:Z96,AA96:AA96,AC96:AE96,AG96:AH96)</f>
        <v>0</v>
      </c>
      <c r="AL96" s="62">
        <f>AJ96-AK96</f>
        <v>0</v>
      </c>
      <c r="AM96" s="62"/>
      <c r="AN96" s="62"/>
    </row>
    <row r="97" spans="1:40" x14ac:dyDescent="0.3">
      <c r="A97" s="465"/>
      <c r="B97" s="474" t="s">
        <v>639</v>
      </c>
      <c r="C97" s="474"/>
      <c r="D97" s="669"/>
      <c r="E97" s="669"/>
      <c r="F97" s="669"/>
      <c r="G97" s="669"/>
      <c r="H97" s="669"/>
      <c r="I97" s="669"/>
      <c r="J97" s="669"/>
      <c r="K97" s="669"/>
      <c r="L97" s="669"/>
      <c r="M97" s="669"/>
      <c r="N97" s="669"/>
      <c r="O97" s="669"/>
      <c r="P97" s="669"/>
      <c r="Q97" s="669"/>
      <c r="R97" s="669"/>
      <c r="S97" s="669"/>
      <c r="T97" s="669"/>
      <c r="U97" s="669"/>
      <c r="V97" s="669"/>
      <c r="W97" s="669"/>
      <c r="X97" s="669"/>
      <c r="Y97" s="669"/>
      <c r="Z97" s="669"/>
      <c r="AA97" s="669"/>
      <c r="AB97" s="669"/>
      <c r="AC97" s="669"/>
      <c r="AD97" s="669"/>
      <c r="AE97" s="669"/>
      <c r="AF97" s="669"/>
      <c r="AG97" s="669"/>
      <c r="AH97" s="669"/>
      <c r="AI97" s="62"/>
      <c r="AJ97" s="171">
        <f>SUM(AJ93:AJ96)</f>
        <v>0</v>
      </c>
      <c r="AK97" s="62">
        <f t="shared" si="14"/>
        <v>0</v>
      </c>
      <c r="AL97" s="62">
        <f>AJ97-AK97</f>
        <v>0</v>
      </c>
      <c r="AM97" s="62"/>
      <c r="AN97" s="62"/>
    </row>
    <row r="98" spans="1:40" x14ac:dyDescent="0.3">
      <c r="A98" s="461"/>
      <c r="B98" s="461"/>
      <c r="C98" s="461"/>
      <c r="D98" s="468"/>
      <c r="E98" s="468"/>
      <c r="F98" s="630"/>
      <c r="G98" s="630"/>
      <c r="H98" s="630"/>
      <c r="I98" s="468"/>
      <c r="J98" s="468"/>
      <c r="K98" s="468"/>
      <c r="L98" s="468"/>
      <c r="M98" s="468"/>
      <c r="N98" s="468"/>
      <c r="O98" s="468"/>
      <c r="P98" s="468"/>
      <c r="Q98" s="468"/>
      <c r="R98" s="468"/>
      <c r="S98" s="468"/>
      <c r="T98" s="468"/>
      <c r="U98" s="468"/>
      <c r="V98" s="468"/>
      <c r="W98" s="468"/>
      <c r="X98" s="468"/>
      <c r="Y98" s="468"/>
      <c r="Z98" s="468"/>
      <c r="AA98" s="468"/>
      <c r="AB98" s="468"/>
      <c r="AC98" s="468"/>
      <c r="AD98" s="468"/>
      <c r="AE98" s="468"/>
      <c r="AF98" s="468"/>
      <c r="AG98" s="468"/>
      <c r="AH98" s="468"/>
      <c r="AI98" s="62"/>
      <c r="AJ98" s="62"/>
      <c r="AK98" s="62"/>
      <c r="AL98" s="62"/>
      <c r="AM98" s="62"/>
      <c r="AN98" s="62"/>
    </row>
    <row r="99" spans="1:40" x14ac:dyDescent="0.3">
      <c r="A99" s="461"/>
      <c r="B99" s="479" t="s">
        <v>640</v>
      </c>
      <c r="C99" s="479"/>
      <c r="D99" s="695">
        <v>213001170.19</v>
      </c>
      <c r="E99" s="695">
        <v>163296827.6251086</v>
      </c>
      <c r="F99" s="695"/>
      <c r="G99" s="695"/>
      <c r="H99" s="695"/>
      <c r="I99" s="695">
        <v>49704342.564891413</v>
      </c>
      <c r="J99" s="695">
        <v>0</v>
      </c>
      <c r="K99" s="695">
        <v>0</v>
      </c>
      <c r="L99" s="695">
        <v>0</v>
      </c>
      <c r="M99" s="695">
        <v>0</v>
      </c>
      <c r="N99" s="695">
        <v>0</v>
      </c>
      <c r="O99" s="695">
        <v>0</v>
      </c>
      <c r="P99" s="695">
        <v>0</v>
      </c>
      <c r="Q99" s="695">
        <v>0</v>
      </c>
      <c r="R99" s="695">
        <v>0</v>
      </c>
      <c r="S99" s="695">
        <v>0</v>
      </c>
      <c r="T99" s="695">
        <v>0</v>
      </c>
      <c r="U99" s="695">
        <v>0</v>
      </c>
      <c r="V99" s="695">
        <v>0</v>
      </c>
      <c r="W99" s="695">
        <v>0</v>
      </c>
      <c r="X99" s="695">
        <v>0</v>
      </c>
      <c r="Y99" s="695">
        <v>0</v>
      </c>
      <c r="Z99" s="695">
        <v>0</v>
      </c>
      <c r="AA99" s="695">
        <v>0</v>
      </c>
      <c r="AB99" s="695">
        <v>0</v>
      </c>
      <c r="AC99" s="695"/>
      <c r="AD99" s="695"/>
      <c r="AE99" s="695"/>
      <c r="AF99" s="695">
        <v>0</v>
      </c>
      <c r="AG99" s="695"/>
      <c r="AH99" s="695">
        <v>0</v>
      </c>
      <c r="AI99" s="62"/>
      <c r="AJ99" s="468">
        <f>'4a. OM less M&amp;S'!I99</f>
        <v>213001170.19</v>
      </c>
      <c r="AK99" s="62">
        <f>SUM(E99,I99:K99,L99,N99:W99,Y99:Z99,AA99:AA99,AC99:AE99,AG99:AH99)</f>
        <v>213001170.19</v>
      </c>
      <c r="AL99" s="62">
        <f>AJ99-AK99</f>
        <v>0</v>
      </c>
      <c r="AM99" s="62"/>
      <c r="AN99" s="62"/>
    </row>
    <row r="100" spans="1:40" x14ac:dyDescent="0.3">
      <c r="A100" s="461"/>
      <c r="B100" s="461"/>
      <c r="C100" s="461"/>
      <c r="D100" s="468"/>
      <c r="E100" s="468"/>
      <c r="F100" s="630"/>
      <c r="G100" s="630"/>
      <c r="H100" s="630"/>
      <c r="I100" s="468"/>
      <c r="J100" s="468"/>
      <c r="K100" s="468"/>
      <c r="L100" s="468"/>
      <c r="M100" s="468"/>
      <c r="N100" s="468"/>
      <c r="O100" s="468"/>
      <c r="P100" s="468"/>
      <c r="Q100" s="468"/>
      <c r="R100" s="468"/>
      <c r="S100" s="468"/>
      <c r="T100" s="468"/>
      <c r="U100" s="468"/>
      <c r="V100" s="468"/>
      <c r="W100" s="468"/>
      <c r="X100" s="468"/>
      <c r="Y100" s="468"/>
      <c r="Z100" s="468"/>
      <c r="AA100" s="468"/>
      <c r="AB100" s="468"/>
      <c r="AC100" s="468"/>
      <c r="AD100" s="468"/>
      <c r="AE100" s="468"/>
      <c r="AF100" s="468"/>
      <c r="AG100" s="468"/>
      <c r="AH100" s="468"/>
      <c r="AI100" s="62"/>
      <c r="AJ100" s="62"/>
      <c r="AK100" s="62"/>
      <c r="AL100" s="62"/>
      <c r="AM100" s="62"/>
      <c r="AN100" s="62"/>
    </row>
    <row r="101" spans="1:40" x14ac:dyDescent="0.3">
      <c r="A101" s="479" t="s">
        <v>641</v>
      </c>
      <c r="B101" s="461"/>
      <c r="C101" s="461"/>
      <c r="D101" s="468"/>
      <c r="E101" s="468"/>
      <c r="F101" s="630"/>
      <c r="G101" s="630"/>
      <c r="H101" s="630"/>
      <c r="I101" s="468"/>
      <c r="J101" s="468"/>
      <c r="K101" s="468"/>
      <c r="L101" s="468"/>
      <c r="M101" s="468"/>
      <c r="N101" s="468"/>
      <c r="O101" s="468"/>
      <c r="P101" s="468"/>
      <c r="Q101" s="468"/>
      <c r="R101" s="468"/>
      <c r="S101" s="468"/>
      <c r="T101" s="468"/>
      <c r="U101" s="468"/>
      <c r="V101" s="468"/>
      <c r="W101" s="468"/>
      <c r="X101" s="468"/>
      <c r="Y101" s="468"/>
      <c r="Z101" s="468"/>
      <c r="AA101" s="468"/>
      <c r="AB101" s="468"/>
      <c r="AC101" s="468"/>
      <c r="AD101" s="468"/>
      <c r="AE101" s="468"/>
      <c r="AF101" s="468"/>
      <c r="AG101" s="468"/>
      <c r="AH101" s="468"/>
      <c r="AI101" s="62"/>
      <c r="AJ101" s="62"/>
      <c r="AK101" s="62"/>
      <c r="AL101" s="62"/>
      <c r="AM101" s="62"/>
      <c r="AN101" s="62"/>
    </row>
    <row r="102" spans="1:40" x14ac:dyDescent="0.3">
      <c r="A102" s="461"/>
      <c r="B102" s="464" t="s">
        <v>549</v>
      </c>
      <c r="C102" s="464"/>
      <c r="D102" s="468"/>
      <c r="E102" s="468"/>
      <c r="F102" s="630"/>
      <c r="G102" s="630"/>
      <c r="H102" s="630"/>
      <c r="I102" s="468"/>
      <c r="J102" s="468"/>
      <c r="K102" s="468"/>
      <c r="L102" s="468"/>
      <c r="M102" s="468"/>
      <c r="N102" s="468"/>
      <c r="O102" s="468"/>
      <c r="P102" s="468"/>
      <c r="Q102" s="468"/>
      <c r="R102" s="468"/>
      <c r="S102" s="468"/>
      <c r="T102" s="468"/>
      <c r="U102" s="468"/>
      <c r="V102" s="468"/>
      <c r="W102" s="468"/>
      <c r="X102" s="468"/>
      <c r="Y102" s="468"/>
      <c r="Z102" s="468"/>
      <c r="AA102" s="468"/>
      <c r="AB102" s="468"/>
      <c r="AC102" s="468"/>
      <c r="AD102" s="468"/>
      <c r="AE102" s="468"/>
      <c r="AF102" s="468"/>
      <c r="AG102" s="468"/>
      <c r="AH102" s="468"/>
      <c r="AI102" s="62"/>
      <c r="AJ102" s="62"/>
      <c r="AK102" s="62"/>
      <c r="AL102" s="62"/>
      <c r="AM102" s="62"/>
      <c r="AN102" s="62"/>
    </row>
    <row r="103" spans="1:40" x14ac:dyDescent="0.3">
      <c r="A103" s="461">
        <v>560</v>
      </c>
      <c r="B103" s="461" t="s">
        <v>615</v>
      </c>
      <c r="C103" s="461"/>
      <c r="D103" s="468">
        <f>'4a. OM less M&amp;S'!J103</f>
        <v>0</v>
      </c>
      <c r="E103" s="468"/>
      <c r="F103" s="630"/>
      <c r="G103" s="630"/>
      <c r="H103" s="630"/>
      <c r="I103" s="468"/>
      <c r="J103" s="468"/>
      <c r="K103" s="468"/>
      <c r="L103" s="468">
        <f>'4a. OM less M&amp;S'!K103</f>
        <v>2699891.06</v>
      </c>
      <c r="M103" s="468">
        <f>'4a. OM less M&amp;S'!L103</f>
        <v>0</v>
      </c>
      <c r="N103" s="468"/>
      <c r="O103" s="468"/>
      <c r="P103" s="468"/>
      <c r="Q103" s="468"/>
      <c r="R103" s="468"/>
      <c r="S103" s="468"/>
      <c r="T103" s="468"/>
      <c r="U103" s="468"/>
      <c r="V103" s="468"/>
      <c r="W103" s="468"/>
      <c r="X103" s="468">
        <f>'4a. OM less M&amp;S'!M101</f>
        <v>0</v>
      </c>
      <c r="Y103" s="468"/>
      <c r="Z103" s="468"/>
      <c r="AA103" s="468">
        <f>'4a. OM less M&amp;S'!N101</f>
        <v>0</v>
      </c>
      <c r="AB103" s="468">
        <f>'4a. OM less M&amp;S'!O101</f>
        <v>0</v>
      </c>
      <c r="AC103" s="468"/>
      <c r="AD103" s="468"/>
      <c r="AE103" s="468"/>
      <c r="AF103" s="468">
        <f>'4a. OM less M&amp;S'!P101</f>
        <v>0</v>
      </c>
      <c r="AG103" s="468"/>
      <c r="AH103" s="468">
        <f>'4a. OM less M&amp;S'!Q101</f>
        <v>0</v>
      </c>
      <c r="AI103" s="62"/>
      <c r="AJ103" s="468">
        <f>'4a. OM less M&amp;S'!I103</f>
        <v>2699891.06</v>
      </c>
      <c r="AK103" s="62">
        <f t="shared" ref="AK103:AK111" si="16">SUM(F103:K103,L103,N103:W103,Y103:Z103,AA103:AA103,AC103:AE103,AG103:AH103)</f>
        <v>2699891.06</v>
      </c>
      <c r="AL103" s="62">
        <f t="shared" ref="AL103:AL111" si="17">AJ103-AK103</f>
        <v>0</v>
      </c>
      <c r="AM103" s="62"/>
      <c r="AN103" s="62"/>
    </row>
    <row r="104" spans="1:40" x14ac:dyDescent="0.3">
      <c r="A104" s="461">
        <v>561</v>
      </c>
      <c r="B104" s="461" t="s">
        <v>644</v>
      </c>
      <c r="C104" s="461"/>
      <c r="D104" s="468">
        <f>'4a. OM less M&amp;S'!J104</f>
        <v>0</v>
      </c>
      <c r="E104" s="468"/>
      <c r="F104" s="630"/>
      <c r="G104" s="630"/>
      <c r="H104" s="630"/>
      <c r="I104" s="468"/>
      <c r="J104" s="468"/>
      <c r="K104" s="468"/>
      <c r="L104" s="468">
        <f>'4a. OM less M&amp;S'!K104</f>
        <v>2273384.67</v>
      </c>
      <c r="M104" s="468">
        <f>'4a. OM less M&amp;S'!L104</f>
        <v>0</v>
      </c>
      <c r="N104" s="468"/>
      <c r="O104" s="468"/>
      <c r="P104" s="468"/>
      <c r="Q104" s="468"/>
      <c r="R104" s="468"/>
      <c r="S104" s="468"/>
      <c r="T104" s="468"/>
      <c r="U104" s="468"/>
      <c r="V104" s="468"/>
      <c r="W104" s="468"/>
      <c r="X104" s="468">
        <f>'4a. OM less M&amp;S'!M102</f>
        <v>0</v>
      </c>
      <c r="Y104" s="468"/>
      <c r="Z104" s="468"/>
      <c r="AA104" s="468">
        <f>'4a. OM less M&amp;S'!N102</f>
        <v>0</v>
      </c>
      <c r="AB104" s="468">
        <f>'4a. OM less M&amp;S'!O102</f>
        <v>0</v>
      </c>
      <c r="AC104" s="468"/>
      <c r="AD104" s="468"/>
      <c r="AE104" s="468"/>
      <c r="AF104" s="468">
        <f>'4a. OM less M&amp;S'!P102</f>
        <v>0</v>
      </c>
      <c r="AG104" s="468"/>
      <c r="AH104" s="468">
        <f>'4a. OM less M&amp;S'!Q102</f>
        <v>0</v>
      </c>
      <c r="AI104" s="62"/>
      <c r="AJ104" s="468">
        <f>'4a. OM less M&amp;S'!I104</f>
        <v>2273384.67</v>
      </c>
      <c r="AK104" s="62">
        <f t="shared" si="16"/>
        <v>2273384.67</v>
      </c>
      <c r="AL104" s="62">
        <f t="shared" si="17"/>
        <v>0</v>
      </c>
      <c r="AM104" s="62"/>
      <c r="AN104" s="62"/>
    </row>
    <row r="105" spans="1:40" x14ac:dyDescent="0.3">
      <c r="A105" s="461">
        <v>562</v>
      </c>
      <c r="B105" s="461" t="s">
        <v>428</v>
      </c>
      <c r="C105" s="461"/>
      <c r="D105" s="468">
        <f>'4a. OM less M&amp;S'!J105</f>
        <v>0</v>
      </c>
      <c r="E105" s="468"/>
      <c r="F105" s="630"/>
      <c r="G105" s="630"/>
      <c r="H105" s="630"/>
      <c r="I105" s="468"/>
      <c r="J105" s="468"/>
      <c r="K105" s="468"/>
      <c r="L105" s="468">
        <f>'4a. OM less M&amp;S'!K105</f>
        <v>345810.53</v>
      </c>
      <c r="M105" s="468">
        <f>'4a. OM less M&amp;S'!L105</f>
        <v>0</v>
      </c>
      <c r="N105" s="468"/>
      <c r="O105" s="468"/>
      <c r="P105" s="468"/>
      <c r="Q105" s="468"/>
      <c r="R105" s="468"/>
      <c r="S105" s="468"/>
      <c r="T105" s="468"/>
      <c r="U105" s="468"/>
      <c r="V105" s="468"/>
      <c r="W105" s="468"/>
      <c r="X105" s="468">
        <f>'4a. OM less M&amp;S'!M103</f>
        <v>0</v>
      </c>
      <c r="Y105" s="468"/>
      <c r="Z105" s="468"/>
      <c r="AA105" s="468">
        <f>'4a. OM less M&amp;S'!N103</f>
        <v>0</v>
      </c>
      <c r="AB105" s="468">
        <f>'4a. OM less M&amp;S'!O103</f>
        <v>0</v>
      </c>
      <c r="AC105" s="468"/>
      <c r="AD105" s="468"/>
      <c r="AE105" s="468"/>
      <c r="AF105" s="468">
        <f>'4a. OM less M&amp;S'!P103</f>
        <v>0</v>
      </c>
      <c r="AG105" s="468"/>
      <c r="AH105" s="468">
        <f>'4a. OM less M&amp;S'!Q103</f>
        <v>0</v>
      </c>
      <c r="AI105" s="62"/>
      <c r="AJ105" s="468">
        <f>'4a. OM less M&amp;S'!I105</f>
        <v>345810.53</v>
      </c>
      <c r="AK105" s="62">
        <f t="shared" si="16"/>
        <v>345810.53</v>
      </c>
      <c r="AL105" s="62">
        <f t="shared" si="17"/>
        <v>0</v>
      </c>
      <c r="AM105" s="62"/>
      <c r="AN105" s="62"/>
    </row>
    <row r="106" spans="1:40" x14ac:dyDescent="0.3">
      <c r="A106" s="461">
        <v>563</v>
      </c>
      <c r="B106" s="461" t="s">
        <v>647</v>
      </c>
      <c r="C106" s="461"/>
      <c r="D106" s="468">
        <f>'4a. OM less M&amp;S'!J106</f>
        <v>0</v>
      </c>
      <c r="E106" s="468"/>
      <c r="F106" s="630"/>
      <c r="G106" s="630"/>
      <c r="H106" s="630"/>
      <c r="I106" s="468"/>
      <c r="J106" s="468"/>
      <c r="K106" s="468"/>
      <c r="L106" s="468">
        <f>'4a. OM less M&amp;S'!K106</f>
        <v>4987.07</v>
      </c>
      <c r="M106" s="468">
        <f>'4a. OM less M&amp;S'!L106</f>
        <v>0</v>
      </c>
      <c r="N106" s="468"/>
      <c r="O106" s="468"/>
      <c r="P106" s="468"/>
      <c r="Q106" s="468"/>
      <c r="R106" s="468"/>
      <c r="S106" s="468"/>
      <c r="T106" s="468"/>
      <c r="U106" s="468"/>
      <c r="V106" s="468"/>
      <c r="W106" s="468"/>
      <c r="X106" s="468">
        <f>'4a. OM less M&amp;S'!M104</f>
        <v>0</v>
      </c>
      <c r="Y106" s="468"/>
      <c r="Z106" s="468"/>
      <c r="AA106" s="468">
        <f>'4a. OM less M&amp;S'!N104</f>
        <v>0</v>
      </c>
      <c r="AB106" s="468">
        <f>'4a. OM less M&amp;S'!O104</f>
        <v>0</v>
      </c>
      <c r="AC106" s="468"/>
      <c r="AD106" s="468"/>
      <c r="AE106" s="468"/>
      <c r="AF106" s="468">
        <f>'4a. OM less M&amp;S'!P104</f>
        <v>0</v>
      </c>
      <c r="AG106" s="468"/>
      <c r="AH106" s="468">
        <f>'4a. OM less M&amp;S'!Q104</f>
        <v>0</v>
      </c>
      <c r="AI106" s="62"/>
      <c r="AJ106" s="468">
        <f>'4a. OM less M&amp;S'!I106</f>
        <v>4987.07</v>
      </c>
      <c r="AK106" s="62">
        <f t="shared" si="16"/>
        <v>4987.07</v>
      </c>
      <c r="AL106" s="62">
        <f t="shared" si="17"/>
        <v>0</v>
      </c>
      <c r="AM106" s="62"/>
      <c r="AN106" s="62"/>
    </row>
    <row r="107" spans="1:40" x14ac:dyDescent="0.3">
      <c r="A107" s="461">
        <v>564</v>
      </c>
      <c r="B107" s="461" t="s">
        <v>649</v>
      </c>
      <c r="C107" s="461"/>
      <c r="D107" s="468">
        <f>'4a. OM less M&amp;S'!J107</f>
        <v>0</v>
      </c>
      <c r="E107" s="468"/>
      <c r="F107" s="630"/>
      <c r="G107" s="630"/>
      <c r="H107" s="630"/>
      <c r="I107" s="468"/>
      <c r="J107" s="468"/>
      <c r="K107" s="468"/>
      <c r="L107" s="468">
        <f>'4a. OM less M&amp;S'!K107</f>
        <v>0</v>
      </c>
      <c r="M107" s="468">
        <f>'4a. OM less M&amp;S'!L107</f>
        <v>0</v>
      </c>
      <c r="N107" s="468"/>
      <c r="O107" s="468"/>
      <c r="P107" s="468"/>
      <c r="Q107" s="468"/>
      <c r="R107" s="468"/>
      <c r="S107" s="468"/>
      <c r="T107" s="468"/>
      <c r="U107" s="468"/>
      <c r="V107" s="468"/>
      <c r="W107" s="468"/>
      <c r="X107" s="468">
        <f>'4a. OM less M&amp;S'!M105</f>
        <v>0</v>
      </c>
      <c r="Y107" s="468"/>
      <c r="Z107" s="468"/>
      <c r="AA107" s="468">
        <f>'4a. OM less M&amp;S'!N105</f>
        <v>0</v>
      </c>
      <c r="AB107" s="468">
        <f>'4a. OM less M&amp;S'!O105</f>
        <v>0</v>
      </c>
      <c r="AC107" s="468"/>
      <c r="AD107" s="468"/>
      <c r="AE107" s="468"/>
      <c r="AF107" s="468">
        <f>'4a. OM less M&amp;S'!P105</f>
        <v>0</v>
      </c>
      <c r="AG107" s="468"/>
      <c r="AH107" s="468">
        <f>'4a. OM less M&amp;S'!Q105</f>
        <v>0</v>
      </c>
      <c r="AI107" s="62"/>
      <c r="AJ107" s="468">
        <f>'4a. OM less M&amp;S'!I107</f>
        <v>0</v>
      </c>
      <c r="AK107" s="62">
        <f t="shared" si="16"/>
        <v>0</v>
      </c>
      <c r="AL107" s="62">
        <f t="shared" si="17"/>
        <v>0</v>
      </c>
      <c r="AM107" s="62"/>
      <c r="AN107" s="62"/>
    </row>
    <row r="108" spans="1:40" x14ac:dyDescent="0.3">
      <c r="A108" s="461">
        <v>565</v>
      </c>
      <c r="B108" s="466" t="s">
        <v>651</v>
      </c>
      <c r="C108" s="466"/>
      <c r="D108" s="468">
        <f>'4a. OM less M&amp;S'!J108</f>
        <v>0</v>
      </c>
      <c r="E108" s="468"/>
      <c r="F108" s="630"/>
      <c r="G108" s="630"/>
      <c r="H108" s="630"/>
      <c r="I108" s="468"/>
      <c r="J108" s="468"/>
      <c r="K108" s="468"/>
      <c r="L108" s="468">
        <f>'4a. OM less M&amp;S'!K108</f>
        <v>0</v>
      </c>
      <c r="M108" s="468">
        <f>'4a. OM less M&amp;S'!L108</f>
        <v>0</v>
      </c>
      <c r="N108" s="468"/>
      <c r="O108" s="468"/>
      <c r="P108" s="468"/>
      <c r="Q108" s="468"/>
      <c r="R108" s="468"/>
      <c r="S108" s="468"/>
      <c r="T108" s="468"/>
      <c r="U108" s="468"/>
      <c r="V108" s="468"/>
      <c r="W108" s="468"/>
      <c r="X108" s="468">
        <f>'4a. OM less M&amp;S'!M106</f>
        <v>0</v>
      </c>
      <c r="Y108" s="468"/>
      <c r="Z108" s="468"/>
      <c r="AA108" s="468">
        <f>'4a. OM less M&amp;S'!N106</f>
        <v>0</v>
      </c>
      <c r="AB108" s="468">
        <f>'4a. OM less M&amp;S'!O106</f>
        <v>0</v>
      </c>
      <c r="AC108" s="468"/>
      <c r="AD108" s="468"/>
      <c r="AE108" s="468"/>
      <c r="AF108" s="468">
        <f>'4a. OM less M&amp;S'!P106</f>
        <v>0</v>
      </c>
      <c r="AG108" s="468"/>
      <c r="AH108" s="468">
        <f>'4a. OM less M&amp;S'!Q106</f>
        <v>0</v>
      </c>
      <c r="AI108" s="62"/>
      <c r="AJ108" s="468">
        <f>'4a. OM less M&amp;S'!I108</f>
        <v>0</v>
      </c>
      <c r="AK108" s="62">
        <f t="shared" si="16"/>
        <v>0</v>
      </c>
      <c r="AL108" s="62">
        <f t="shared" si="17"/>
        <v>0</v>
      </c>
      <c r="AM108" s="62"/>
      <c r="AN108" s="62"/>
    </row>
    <row r="109" spans="1:40" x14ac:dyDescent="0.3">
      <c r="A109" s="461">
        <v>566</v>
      </c>
      <c r="B109" s="461" t="s">
        <v>653</v>
      </c>
      <c r="C109" s="461"/>
      <c r="D109" s="468">
        <f>'4a. OM less M&amp;S'!J109</f>
        <v>0</v>
      </c>
      <c r="E109" s="468"/>
      <c r="F109" s="630"/>
      <c r="G109" s="630"/>
      <c r="H109" s="630"/>
      <c r="I109" s="468"/>
      <c r="J109" s="468"/>
      <c r="K109" s="468"/>
      <c r="L109" s="468">
        <f>'4a. OM less M&amp;S'!K109</f>
        <v>4587065.99</v>
      </c>
      <c r="M109" s="468">
        <f>'4a. OM less M&amp;S'!L109</f>
        <v>0</v>
      </c>
      <c r="N109" s="468"/>
      <c r="O109" s="468"/>
      <c r="P109" s="468"/>
      <c r="Q109" s="468"/>
      <c r="R109" s="468"/>
      <c r="S109" s="468"/>
      <c r="T109" s="468"/>
      <c r="U109" s="468"/>
      <c r="V109" s="468"/>
      <c r="W109" s="468"/>
      <c r="X109" s="468">
        <f>'4a. OM less M&amp;S'!M107</f>
        <v>0</v>
      </c>
      <c r="Y109" s="468"/>
      <c r="Z109" s="468"/>
      <c r="AA109" s="468">
        <f>'4a. OM less M&amp;S'!N107</f>
        <v>0</v>
      </c>
      <c r="AB109" s="468">
        <f>'4a. OM less M&amp;S'!O107</f>
        <v>0</v>
      </c>
      <c r="AC109" s="468"/>
      <c r="AD109" s="468"/>
      <c r="AE109" s="468"/>
      <c r="AF109" s="468">
        <f>'4a. OM less M&amp;S'!P107</f>
        <v>0</v>
      </c>
      <c r="AG109" s="468"/>
      <c r="AH109" s="468">
        <f>'4a. OM less M&amp;S'!Q107</f>
        <v>0</v>
      </c>
      <c r="AI109" s="62"/>
      <c r="AJ109" s="468">
        <f>'4a. OM less M&amp;S'!I109</f>
        <v>4587065.99</v>
      </c>
      <c r="AK109" s="62">
        <f t="shared" si="16"/>
        <v>4587065.99</v>
      </c>
      <c r="AL109" s="62">
        <f t="shared" si="17"/>
        <v>0</v>
      </c>
      <c r="AM109" s="62"/>
      <c r="AN109" s="62"/>
    </row>
    <row r="110" spans="1:40" x14ac:dyDescent="0.3">
      <c r="A110" s="461">
        <v>567</v>
      </c>
      <c r="B110" s="461" t="s">
        <v>564</v>
      </c>
      <c r="C110" s="461"/>
      <c r="D110" s="468">
        <f>'4a. OM less M&amp;S'!J110</f>
        <v>0</v>
      </c>
      <c r="E110" s="468"/>
      <c r="F110" s="630"/>
      <c r="G110" s="630"/>
      <c r="H110" s="630"/>
      <c r="I110" s="468"/>
      <c r="J110" s="468"/>
      <c r="K110" s="468"/>
      <c r="L110" s="468">
        <f>'4a. OM less M&amp;S'!K110</f>
        <v>0</v>
      </c>
      <c r="M110" s="468">
        <f>'4a. OM less M&amp;S'!L110</f>
        <v>0</v>
      </c>
      <c r="N110" s="468"/>
      <c r="O110" s="468"/>
      <c r="P110" s="468"/>
      <c r="Q110" s="468"/>
      <c r="R110" s="468"/>
      <c r="S110" s="468"/>
      <c r="T110" s="468"/>
      <c r="U110" s="468"/>
      <c r="V110" s="468"/>
      <c r="W110" s="468"/>
      <c r="X110" s="468">
        <f>'4a. OM less M&amp;S'!M108</f>
        <v>0</v>
      </c>
      <c r="Y110" s="468"/>
      <c r="Z110" s="468"/>
      <c r="AA110" s="468">
        <f>'4a. OM less M&amp;S'!N108</f>
        <v>0</v>
      </c>
      <c r="AB110" s="468">
        <f>'4a. OM less M&amp;S'!O108</f>
        <v>0</v>
      </c>
      <c r="AC110" s="468"/>
      <c r="AD110" s="468"/>
      <c r="AE110" s="468"/>
      <c r="AF110" s="468">
        <f>'4a. OM less M&amp;S'!P108</f>
        <v>0</v>
      </c>
      <c r="AG110" s="468"/>
      <c r="AH110" s="468">
        <f>'4a. OM less M&amp;S'!Q108</f>
        <v>0</v>
      </c>
      <c r="AI110" s="62"/>
      <c r="AJ110" s="468">
        <f>'4a. OM less M&amp;S'!I110</f>
        <v>0</v>
      </c>
      <c r="AK110" s="62">
        <f t="shared" si="16"/>
        <v>0</v>
      </c>
      <c r="AL110" s="62">
        <f t="shared" si="17"/>
        <v>0</v>
      </c>
      <c r="AM110" s="62"/>
      <c r="AN110" s="62"/>
    </row>
    <row r="111" spans="1:40" x14ac:dyDescent="0.3">
      <c r="A111" s="461"/>
      <c r="B111" s="474" t="s">
        <v>524</v>
      </c>
      <c r="C111" s="474"/>
      <c r="D111" s="468">
        <f t="shared" ref="D111:AF111" si="18">SUM(D103:D110)</f>
        <v>0</v>
      </c>
      <c r="E111" s="468">
        <f t="shared" si="18"/>
        <v>0</v>
      </c>
      <c r="F111" s="630"/>
      <c r="G111" s="630"/>
      <c r="H111" s="630"/>
      <c r="I111" s="468">
        <f t="shared" si="18"/>
        <v>0</v>
      </c>
      <c r="J111" s="468">
        <f t="shared" si="18"/>
        <v>0</v>
      </c>
      <c r="K111" s="468">
        <f t="shared" si="18"/>
        <v>0</v>
      </c>
      <c r="L111" s="468">
        <f t="shared" si="18"/>
        <v>9911139.3200000003</v>
      </c>
      <c r="M111" s="468">
        <f t="shared" si="18"/>
        <v>0</v>
      </c>
      <c r="N111" s="468">
        <f t="shared" si="18"/>
        <v>0</v>
      </c>
      <c r="O111" s="468">
        <f t="shared" si="18"/>
        <v>0</v>
      </c>
      <c r="P111" s="468">
        <f t="shared" si="18"/>
        <v>0</v>
      </c>
      <c r="Q111" s="468">
        <f t="shared" si="18"/>
        <v>0</v>
      </c>
      <c r="R111" s="468">
        <f t="shared" si="18"/>
        <v>0</v>
      </c>
      <c r="S111" s="468">
        <f t="shared" si="18"/>
        <v>0</v>
      </c>
      <c r="T111" s="468">
        <f t="shared" si="18"/>
        <v>0</v>
      </c>
      <c r="U111" s="468">
        <f t="shared" si="18"/>
        <v>0</v>
      </c>
      <c r="V111" s="468">
        <f t="shared" si="18"/>
        <v>0</v>
      </c>
      <c r="W111" s="468">
        <f t="shared" si="18"/>
        <v>0</v>
      </c>
      <c r="X111" s="468">
        <f t="shared" si="18"/>
        <v>0</v>
      </c>
      <c r="Y111" s="468">
        <f t="shared" si="18"/>
        <v>0</v>
      </c>
      <c r="Z111" s="468">
        <f t="shared" si="18"/>
        <v>0</v>
      </c>
      <c r="AA111" s="468">
        <f t="shared" si="18"/>
        <v>0</v>
      </c>
      <c r="AB111" s="468">
        <f t="shared" si="18"/>
        <v>0</v>
      </c>
      <c r="AC111" s="468"/>
      <c r="AD111" s="468"/>
      <c r="AE111" s="468"/>
      <c r="AF111" s="468">
        <f t="shared" si="18"/>
        <v>0</v>
      </c>
      <c r="AG111" s="468"/>
      <c r="AH111" s="468">
        <f>SUM(AH103:AH110)</f>
        <v>0</v>
      </c>
      <c r="AI111" s="62"/>
      <c r="AJ111" s="468">
        <f>'4a. OM less M&amp;S'!I111</f>
        <v>9911139.3200000003</v>
      </c>
      <c r="AK111" s="62">
        <f t="shared" si="16"/>
        <v>9911139.3200000003</v>
      </c>
      <c r="AL111" s="62">
        <f t="shared" si="17"/>
        <v>0</v>
      </c>
      <c r="AM111" s="62"/>
      <c r="AN111" s="62"/>
    </row>
    <row r="112" spans="1:40" x14ac:dyDescent="0.3">
      <c r="A112" s="461"/>
      <c r="B112" s="461"/>
      <c r="C112" s="461"/>
      <c r="D112" s="468"/>
      <c r="E112" s="468"/>
      <c r="F112" s="630"/>
      <c r="G112" s="630"/>
      <c r="H112" s="630"/>
      <c r="I112" s="468"/>
      <c r="J112" s="468"/>
      <c r="K112" s="468"/>
      <c r="L112" s="468"/>
      <c r="M112" s="468"/>
      <c r="N112" s="468"/>
      <c r="O112" s="468"/>
      <c r="P112" s="468"/>
      <c r="Q112" s="468"/>
      <c r="R112" s="468"/>
      <c r="S112" s="468"/>
      <c r="T112" s="468"/>
      <c r="U112" s="468"/>
      <c r="V112" s="468"/>
      <c r="W112" s="468"/>
      <c r="X112" s="468"/>
      <c r="Y112" s="468"/>
      <c r="Z112" s="468"/>
      <c r="AA112" s="468"/>
      <c r="AB112" s="468"/>
      <c r="AC112" s="468"/>
      <c r="AD112" s="468"/>
      <c r="AE112" s="468"/>
      <c r="AF112" s="468"/>
      <c r="AG112" s="468"/>
      <c r="AH112" s="468"/>
      <c r="AI112" s="62"/>
      <c r="AJ112" s="62"/>
      <c r="AK112" s="62"/>
      <c r="AL112" s="62"/>
      <c r="AM112" s="62"/>
      <c r="AN112" s="62"/>
    </row>
    <row r="113" spans="1:40" x14ac:dyDescent="0.3">
      <c r="A113" s="461"/>
      <c r="B113" s="464" t="s">
        <v>565</v>
      </c>
      <c r="C113" s="464"/>
      <c r="D113" s="468"/>
      <c r="E113" s="468"/>
      <c r="F113" s="630"/>
      <c r="G113" s="630"/>
      <c r="H113" s="630"/>
      <c r="I113" s="468"/>
      <c r="J113" s="468"/>
      <c r="K113" s="468"/>
      <c r="L113" s="468"/>
      <c r="M113" s="468"/>
      <c r="N113" s="468"/>
      <c r="O113" s="468"/>
      <c r="P113" s="468"/>
      <c r="Q113" s="468"/>
      <c r="R113" s="468"/>
      <c r="S113" s="468"/>
      <c r="T113" s="468"/>
      <c r="U113" s="468"/>
      <c r="V113" s="468"/>
      <c r="W113" s="468"/>
      <c r="X113" s="468"/>
      <c r="Y113" s="468"/>
      <c r="Z113" s="468"/>
      <c r="AA113" s="468"/>
      <c r="AB113" s="468"/>
      <c r="AC113" s="468"/>
      <c r="AD113" s="468"/>
      <c r="AE113" s="468"/>
      <c r="AF113" s="468"/>
      <c r="AG113" s="468"/>
      <c r="AH113" s="468"/>
      <c r="AI113" s="62"/>
      <c r="AJ113" s="62"/>
      <c r="AK113" s="62"/>
      <c r="AL113" s="62"/>
      <c r="AM113" s="62"/>
      <c r="AN113" s="62"/>
    </row>
    <row r="114" spans="1:40" x14ac:dyDescent="0.3">
      <c r="A114" s="461">
        <v>568</v>
      </c>
      <c r="B114" s="461" t="s">
        <v>622</v>
      </c>
      <c r="C114" s="461"/>
      <c r="D114" s="468">
        <f>'4a. OM less M&amp;S'!J114</f>
        <v>0</v>
      </c>
      <c r="E114" s="468"/>
      <c r="F114" s="630"/>
      <c r="G114" s="630"/>
      <c r="H114" s="630"/>
      <c r="I114" s="468"/>
      <c r="J114" s="468"/>
      <c r="K114" s="468"/>
      <c r="L114" s="468">
        <f>'4a. OM less M&amp;S'!K114</f>
        <v>764573.79</v>
      </c>
      <c r="M114" s="468">
        <f>'4a. OM less M&amp;S'!L114</f>
        <v>0</v>
      </c>
      <c r="N114" s="468"/>
      <c r="O114" s="468"/>
      <c r="P114" s="468"/>
      <c r="Q114" s="468"/>
      <c r="R114" s="468"/>
      <c r="S114" s="468"/>
      <c r="T114" s="468"/>
      <c r="U114" s="468"/>
      <c r="V114" s="468"/>
      <c r="W114" s="468"/>
      <c r="X114" s="468">
        <f>'4a. OM less M&amp;S'!M114</f>
        <v>0</v>
      </c>
      <c r="Y114" s="468"/>
      <c r="Z114" s="468"/>
      <c r="AA114" s="468">
        <f>'4a. OM less M&amp;S'!N114</f>
        <v>0</v>
      </c>
      <c r="AB114" s="468">
        <f>'4a. OM less M&amp;S'!O114</f>
        <v>0</v>
      </c>
      <c r="AC114" s="468"/>
      <c r="AD114" s="468"/>
      <c r="AE114" s="468"/>
      <c r="AF114" s="468">
        <f>'4a. OM less M&amp;S'!P114</f>
        <v>0</v>
      </c>
      <c r="AG114" s="468"/>
      <c r="AH114" s="468">
        <f>'4a. OM less M&amp;S'!Q114</f>
        <v>0</v>
      </c>
      <c r="AI114" s="62"/>
      <c r="AJ114" s="468">
        <f>'4a. OM less M&amp;S'!I114</f>
        <v>764573.79</v>
      </c>
      <c r="AK114" s="62">
        <f t="shared" ref="AK114:AK120" si="19">SUM(F114:K114,L114,N114:W114,Y114:Z114,AA114:AA114,AC114:AE114,AG114:AH114)</f>
        <v>764573.79</v>
      </c>
      <c r="AL114" s="62">
        <f t="shared" ref="AL114:AL120" si="20">AJ114-AK114</f>
        <v>0</v>
      </c>
      <c r="AM114" s="62"/>
      <c r="AN114" s="62"/>
    </row>
    <row r="115" spans="1:40" x14ac:dyDescent="0.3">
      <c r="A115" s="461">
        <v>569</v>
      </c>
      <c r="B115" s="466" t="s">
        <v>569</v>
      </c>
      <c r="C115" s="466"/>
      <c r="D115" s="468">
        <f>'4a. OM less M&amp;S'!J115</f>
        <v>0</v>
      </c>
      <c r="E115" s="468"/>
      <c r="F115" s="630"/>
      <c r="G115" s="630"/>
      <c r="H115" s="630"/>
      <c r="I115" s="468"/>
      <c r="J115" s="468"/>
      <c r="K115" s="468"/>
      <c r="L115" s="468">
        <f>'4a. OM less M&amp;S'!K115</f>
        <v>0</v>
      </c>
      <c r="M115" s="468">
        <f>'4a. OM less M&amp;S'!L115</f>
        <v>0</v>
      </c>
      <c r="N115" s="468"/>
      <c r="O115" s="468"/>
      <c r="P115" s="468"/>
      <c r="Q115" s="468"/>
      <c r="R115" s="468"/>
      <c r="S115" s="468"/>
      <c r="T115" s="468"/>
      <c r="U115" s="468"/>
      <c r="V115" s="468"/>
      <c r="W115" s="468"/>
      <c r="X115" s="468">
        <f>'4a. OM less M&amp;S'!M115</f>
        <v>0</v>
      </c>
      <c r="Y115" s="468"/>
      <c r="Z115" s="468"/>
      <c r="AA115" s="468">
        <f>'4a. OM less M&amp;S'!N115</f>
        <v>0</v>
      </c>
      <c r="AB115" s="468">
        <f>'4a. OM less M&amp;S'!O115</f>
        <v>0</v>
      </c>
      <c r="AC115" s="468"/>
      <c r="AD115" s="468"/>
      <c r="AE115" s="468"/>
      <c r="AF115" s="468">
        <f>'4a. OM less M&amp;S'!P115</f>
        <v>0</v>
      </c>
      <c r="AG115" s="468"/>
      <c r="AH115" s="468">
        <f>'4a. OM less M&amp;S'!Q115</f>
        <v>0</v>
      </c>
      <c r="AI115" s="62"/>
      <c r="AJ115" s="468">
        <f>'4a. OM less M&amp;S'!I115</f>
        <v>0</v>
      </c>
      <c r="AK115" s="62">
        <f t="shared" si="19"/>
        <v>0</v>
      </c>
      <c r="AL115" s="62">
        <f t="shared" si="20"/>
        <v>0</v>
      </c>
      <c r="AM115" s="62"/>
      <c r="AN115" s="62"/>
    </row>
    <row r="116" spans="1:40" x14ac:dyDescent="0.3">
      <c r="A116" s="461">
        <v>570</v>
      </c>
      <c r="B116" s="461" t="s">
        <v>658</v>
      </c>
      <c r="C116" s="461"/>
      <c r="D116" s="468">
        <f>'4a. OM less M&amp;S'!J116</f>
        <v>0</v>
      </c>
      <c r="E116" s="468">
        <f>$D116*'3c. OM_AG-sfaf'!E116/'3c. OM_AG-sfaf'!$D116</f>
        <v>0</v>
      </c>
      <c r="F116" s="630"/>
      <c r="G116" s="630"/>
      <c r="H116" s="630"/>
      <c r="I116" s="468">
        <f>$D116*'3c. OM_AG-sfaf'!I116/'3c. OM_AG-sfaf'!$D116</f>
        <v>0</v>
      </c>
      <c r="J116" s="468">
        <f>$D116*'3c. OM_AG-sfaf'!J116/'3c. OM_AG-sfaf'!$D116</f>
        <v>0</v>
      </c>
      <c r="K116" s="468">
        <f>$D116*'3c. OM_AG-sfaf'!K116/'3c. OM_AG-sfaf'!$D116</f>
        <v>0</v>
      </c>
      <c r="L116" s="468">
        <f>'4a. OM less M&amp;S'!K116</f>
        <v>2580593.8199999998</v>
      </c>
      <c r="M116" s="468">
        <f>'4a. OM less M&amp;S'!L116</f>
        <v>0</v>
      </c>
      <c r="N116" s="468"/>
      <c r="O116" s="468"/>
      <c r="P116" s="468"/>
      <c r="Q116" s="468"/>
      <c r="R116" s="468"/>
      <c r="S116" s="468"/>
      <c r="T116" s="468"/>
      <c r="U116" s="468"/>
      <c r="V116" s="468"/>
      <c r="W116" s="468"/>
      <c r="X116" s="468">
        <f>'4a. OM less M&amp;S'!M116</f>
        <v>0</v>
      </c>
      <c r="Y116" s="468"/>
      <c r="Z116" s="468"/>
      <c r="AA116" s="468">
        <f>'4a. OM less M&amp;S'!N116</f>
        <v>0</v>
      </c>
      <c r="AB116" s="468">
        <f>'4a. OM less M&amp;S'!O116</f>
        <v>0</v>
      </c>
      <c r="AC116" s="468"/>
      <c r="AD116" s="468"/>
      <c r="AE116" s="468"/>
      <c r="AF116" s="468">
        <f>'4a. OM less M&amp;S'!P116</f>
        <v>0</v>
      </c>
      <c r="AG116" s="468"/>
      <c r="AH116" s="468">
        <f>'4a. OM less M&amp;S'!Q116</f>
        <v>0</v>
      </c>
      <c r="AI116" s="62"/>
      <c r="AJ116" s="468">
        <f>'4a. OM less M&amp;S'!I116</f>
        <v>2580593.8199999998</v>
      </c>
      <c r="AK116" s="62">
        <f t="shared" si="19"/>
        <v>2580593.8199999998</v>
      </c>
      <c r="AL116" s="62">
        <f t="shared" si="20"/>
        <v>0</v>
      </c>
      <c r="AM116" s="62"/>
      <c r="AN116" s="62"/>
    </row>
    <row r="117" spans="1:40" x14ac:dyDescent="0.3">
      <c r="A117" s="461">
        <v>571</v>
      </c>
      <c r="B117" s="461" t="s">
        <v>660</v>
      </c>
      <c r="C117" s="461"/>
      <c r="D117" s="468">
        <f>'4a. OM less M&amp;S'!J117</f>
        <v>0</v>
      </c>
      <c r="E117" s="468">
        <f>$D117*'3c. OM_AG-sfaf'!E117/'3c. OM_AG-sfaf'!$D117</f>
        <v>0</v>
      </c>
      <c r="F117" s="630"/>
      <c r="G117" s="630"/>
      <c r="H117" s="630"/>
      <c r="I117" s="468">
        <f>$D117*'3c. OM_AG-sfaf'!I117/'3c. OM_AG-sfaf'!$D117</f>
        <v>0</v>
      </c>
      <c r="J117" s="468">
        <f>$D117*'3c. OM_AG-sfaf'!J117/'3c. OM_AG-sfaf'!$D117</f>
        <v>0</v>
      </c>
      <c r="K117" s="468">
        <f>$D117*'3c. OM_AG-sfaf'!K117/'3c. OM_AG-sfaf'!$D117</f>
        <v>0</v>
      </c>
      <c r="L117" s="468">
        <f>'4a. OM less M&amp;S'!K117</f>
        <v>3378198.26</v>
      </c>
      <c r="M117" s="468">
        <f>'4a. OM less M&amp;S'!L117</f>
        <v>0</v>
      </c>
      <c r="N117" s="468"/>
      <c r="O117" s="468"/>
      <c r="P117" s="468"/>
      <c r="Q117" s="468"/>
      <c r="R117" s="468"/>
      <c r="S117" s="468"/>
      <c r="T117" s="468"/>
      <c r="U117" s="468"/>
      <c r="V117" s="468"/>
      <c r="W117" s="468"/>
      <c r="X117" s="468">
        <f>'4a. OM less M&amp;S'!M117</f>
        <v>0</v>
      </c>
      <c r="Y117" s="468"/>
      <c r="Z117" s="468"/>
      <c r="AA117" s="468">
        <f>'4a. OM less M&amp;S'!N117</f>
        <v>0</v>
      </c>
      <c r="AB117" s="468">
        <f>'4a. OM less M&amp;S'!O117</f>
        <v>0</v>
      </c>
      <c r="AC117" s="468"/>
      <c r="AD117" s="468"/>
      <c r="AE117" s="468"/>
      <c r="AF117" s="468">
        <f>'4a. OM less M&amp;S'!P117</f>
        <v>0</v>
      </c>
      <c r="AG117" s="468"/>
      <c r="AH117" s="468">
        <f>'4a. OM less M&amp;S'!Q117</f>
        <v>0</v>
      </c>
      <c r="AI117" s="62"/>
      <c r="AJ117" s="468">
        <f>'4a. OM less M&amp;S'!I117</f>
        <v>3378198.26</v>
      </c>
      <c r="AK117" s="62">
        <f t="shared" si="19"/>
        <v>3378198.26</v>
      </c>
      <c r="AL117" s="62">
        <f t="shared" si="20"/>
        <v>0</v>
      </c>
      <c r="AM117" s="62"/>
      <c r="AN117" s="62"/>
    </row>
    <row r="118" spans="1:40" x14ac:dyDescent="0.3">
      <c r="A118" s="461">
        <v>572</v>
      </c>
      <c r="B118" s="466" t="s">
        <v>662</v>
      </c>
      <c r="C118" s="466"/>
      <c r="D118" s="468">
        <f>'4a. OM less M&amp;S'!J118</f>
        <v>0</v>
      </c>
      <c r="E118" s="468">
        <f>$D118*'3c. OM_AG-sfaf'!E118/'3c. OM_AG-sfaf'!$D118</f>
        <v>0</v>
      </c>
      <c r="F118" s="630"/>
      <c r="G118" s="630"/>
      <c r="H118" s="630"/>
      <c r="I118" s="468">
        <f>$D118*'3c. OM_AG-sfaf'!I118/'3c. OM_AG-sfaf'!$D118</f>
        <v>0</v>
      </c>
      <c r="J118" s="468">
        <f>$D118*'3c. OM_AG-sfaf'!J118/'3c. OM_AG-sfaf'!$D118</f>
        <v>0</v>
      </c>
      <c r="K118" s="468">
        <f>$D118*'3c. OM_AG-sfaf'!K118/'3c. OM_AG-sfaf'!$D118</f>
        <v>0</v>
      </c>
      <c r="L118" s="468">
        <f>'4a. OM less M&amp;S'!K118</f>
        <v>49364.41</v>
      </c>
      <c r="M118" s="468">
        <f>'4a. OM less M&amp;S'!L118</f>
        <v>0</v>
      </c>
      <c r="N118" s="468"/>
      <c r="O118" s="468"/>
      <c r="P118" s="468"/>
      <c r="Q118" s="468"/>
      <c r="R118" s="468"/>
      <c r="S118" s="468"/>
      <c r="T118" s="468"/>
      <c r="U118" s="468"/>
      <c r="V118" s="468"/>
      <c r="W118" s="468"/>
      <c r="X118" s="468">
        <f>'4a. OM less M&amp;S'!M118</f>
        <v>0</v>
      </c>
      <c r="Y118" s="468"/>
      <c r="Z118" s="468"/>
      <c r="AA118" s="468">
        <f>'4a. OM less M&amp;S'!N118</f>
        <v>0</v>
      </c>
      <c r="AB118" s="468">
        <f>'4a. OM less M&amp;S'!O118</f>
        <v>0</v>
      </c>
      <c r="AC118" s="468"/>
      <c r="AD118" s="468"/>
      <c r="AE118" s="468"/>
      <c r="AF118" s="468">
        <f>'4a. OM less M&amp;S'!P118</f>
        <v>0</v>
      </c>
      <c r="AG118" s="468"/>
      <c r="AH118" s="468">
        <f>'4a. OM less M&amp;S'!Q118</f>
        <v>0</v>
      </c>
      <c r="AI118" s="62"/>
      <c r="AJ118" s="468">
        <f>'4a. OM less M&amp;S'!I118</f>
        <v>49364.41</v>
      </c>
      <c r="AK118" s="62">
        <f t="shared" si="19"/>
        <v>49364.41</v>
      </c>
      <c r="AL118" s="62">
        <f t="shared" si="20"/>
        <v>0</v>
      </c>
      <c r="AM118" s="62"/>
      <c r="AN118" s="62"/>
    </row>
    <row r="119" spans="1:40" x14ac:dyDescent="0.3">
      <c r="A119" s="461">
        <v>573</v>
      </c>
      <c r="B119" s="466" t="s">
        <v>664</v>
      </c>
      <c r="C119" s="466"/>
      <c r="D119" s="468">
        <f>'4a. OM less M&amp;S'!J119</f>
        <v>0</v>
      </c>
      <c r="E119" s="468"/>
      <c r="F119" s="630"/>
      <c r="G119" s="630"/>
      <c r="H119" s="630"/>
      <c r="I119" s="468"/>
      <c r="J119" s="468"/>
      <c r="K119" s="468"/>
      <c r="L119" s="468">
        <f>'4a. OM less M&amp;S'!K119</f>
        <v>2138304.7599999998</v>
      </c>
      <c r="M119" s="468">
        <f>'4a. OM less M&amp;S'!L119</f>
        <v>0</v>
      </c>
      <c r="N119" s="468"/>
      <c r="O119" s="468"/>
      <c r="P119" s="468"/>
      <c r="Q119" s="468"/>
      <c r="R119" s="468"/>
      <c r="S119" s="468"/>
      <c r="T119" s="468"/>
      <c r="U119" s="468"/>
      <c r="V119" s="468"/>
      <c r="W119" s="468"/>
      <c r="X119" s="468">
        <f>'4a. OM less M&amp;S'!M119</f>
        <v>0</v>
      </c>
      <c r="Y119" s="468"/>
      <c r="Z119" s="468"/>
      <c r="AA119" s="468">
        <f>'4a. OM less M&amp;S'!N119</f>
        <v>0</v>
      </c>
      <c r="AB119" s="468">
        <f>'4a. OM less M&amp;S'!O119</f>
        <v>0</v>
      </c>
      <c r="AC119" s="468"/>
      <c r="AD119" s="468"/>
      <c r="AE119" s="468"/>
      <c r="AF119" s="468">
        <f>'4a. OM less M&amp;S'!P119</f>
        <v>0</v>
      </c>
      <c r="AG119" s="468"/>
      <c r="AH119" s="468">
        <f>'4a. OM less M&amp;S'!Q119</f>
        <v>0</v>
      </c>
      <c r="AI119" s="62"/>
      <c r="AJ119" s="468">
        <f>'4a. OM less M&amp;S'!I119</f>
        <v>2138304.7599999998</v>
      </c>
      <c r="AK119" s="62">
        <f t="shared" si="19"/>
        <v>2138304.7599999998</v>
      </c>
      <c r="AL119" s="62">
        <f t="shared" si="20"/>
        <v>0</v>
      </c>
      <c r="AM119" s="62"/>
      <c r="AN119" s="62"/>
    </row>
    <row r="120" spans="1:40" x14ac:dyDescent="0.3">
      <c r="A120" s="461"/>
      <c r="B120" s="474" t="s">
        <v>524</v>
      </c>
      <c r="C120" s="474"/>
      <c r="D120" s="468">
        <f>SUM(D114:D119)</f>
        <v>0</v>
      </c>
      <c r="E120" s="468">
        <f t="shared" ref="E120:K120" si="21">SUM(E114:E119)</f>
        <v>0</v>
      </c>
      <c r="F120" s="630"/>
      <c r="G120" s="630"/>
      <c r="H120" s="630"/>
      <c r="I120" s="468">
        <f t="shared" si="21"/>
        <v>0</v>
      </c>
      <c r="J120" s="468">
        <f t="shared" si="21"/>
        <v>0</v>
      </c>
      <c r="K120" s="468">
        <f t="shared" si="21"/>
        <v>0</v>
      </c>
      <c r="L120" s="468">
        <f t="shared" ref="L120:AF120" si="22">SUM(L114:L119)</f>
        <v>8911035.0399999991</v>
      </c>
      <c r="M120" s="468">
        <f t="shared" si="22"/>
        <v>0</v>
      </c>
      <c r="N120" s="468">
        <f t="shared" si="22"/>
        <v>0</v>
      </c>
      <c r="O120" s="468">
        <f t="shared" si="22"/>
        <v>0</v>
      </c>
      <c r="P120" s="468">
        <f t="shared" si="22"/>
        <v>0</v>
      </c>
      <c r="Q120" s="468">
        <f t="shared" si="22"/>
        <v>0</v>
      </c>
      <c r="R120" s="468">
        <f t="shared" si="22"/>
        <v>0</v>
      </c>
      <c r="S120" s="468">
        <f t="shared" si="22"/>
        <v>0</v>
      </c>
      <c r="T120" s="468">
        <f t="shared" si="22"/>
        <v>0</v>
      </c>
      <c r="U120" s="468">
        <f t="shared" si="22"/>
        <v>0</v>
      </c>
      <c r="V120" s="468">
        <f t="shared" si="22"/>
        <v>0</v>
      </c>
      <c r="W120" s="468">
        <f t="shared" si="22"/>
        <v>0</v>
      </c>
      <c r="X120" s="468">
        <f t="shared" si="22"/>
        <v>0</v>
      </c>
      <c r="Y120" s="468">
        <f t="shared" si="22"/>
        <v>0</v>
      </c>
      <c r="Z120" s="468">
        <f t="shared" si="22"/>
        <v>0</v>
      </c>
      <c r="AA120" s="468">
        <f t="shared" si="22"/>
        <v>0</v>
      </c>
      <c r="AB120" s="468">
        <f t="shared" si="22"/>
        <v>0</v>
      </c>
      <c r="AC120" s="468"/>
      <c r="AD120" s="468"/>
      <c r="AE120" s="468"/>
      <c r="AF120" s="468">
        <f t="shared" si="22"/>
        <v>0</v>
      </c>
      <c r="AG120" s="468"/>
      <c r="AH120" s="468">
        <f>SUM(AH114:AH119)</f>
        <v>0</v>
      </c>
      <c r="AI120" s="62"/>
      <c r="AJ120" s="171">
        <f>SUM(AJ114:AJ119)</f>
        <v>8911035.0399999991</v>
      </c>
      <c r="AK120" s="62">
        <f t="shared" si="19"/>
        <v>8911035.0399999991</v>
      </c>
      <c r="AL120" s="62">
        <f t="shared" si="20"/>
        <v>0</v>
      </c>
      <c r="AM120" s="62"/>
      <c r="AN120" s="62"/>
    </row>
    <row r="121" spans="1:40" x14ac:dyDescent="0.3">
      <c r="A121" s="461"/>
      <c r="B121" s="461"/>
      <c r="C121" s="461"/>
      <c r="D121" s="468"/>
      <c r="E121" s="468"/>
      <c r="F121" s="630"/>
      <c r="G121" s="630"/>
      <c r="H121" s="630"/>
      <c r="I121" s="468"/>
      <c r="J121" s="468"/>
      <c r="K121" s="468"/>
      <c r="L121" s="468"/>
      <c r="M121" s="468"/>
      <c r="N121" s="468"/>
      <c r="O121" s="468"/>
      <c r="P121" s="468"/>
      <c r="Q121" s="468"/>
      <c r="R121" s="468"/>
      <c r="S121" s="468"/>
      <c r="T121" s="468"/>
      <c r="U121" s="468"/>
      <c r="V121" s="468"/>
      <c r="W121" s="468"/>
      <c r="X121" s="468"/>
      <c r="Y121" s="468"/>
      <c r="Z121" s="468"/>
      <c r="AA121" s="468"/>
      <c r="AB121" s="468"/>
      <c r="AC121" s="468"/>
      <c r="AD121" s="468"/>
      <c r="AE121" s="468"/>
      <c r="AF121" s="468"/>
      <c r="AG121" s="468"/>
      <c r="AH121" s="468"/>
      <c r="AI121" s="62"/>
      <c r="AJ121" s="62"/>
      <c r="AK121" s="62"/>
      <c r="AL121" s="62"/>
      <c r="AM121" s="62"/>
      <c r="AN121" s="62"/>
    </row>
    <row r="122" spans="1:40" x14ac:dyDescent="0.3">
      <c r="A122" s="461"/>
      <c r="B122" s="479" t="s">
        <v>541</v>
      </c>
      <c r="C122" s="479"/>
      <c r="D122" s="468">
        <f>D120+D111</f>
        <v>0</v>
      </c>
      <c r="E122" s="468">
        <f t="shared" ref="E122:K122" si="23">E120+E111</f>
        <v>0</v>
      </c>
      <c r="F122" s="630"/>
      <c r="G122" s="630"/>
      <c r="H122" s="630"/>
      <c r="I122" s="468">
        <f t="shared" si="23"/>
        <v>0</v>
      </c>
      <c r="J122" s="468">
        <f t="shared" si="23"/>
        <v>0</v>
      </c>
      <c r="K122" s="468">
        <f t="shared" si="23"/>
        <v>0</v>
      </c>
      <c r="L122" s="468">
        <f t="shared" ref="L122:X122" si="24">L120+L111</f>
        <v>18822174.359999999</v>
      </c>
      <c r="M122" s="468">
        <f t="shared" si="24"/>
        <v>0</v>
      </c>
      <c r="N122" s="468">
        <f t="shared" si="24"/>
        <v>0</v>
      </c>
      <c r="O122" s="468">
        <f t="shared" si="24"/>
        <v>0</v>
      </c>
      <c r="P122" s="468">
        <f t="shared" si="24"/>
        <v>0</v>
      </c>
      <c r="Q122" s="468">
        <f t="shared" si="24"/>
        <v>0</v>
      </c>
      <c r="R122" s="468">
        <f t="shared" si="24"/>
        <v>0</v>
      </c>
      <c r="S122" s="468">
        <f t="shared" si="24"/>
        <v>0</v>
      </c>
      <c r="T122" s="468">
        <f t="shared" si="24"/>
        <v>0</v>
      </c>
      <c r="U122" s="468">
        <f t="shared" si="24"/>
        <v>0</v>
      </c>
      <c r="V122" s="468">
        <f t="shared" si="24"/>
        <v>0</v>
      </c>
      <c r="W122" s="468">
        <f t="shared" si="24"/>
        <v>0</v>
      </c>
      <c r="X122" s="468">
        <f t="shared" si="24"/>
        <v>0</v>
      </c>
      <c r="Y122" s="468"/>
      <c r="Z122" s="468"/>
      <c r="AA122" s="468">
        <f>AA120+AA111</f>
        <v>0</v>
      </c>
      <c r="AB122" s="468">
        <f>AB120+AB111</f>
        <v>0</v>
      </c>
      <c r="AC122" s="468"/>
      <c r="AD122" s="468"/>
      <c r="AE122" s="468"/>
      <c r="AF122" s="468">
        <f>AF120+AF111</f>
        <v>0</v>
      </c>
      <c r="AG122" s="468"/>
      <c r="AH122" s="468">
        <f>AH120+AH111</f>
        <v>0</v>
      </c>
      <c r="AI122" s="62"/>
      <c r="AJ122" s="171">
        <f>AJ120+AJ111</f>
        <v>18822174.359999999</v>
      </c>
      <c r="AK122" s="62">
        <f t="shared" ref="AK122" si="25">SUM(F122:K122,L122,N122:W122,Y122:Z122,AA122:AA122,AC122:AE122,AG122:AH122)</f>
        <v>18822174.359999999</v>
      </c>
      <c r="AL122" s="62">
        <f>AJ122-AK122</f>
        <v>0</v>
      </c>
      <c r="AM122" s="62"/>
      <c r="AN122" s="62"/>
    </row>
    <row r="123" spans="1:40" x14ac:dyDescent="0.3">
      <c r="A123" s="461"/>
      <c r="B123" s="461"/>
      <c r="C123" s="461"/>
      <c r="D123" s="468"/>
      <c r="E123" s="468"/>
      <c r="F123" s="630"/>
      <c r="G123" s="630"/>
      <c r="H123" s="630"/>
      <c r="I123" s="468"/>
      <c r="J123" s="468"/>
      <c r="K123" s="468"/>
      <c r="L123" s="468"/>
      <c r="M123" s="468"/>
      <c r="N123" s="468"/>
      <c r="O123" s="468"/>
      <c r="P123" s="468"/>
      <c r="Q123" s="468"/>
      <c r="R123" s="468"/>
      <c r="S123" s="468"/>
      <c r="T123" s="468"/>
      <c r="U123" s="468"/>
      <c r="V123" s="468"/>
      <c r="W123" s="468"/>
      <c r="X123" s="468"/>
      <c r="Y123" s="468"/>
      <c r="Z123" s="468"/>
      <c r="AA123" s="468"/>
      <c r="AB123" s="468"/>
      <c r="AC123" s="468"/>
      <c r="AD123" s="468"/>
      <c r="AE123" s="468"/>
      <c r="AF123" s="468"/>
      <c r="AG123" s="468"/>
      <c r="AH123" s="468"/>
      <c r="AI123" s="62"/>
      <c r="AJ123" s="62"/>
      <c r="AK123" s="62"/>
      <c r="AL123" s="62"/>
      <c r="AM123" s="62"/>
      <c r="AN123" s="62"/>
    </row>
    <row r="124" spans="1:40" x14ac:dyDescent="0.3">
      <c r="A124" s="479" t="s">
        <v>367</v>
      </c>
      <c r="B124" s="461"/>
      <c r="C124" s="461"/>
      <c r="D124" s="468"/>
      <c r="E124" s="468"/>
      <c r="F124" s="630"/>
      <c r="G124" s="630"/>
      <c r="H124" s="630"/>
      <c r="I124" s="468"/>
      <c r="J124" s="468"/>
      <c r="K124" s="468"/>
      <c r="L124" s="468"/>
      <c r="M124" s="468"/>
      <c r="N124" s="468"/>
      <c r="O124" s="468"/>
      <c r="P124" s="468"/>
      <c r="Q124" s="468"/>
      <c r="R124" s="468"/>
      <c r="S124" s="468"/>
      <c r="T124" s="468"/>
      <c r="U124" s="468"/>
      <c r="V124" s="468"/>
      <c r="W124" s="468"/>
      <c r="X124" s="468"/>
      <c r="Y124" s="468"/>
      <c r="Z124" s="468"/>
      <c r="AA124" s="468"/>
      <c r="AB124" s="468"/>
      <c r="AC124" s="468"/>
      <c r="AD124" s="468"/>
      <c r="AE124" s="468"/>
      <c r="AF124" s="468"/>
      <c r="AG124" s="468"/>
      <c r="AH124" s="468"/>
      <c r="AI124" s="62"/>
      <c r="AJ124" s="62"/>
      <c r="AK124" s="62"/>
      <c r="AL124" s="62"/>
      <c r="AM124" s="62"/>
      <c r="AN124" s="62"/>
    </row>
    <row r="125" spans="1:40" x14ac:dyDescent="0.3">
      <c r="A125" s="461"/>
      <c r="B125" s="464" t="s">
        <v>549</v>
      </c>
      <c r="C125" s="464"/>
      <c r="D125" s="468"/>
      <c r="E125" s="468"/>
      <c r="F125" s="630"/>
      <c r="G125" s="630"/>
      <c r="H125" s="630"/>
      <c r="I125" s="468"/>
      <c r="J125" s="468"/>
      <c r="K125" s="468"/>
      <c r="L125" s="468"/>
      <c r="M125" s="468"/>
      <c r="N125" s="468"/>
      <c r="O125" s="468"/>
      <c r="P125" s="468"/>
      <c r="Q125" s="468"/>
      <c r="R125" s="468"/>
      <c r="S125" s="468"/>
      <c r="T125" s="468"/>
      <c r="U125" s="468"/>
      <c r="V125" s="468"/>
      <c r="W125" s="468"/>
      <c r="X125" s="468"/>
      <c r="Y125" s="468"/>
      <c r="Z125" s="468"/>
      <c r="AA125" s="468"/>
      <c r="AB125" s="468"/>
      <c r="AC125" s="468"/>
      <c r="AD125" s="468"/>
      <c r="AE125" s="468"/>
      <c r="AF125" s="468"/>
      <c r="AG125" s="468"/>
      <c r="AH125" s="468"/>
      <c r="AI125" s="62"/>
      <c r="AJ125" s="62"/>
      <c r="AK125" s="62"/>
      <c r="AL125" s="62"/>
      <c r="AM125" s="62"/>
      <c r="AN125" s="62"/>
    </row>
    <row r="126" spans="1:40" x14ac:dyDescent="0.3">
      <c r="A126" s="461">
        <v>580</v>
      </c>
      <c r="B126" s="461" t="s">
        <v>615</v>
      </c>
      <c r="C126" s="461"/>
      <c r="D126" s="468">
        <f>'4a. OM less M&amp;S'!J126</f>
        <v>0</v>
      </c>
      <c r="E126" s="468"/>
      <c r="F126" s="630"/>
      <c r="G126" s="630"/>
      <c r="H126" s="630"/>
      <c r="I126" s="468"/>
      <c r="J126" s="468"/>
      <c r="K126" s="468"/>
      <c r="L126" s="468">
        <f>'4a. OM less M&amp;S'!K126</f>
        <v>0</v>
      </c>
      <c r="M126" s="468">
        <f>'4a. OM less M&amp;S'!L126</f>
        <v>4494955.9429630432</v>
      </c>
      <c r="N126" s="468">
        <f>$M126*N$137/$M$137</f>
        <v>1716382.4148720005</v>
      </c>
      <c r="O126" s="468">
        <f t="shared" ref="O126:W126" si="26">$M126*O$137/$M$137</f>
        <v>1100512.1029242249</v>
      </c>
      <c r="P126" s="468">
        <f t="shared" si="26"/>
        <v>295785.68443297251</v>
      </c>
      <c r="Q126" s="468">
        <f t="shared" si="26"/>
        <v>0</v>
      </c>
      <c r="R126" s="468">
        <f t="shared" si="26"/>
        <v>640956.26000980241</v>
      </c>
      <c r="S126" s="468">
        <f t="shared" si="26"/>
        <v>161123.64347763933</v>
      </c>
      <c r="T126" s="468">
        <f t="shared" si="26"/>
        <v>0</v>
      </c>
      <c r="U126" s="468">
        <f t="shared" si="26"/>
        <v>0</v>
      </c>
      <c r="V126" s="468">
        <f t="shared" si="26"/>
        <v>387630.66392721224</v>
      </c>
      <c r="W126" s="468">
        <f t="shared" si="26"/>
        <v>192565.17331919124</v>
      </c>
      <c r="X126" s="468">
        <f>'4a. OM less M&amp;S'!M126</f>
        <v>1209914.0670369565</v>
      </c>
      <c r="Y126" s="468">
        <f>$X126*Y$137/$X$137</f>
        <v>1209914.0670369565</v>
      </c>
      <c r="Z126" s="468">
        <f>$X126*Z$137/$X$137</f>
        <v>0</v>
      </c>
      <c r="AA126" s="468">
        <f>'4a. OM less M&amp;S'!N126</f>
        <v>0</v>
      </c>
      <c r="AB126" s="468">
        <f>'4a. OM less M&amp;S'!O126</f>
        <v>0</v>
      </c>
      <c r="AC126" s="468"/>
      <c r="AD126" s="468"/>
      <c r="AE126" s="468"/>
      <c r="AF126" s="468">
        <f>'4a. OM less M&amp;S'!P126</f>
        <v>0</v>
      </c>
      <c r="AG126" s="468"/>
      <c r="AH126" s="468">
        <f>'4a. OM less M&amp;S'!Q126</f>
        <v>0</v>
      </c>
      <c r="AI126" s="62"/>
      <c r="AJ126" s="468">
        <f>'4a. OM less M&amp;S'!I126</f>
        <v>5704870.0099999998</v>
      </c>
      <c r="AK126" s="62">
        <f t="shared" ref="AK126:AK137" si="27">SUM(F126:K126,L126,N126:W126,Y126:Z126,AA126:AA126,AC126:AE126,AG126:AH126)</f>
        <v>5704870.0099999998</v>
      </c>
      <c r="AL126" s="62">
        <f t="shared" ref="AL126:AL136" si="28">AJ126-AK126</f>
        <v>0</v>
      </c>
      <c r="AM126" s="62"/>
      <c r="AN126" s="62"/>
    </row>
    <row r="127" spans="1:40" x14ac:dyDescent="0.3">
      <c r="A127" s="461">
        <v>581</v>
      </c>
      <c r="B127" s="466" t="s">
        <v>644</v>
      </c>
      <c r="C127" s="466"/>
      <c r="D127" s="468">
        <f>'4a. OM less M&amp;S'!J127</f>
        <v>0</v>
      </c>
      <c r="E127" s="468"/>
      <c r="F127" s="630"/>
      <c r="G127" s="630"/>
      <c r="H127" s="630"/>
      <c r="I127" s="468"/>
      <c r="J127" s="468"/>
      <c r="K127" s="468"/>
      <c r="L127" s="468">
        <f>'4a. OM less M&amp;S'!K127</f>
        <v>0</v>
      </c>
      <c r="M127" s="468">
        <f>'4a. OM less M&amp;S'!L127</f>
        <v>7167516.4400000004</v>
      </c>
      <c r="N127" s="468">
        <f>$M127*'3c. OM_AG-sfaf'!N127/'3c. OM_AG-sfaf'!$M127</f>
        <v>7167516.4400000004</v>
      </c>
      <c r="O127" s="468">
        <f>$M127*'3c. OM_AG-sfaf'!O127/'3c. OM_AG-sfaf'!$M127</f>
        <v>0</v>
      </c>
      <c r="P127" s="468">
        <f>$M127*'3c. OM_AG-sfaf'!P127/'3c. OM_AG-sfaf'!$M127</f>
        <v>0</v>
      </c>
      <c r="Q127" s="468">
        <f>$M127*'3c. OM_AG-sfaf'!Q127/'3c. OM_AG-sfaf'!$M127</f>
        <v>0</v>
      </c>
      <c r="R127" s="468">
        <f>$M127*'3c. OM_AG-sfaf'!R127/'3c. OM_AG-sfaf'!$M127</f>
        <v>0</v>
      </c>
      <c r="S127" s="468">
        <f>$M127*'3c. OM_AG-sfaf'!S127/'3c. OM_AG-sfaf'!$M127</f>
        <v>0</v>
      </c>
      <c r="T127" s="468">
        <f>$M127*'3c. OM_AG-sfaf'!T127/'3c. OM_AG-sfaf'!$M127</f>
        <v>0</v>
      </c>
      <c r="U127" s="468">
        <f>$M127*'3c. OM_AG-sfaf'!U127/'3c. OM_AG-sfaf'!$M127</f>
        <v>0</v>
      </c>
      <c r="V127" s="468">
        <f>$M127*'3c. OM_AG-sfaf'!V127/'3c. OM_AG-sfaf'!$M127</f>
        <v>0</v>
      </c>
      <c r="W127" s="468">
        <f>$M127*'3c. OM_AG-sfaf'!W127/'3c. OM_AG-sfaf'!$M127</f>
        <v>0</v>
      </c>
      <c r="X127" s="468">
        <f>'4a. OM less M&amp;S'!M127</f>
        <v>0</v>
      </c>
      <c r="Y127" s="468"/>
      <c r="Z127" s="468"/>
      <c r="AA127" s="468">
        <f>'4a. OM less M&amp;S'!N127</f>
        <v>0</v>
      </c>
      <c r="AB127" s="468">
        <f>'4a. OM less M&amp;S'!O127</f>
        <v>0</v>
      </c>
      <c r="AC127" s="468"/>
      <c r="AD127" s="468"/>
      <c r="AE127" s="468"/>
      <c r="AF127" s="468">
        <f>'4a. OM less M&amp;S'!P127</f>
        <v>0</v>
      </c>
      <c r="AG127" s="468"/>
      <c r="AH127" s="468">
        <f>'4a. OM less M&amp;S'!Q127</f>
        <v>0</v>
      </c>
      <c r="AI127" s="62"/>
      <c r="AJ127" s="468">
        <f>'4a. OM less M&amp;S'!I127</f>
        <v>7167516.4400000004</v>
      </c>
      <c r="AK127" s="62">
        <f t="shared" si="27"/>
        <v>7167516.4400000004</v>
      </c>
      <c r="AL127" s="62">
        <f t="shared" si="28"/>
        <v>0</v>
      </c>
      <c r="AM127" s="62"/>
      <c r="AN127" s="62"/>
    </row>
    <row r="128" spans="1:40" x14ac:dyDescent="0.3">
      <c r="A128" s="461">
        <v>582</v>
      </c>
      <c r="B128" s="461" t="s">
        <v>668</v>
      </c>
      <c r="C128" s="461"/>
      <c r="D128" s="468">
        <f>'4a. OM less M&amp;S'!J128</f>
        <v>0</v>
      </c>
      <c r="E128" s="468"/>
      <c r="F128" s="630"/>
      <c r="G128" s="630"/>
      <c r="H128" s="630"/>
      <c r="I128" s="468"/>
      <c r="J128" s="468"/>
      <c r="K128" s="468"/>
      <c r="L128" s="468">
        <f>'4a. OM less M&amp;S'!K128</f>
        <v>0</v>
      </c>
      <c r="M128" s="468">
        <f>'4a. OM less M&amp;S'!L128</f>
        <v>239123.15</v>
      </c>
      <c r="N128" s="468">
        <f>$M128*'3c. OM_AG-sfaf'!N128/'3c. OM_AG-sfaf'!$M128</f>
        <v>239123.15</v>
      </c>
      <c r="O128" s="468">
        <f>$M128*'3c. OM_AG-sfaf'!O128/'3c. OM_AG-sfaf'!$M128</f>
        <v>0</v>
      </c>
      <c r="P128" s="468">
        <f>$M128*'3c. OM_AG-sfaf'!P128/'3c. OM_AG-sfaf'!$M128</f>
        <v>0</v>
      </c>
      <c r="Q128" s="468">
        <f>$M128*'3c. OM_AG-sfaf'!Q128/'3c. OM_AG-sfaf'!$M128</f>
        <v>0</v>
      </c>
      <c r="R128" s="468">
        <f>$M128*'3c. OM_AG-sfaf'!R128/'3c. OM_AG-sfaf'!$M128</f>
        <v>0</v>
      </c>
      <c r="S128" s="468">
        <f>$M128*'3c. OM_AG-sfaf'!S128/'3c. OM_AG-sfaf'!$M128</f>
        <v>0</v>
      </c>
      <c r="T128" s="468">
        <f>$M128*'3c. OM_AG-sfaf'!T128/'3c. OM_AG-sfaf'!$M128</f>
        <v>0</v>
      </c>
      <c r="U128" s="468">
        <f>$M128*'3c. OM_AG-sfaf'!U128/'3c. OM_AG-sfaf'!$M128</f>
        <v>0</v>
      </c>
      <c r="V128" s="468">
        <f>$M128*'3c. OM_AG-sfaf'!V128/'3c. OM_AG-sfaf'!$M128</f>
        <v>0</v>
      </c>
      <c r="W128" s="468">
        <f>$M128*'3c. OM_AG-sfaf'!W128/'3c. OM_AG-sfaf'!$M128</f>
        <v>0</v>
      </c>
      <c r="X128" s="468">
        <f>'4a. OM less M&amp;S'!M128</f>
        <v>0</v>
      </c>
      <c r="Y128" s="468"/>
      <c r="Z128" s="468"/>
      <c r="AA128" s="468">
        <f>'4a. OM less M&amp;S'!N128</f>
        <v>0</v>
      </c>
      <c r="AB128" s="468">
        <f>'4a. OM less M&amp;S'!O128</f>
        <v>0</v>
      </c>
      <c r="AC128" s="468"/>
      <c r="AD128" s="468"/>
      <c r="AE128" s="468"/>
      <c r="AF128" s="468">
        <f>'4a. OM less M&amp;S'!P128</f>
        <v>0</v>
      </c>
      <c r="AG128" s="468"/>
      <c r="AH128" s="468">
        <f>'4a. OM less M&amp;S'!Q128</f>
        <v>0</v>
      </c>
      <c r="AI128" s="62"/>
      <c r="AJ128" s="468">
        <f>'4a. OM less M&amp;S'!I128</f>
        <v>239123.15</v>
      </c>
      <c r="AK128" s="62">
        <f t="shared" si="27"/>
        <v>239123.15</v>
      </c>
      <c r="AL128" s="62">
        <f t="shared" si="28"/>
        <v>0</v>
      </c>
      <c r="AM128" s="62"/>
      <c r="AN128" s="62"/>
    </row>
    <row r="129" spans="1:40" x14ac:dyDescent="0.3">
      <c r="A129" s="461">
        <v>583</v>
      </c>
      <c r="B129" s="461" t="s">
        <v>670</v>
      </c>
      <c r="C129" s="461"/>
      <c r="D129" s="468">
        <f>'4a. OM less M&amp;S'!J129</f>
        <v>0</v>
      </c>
      <c r="E129" s="468"/>
      <c r="F129" s="630"/>
      <c r="G129" s="630"/>
      <c r="H129" s="630"/>
      <c r="I129" s="468"/>
      <c r="J129" s="468"/>
      <c r="K129" s="468"/>
      <c r="L129" s="468">
        <f>'4a. OM less M&amp;S'!K129</f>
        <v>0</v>
      </c>
      <c r="M129" s="468">
        <f>'4a. OM less M&amp;S'!L129</f>
        <v>4856979.6500000004</v>
      </c>
      <c r="N129" s="468">
        <f>$M129*'3c. OM_AG-sfaf'!N129/'3c. OM_AG-sfaf'!$M129</f>
        <v>0</v>
      </c>
      <c r="O129" s="468">
        <f>$M129*'3c. OM_AG-sfaf'!O129/'3c. OM_AG-sfaf'!$M129</f>
        <v>1771079.7871590203</v>
      </c>
      <c r="P129" s="468">
        <f>$M129*'3c. OM_AG-sfaf'!P129/'3c. OM_AG-sfaf'!$M129</f>
        <v>515647.3565619078</v>
      </c>
      <c r="Q129" s="468">
        <f>$M129*'3c. OM_AG-sfaf'!Q129/'3c. OM_AG-sfaf'!$M129</f>
        <v>0</v>
      </c>
      <c r="R129" s="468">
        <f>$M129*'3c. OM_AG-sfaf'!R129/'3c. OM_AG-sfaf'!$M129</f>
        <v>1816538.1515912996</v>
      </c>
      <c r="S129" s="468">
        <f>$M129*'3c. OM_AG-sfaf'!S129/'3c. OM_AG-sfaf'!$M129</f>
        <v>520841.60082727071</v>
      </c>
      <c r="T129" s="468">
        <f>$M129*'3c. OM_AG-sfaf'!T129/'3c. OM_AG-sfaf'!$M129</f>
        <v>0</v>
      </c>
      <c r="U129" s="468">
        <f>$M129*'3c. OM_AG-sfaf'!U129/'3c. OM_AG-sfaf'!$M129</f>
        <v>0</v>
      </c>
      <c r="V129" s="468">
        <f>$M129*'3c. OM_AG-sfaf'!V129/'3c. OM_AG-sfaf'!$M129</f>
        <v>232872.75386050245</v>
      </c>
      <c r="W129" s="468">
        <f>$M129*'3c. OM_AG-sfaf'!W129/'3c. OM_AG-sfaf'!$M129</f>
        <v>0</v>
      </c>
      <c r="X129" s="468">
        <f>'4a. OM less M&amp;S'!M129</f>
        <v>0</v>
      </c>
      <c r="Y129" s="468"/>
      <c r="Z129" s="468"/>
      <c r="AA129" s="468">
        <f>'4a. OM less M&amp;S'!N129</f>
        <v>0</v>
      </c>
      <c r="AB129" s="468">
        <f>'4a. OM less M&amp;S'!O129</f>
        <v>0</v>
      </c>
      <c r="AC129" s="468"/>
      <c r="AD129" s="468"/>
      <c r="AE129" s="468"/>
      <c r="AF129" s="468">
        <f>'4a. OM less M&amp;S'!P129</f>
        <v>0</v>
      </c>
      <c r="AG129" s="468"/>
      <c r="AH129" s="468">
        <f>'4a. OM less M&amp;S'!Q129</f>
        <v>0</v>
      </c>
      <c r="AI129" s="62"/>
      <c r="AJ129" s="468">
        <f>'4a. OM less M&amp;S'!I129</f>
        <v>4856979.6500000004</v>
      </c>
      <c r="AK129" s="62">
        <f t="shared" si="27"/>
        <v>4856979.6500000013</v>
      </c>
      <c r="AL129" s="62">
        <f t="shared" si="28"/>
        <v>0</v>
      </c>
      <c r="AM129" s="62"/>
      <c r="AN129" s="62"/>
    </row>
    <row r="130" spans="1:40" x14ac:dyDescent="0.3">
      <c r="A130" s="461">
        <v>584</v>
      </c>
      <c r="B130" s="461" t="s">
        <v>649</v>
      </c>
      <c r="C130" s="461"/>
      <c r="D130" s="468">
        <f>'4a. OM less M&amp;S'!J130</f>
        <v>0</v>
      </c>
      <c r="E130" s="468"/>
      <c r="F130" s="630"/>
      <c r="G130" s="630"/>
      <c r="H130" s="630"/>
      <c r="I130" s="468"/>
      <c r="J130" s="468"/>
      <c r="K130" s="468"/>
      <c r="L130" s="468">
        <f>'4a. OM less M&amp;S'!K130</f>
        <v>0</v>
      </c>
      <c r="M130" s="468">
        <f>'4a. OM less M&amp;S'!L130</f>
        <v>4862468.53</v>
      </c>
      <c r="N130" s="468">
        <f>$M130*'3c. OM_AG-sfaf'!N130/'3c. OM_AG-sfaf'!$M130</f>
        <v>0</v>
      </c>
      <c r="O130" s="468">
        <f>$M130*'3c. OM_AG-sfaf'!O130/'3c. OM_AG-sfaf'!$M130</f>
        <v>2977918.1285534818</v>
      </c>
      <c r="P130" s="468">
        <f>$M130*'3c. OM_AG-sfaf'!P130/'3c. OM_AG-sfaf'!$M130</f>
        <v>760745.32929526991</v>
      </c>
      <c r="Q130" s="468">
        <f>$M130*'3c. OM_AG-sfaf'!Q130/'3c. OM_AG-sfaf'!$M130</f>
        <v>0</v>
      </c>
      <c r="R130" s="468">
        <f>$M130*'3c. OM_AG-sfaf'!R130/'3c. OM_AG-sfaf'!$M130</f>
        <v>949355.95785223646</v>
      </c>
      <c r="S130" s="468">
        <f>$M130*'3c. OM_AG-sfaf'!S130/'3c. OM_AG-sfaf'!$M130</f>
        <v>174449.11429901182</v>
      </c>
      <c r="T130" s="468">
        <f>$M130*'3c. OM_AG-sfaf'!T130/'3c. OM_AG-sfaf'!$M130</f>
        <v>0</v>
      </c>
      <c r="U130" s="468">
        <f>$M130*'3c. OM_AG-sfaf'!U130/'3c. OM_AG-sfaf'!$M130</f>
        <v>0</v>
      </c>
      <c r="V130" s="468">
        <f>$M130*'3c. OM_AG-sfaf'!V130/'3c. OM_AG-sfaf'!$M130</f>
        <v>0</v>
      </c>
      <c r="W130" s="468">
        <f>$M130*'3c. OM_AG-sfaf'!W130/'3c. OM_AG-sfaf'!$M130</f>
        <v>0</v>
      </c>
      <c r="X130" s="468">
        <f>'4a. OM less M&amp;S'!M130</f>
        <v>0</v>
      </c>
      <c r="Y130" s="468"/>
      <c r="Z130" s="468"/>
      <c r="AA130" s="468">
        <f>'4a. OM less M&amp;S'!N130</f>
        <v>0</v>
      </c>
      <c r="AB130" s="468">
        <f>'4a. OM less M&amp;S'!O130</f>
        <v>0</v>
      </c>
      <c r="AC130" s="468"/>
      <c r="AD130" s="468"/>
      <c r="AE130" s="468"/>
      <c r="AF130" s="468">
        <f>'4a. OM less M&amp;S'!P130</f>
        <v>0</v>
      </c>
      <c r="AG130" s="468"/>
      <c r="AH130" s="468">
        <f>'4a. OM less M&amp;S'!Q130</f>
        <v>0</v>
      </c>
      <c r="AI130" s="62"/>
      <c r="AJ130" s="468">
        <f>'4a. OM less M&amp;S'!I130</f>
        <v>4862468.53</v>
      </c>
      <c r="AK130" s="62">
        <f t="shared" si="27"/>
        <v>4862468.53</v>
      </c>
      <c r="AL130" s="62">
        <f t="shared" si="28"/>
        <v>0</v>
      </c>
      <c r="AM130" s="62"/>
      <c r="AN130" s="62"/>
    </row>
    <row r="131" spans="1:40" x14ac:dyDescent="0.3">
      <c r="A131" s="461">
        <v>585</v>
      </c>
      <c r="B131" s="461" t="s">
        <v>673</v>
      </c>
      <c r="C131" s="461"/>
      <c r="D131" s="468">
        <f>'4a. OM less M&amp;S'!J131</f>
        <v>0</v>
      </c>
      <c r="E131" s="468"/>
      <c r="F131" s="630"/>
      <c r="G131" s="630"/>
      <c r="H131" s="630"/>
      <c r="I131" s="468"/>
      <c r="J131" s="468"/>
      <c r="K131" s="468"/>
      <c r="L131" s="468">
        <f>'4a. OM less M&amp;S'!K131</f>
        <v>0</v>
      </c>
      <c r="M131" s="468">
        <f>'4a. OM less M&amp;S'!L131</f>
        <v>1439855.07</v>
      </c>
      <c r="N131" s="468">
        <f>$M131*'3c. OM_AG-sfaf'!N131/'3c. OM_AG-sfaf'!$M131</f>
        <v>0</v>
      </c>
      <c r="O131" s="468">
        <f>$M131*'3c. OM_AG-sfaf'!O131/'3c. OM_AG-sfaf'!$M131</f>
        <v>0</v>
      </c>
      <c r="P131" s="468">
        <f>$M131*'3c. OM_AG-sfaf'!P131/'3c. OM_AG-sfaf'!$M131</f>
        <v>0</v>
      </c>
      <c r="Q131" s="468">
        <f>$M131*'3c. OM_AG-sfaf'!Q131/'3c. OM_AG-sfaf'!$M131</f>
        <v>0</v>
      </c>
      <c r="R131" s="468">
        <f>$M131*'3c. OM_AG-sfaf'!R131/'3c. OM_AG-sfaf'!$M131</f>
        <v>0</v>
      </c>
      <c r="S131" s="468">
        <f>$M131*'3c. OM_AG-sfaf'!S131/'3c. OM_AG-sfaf'!$M131</f>
        <v>0</v>
      </c>
      <c r="T131" s="468">
        <f>$M131*'3c. OM_AG-sfaf'!T131/'3c. OM_AG-sfaf'!$M131</f>
        <v>0</v>
      </c>
      <c r="U131" s="468">
        <f>$M131*'3c. OM_AG-sfaf'!U131/'3c. OM_AG-sfaf'!$M131</f>
        <v>0</v>
      </c>
      <c r="V131" s="468">
        <f>$M131*'3c. OM_AG-sfaf'!V131/'3c. OM_AG-sfaf'!$M131</f>
        <v>1439855.07</v>
      </c>
      <c r="W131" s="468">
        <f>$M131*'3c. OM_AG-sfaf'!W131/'3c. OM_AG-sfaf'!$M131</f>
        <v>0</v>
      </c>
      <c r="X131" s="468">
        <f>'4a. OM less M&amp;S'!M131</f>
        <v>0</v>
      </c>
      <c r="Y131" s="468"/>
      <c r="Z131" s="468"/>
      <c r="AA131" s="468">
        <f>'4a. OM less M&amp;S'!N131</f>
        <v>0</v>
      </c>
      <c r="AB131" s="468">
        <f>'4a. OM less M&amp;S'!O131</f>
        <v>0</v>
      </c>
      <c r="AC131" s="468"/>
      <c r="AD131" s="468"/>
      <c r="AE131" s="468"/>
      <c r="AF131" s="468">
        <f>'4a. OM less M&amp;S'!P131</f>
        <v>0</v>
      </c>
      <c r="AG131" s="468"/>
      <c r="AH131" s="468">
        <f>'4a. OM less M&amp;S'!Q131</f>
        <v>0</v>
      </c>
      <c r="AI131" s="62"/>
      <c r="AJ131" s="468">
        <f>'4a. OM less M&amp;S'!I131</f>
        <v>1439855.07</v>
      </c>
      <c r="AK131" s="62">
        <f t="shared" si="27"/>
        <v>1439855.07</v>
      </c>
      <c r="AL131" s="62">
        <f t="shared" si="28"/>
        <v>0</v>
      </c>
      <c r="AM131" s="62"/>
      <c r="AN131" s="62"/>
    </row>
    <row r="132" spans="1:40" x14ac:dyDescent="0.3">
      <c r="A132" s="461">
        <v>586</v>
      </c>
      <c r="B132" s="461" t="s">
        <v>675</v>
      </c>
      <c r="C132" s="461"/>
      <c r="D132" s="468">
        <f>'4a. OM less M&amp;S'!J132</f>
        <v>0</v>
      </c>
      <c r="E132" s="468"/>
      <c r="F132" s="630"/>
      <c r="G132" s="630"/>
      <c r="H132" s="630"/>
      <c r="I132" s="468"/>
      <c r="J132" s="468"/>
      <c r="K132" s="468"/>
      <c r="L132" s="468">
        <f>'4a. OM less M&amp;S'!K132</f>
        <v>0</v>
      </c>
      <c r="M132" s="468">
        <f>'4a. OM less M&amp;S'!L132</f>
        <v>0</v>
      </c>
      <c r="N132" s="468"/>
      <c r="O132" s="468"/>
      <c r="P132" s="468"/>
      <c r="Q132" s="468"/>
      <c r="R132" s="468"/>
      <c r="S132" s="468"/>
      <c r="T132" s="468"/>
      <c r="U132" s="468"/>
      <c r="V132" s="468"/>
      <c r="W132" s="468"/>
      <c r="X132" s="468">
        <f>'4a. OM less M&amp;S'!M132</f>
        <v>5221096.04</v>
      </c>
      <c r="Y132" s="468">
        <f>$X132*'3c. OM_AG-sfaf'!Y132/'3c. OM_AG-sfaf'!$X132</f>
        <v>5221096.04</v>
      </c>
      <c r="Z132" s="468">
        <f>$X132*'3c. OM_AG-sfaf'!Z132/'3c. OM_AG-sfaf'!$X132</f>
        <v>0</v>
      </c>
      <c r="AA132" s="468">
        <f>'4a. OM less M&amp;S'!N132</f>
        <v>0</v>
      </c>
      <c r="AB132" s="468">
        <f>'4a. OM less M&amp;S'!O132</f>
        <v>0</v>
      </c>
      <c r="AC132" s="468"/>
      <c r="AD132" s="468"/>
      <c r="AE132" s="468"/>
      <c r="AF132" s="468">
        <f>'4a. OM less M&amp;S'!P132</f>
        <v>0</v>
      </c>
      <c r="AG132" s="468"/>
      <c r="AH132" s="468">
        <f>'4a. OM less M&amp;S'!Q132</f>
        <v>0</v>
      </c>
      <c r="AI132" s="62"/>
      <c r="AJ132" s="468">
        <f>'4a. OM less M&amp;S'!I132</f>
        <v>5221096.04</v>
      </c>
      <c r="AK132" s="62">
        <f t="shared" si="27"/>
        <v>5221096.04</v>
      </c>
      <c r="AL132" s="62">
        <f t="shared" si="28"/>
        <v>0</v>
      </c>
      <c r="AM132" s="62"/>
      <c r="AN132" s="62"/>
    </row>
    <row r="133" spans="1:40" x14ac:dyDescent="0.3">
      <c r="A133" s="461">
        <v>587</v>
      </c>
      <c r="B133" s="461" t="s">
        <v>677</v>
      </c>
      <c r="C133" s="461"/>
      <c r="D133" s="468">
        <f>'4a. OM less M&amp;S'!J133</f>
        <v>0</v>
      </c>
      <c r="E133" s="468"/>
      <c r="F133" s="630"/>
      <c r="G133" s="630"/>
      <c r="H133" s="630"/>
      <c r="I133" s="468"/>
      <c r="J133" s="468"/>
      <c r="K133" s="468"/>
      <c r="L133" s="468">
        <f>'4a. OM less M&amp;S'!K133</f>
        <v>0</v>
      </c>
      <c r="M133" s="468">
        <f>'4a. OM less M&amp;S'!L133</f>
        <v>830969.15</v>
      </c>
      <c r="N133" s="468">
        <f>$M133*'3c. OM_AG-sfaf'!N133/'3c. OM_AG-sfaf'!$M133</f>
        <v>0</v>
      </c>
      <c r="O133" s="468">
        <f>$M133*'3c. OM_AG-sfaf'!O133/'3c. OM_AG-sfaf'!$M133</f>
        <v>0</v>
      </c>
      <c r="P133" s="468">
        <f>$M133*'3c. OM_AG-sfaf'!P133/'3c. OM_AG-sfaf'!$M133</f>
        <v>0</v>
      </c>
      <c r="Q133" s="468">
        <f>$M133*'3c. OM_AG-sfaf'!Q133/'3c. OM_AG-sfaf'!$M133</f>
        <v>0</v>
      </c>
      <c r="R133" s="468">
        <f>$M133*'3c. OM_AG-sfaf'!R133/'3c. OM_AG-sfaf'!$M133</f>
        <v>0</v>
      </c>
      <c r="S133" s="468">
        <f>$M133*'3c. OM_AG-sfaf'!S133/'3c. OM_AG-sfaf'!$M133</f>
        <v>0</v>
      </c>
      <c r="T133" s="468">
        <f>$M133*'3c. OM_AG-sfaf'!T133/'3c. OM_AG-sfaf'!$M133</f>
        <v>0</v>
      </c>
      <c r="U133" s="468">
        <f>$M133*'3c. OM_AG-sfaf'!U133/'3c. OM_AG-sfaf'!$M133</f>
        <v>0</v>
      </c>
      <c r="V133" s="468">
        <f>$M133*'3c. OM_AG-sfaf'!V133/'3c. OM_AG-sfaf'!$M133</f>
        <v>0</v>
      </c>
      <c r="W133" s="468">
        <f>$M133*'3c. OM_AG-sfaf'!W133/'3c. OM_AG-sfaf'!$M133</f>
        <v>830969.15</v>
      </c>
      <c r="X133" s="468">
        <f>'4a. OM less M&amp;S'!M133</f>
        <v>0</v>
      </c>
      <c r="Y133" s="468"/>
      <c r="Z133" s="468"/>
      <c r="AA133" s="468">
        <f>'4a. OM less M&amp;S'!N133</f>
        <v>0</v>
      </c>
      <c r="AB133" s="468">
        <f>'4a. OM less M&amp;S'!O133</f>
        <v>0</v>
      </c>
      <c r="AC133" s="468"/>
      <c r="AD133" s="468"/>
      <c r="AE133" s="468"/>
      <c r="AF133" s="468">
        <f>'4a. OM less M&amp;S'!P133</f>
        <v>0</v>
      </c>
      <c r="AG133" s="468"/>
      <c r="AH133" s="468">
        <f>'4a. OM less M&amp;S'!Q133</f>
        <v>0</v>
      </c>
      <c r="AI133" s="62"/>
      <c r="AJ133" s="468">
        <f>'4a. OM less M&amp;S'!I133</f>
        <v>830969.15</v>
      </c>
      <c r="AK133" s="62">
        <f t="shared" si="27"/>
        <v>830969.15</v>
      </c>
      <c r="AL133" s="62">
        <f t="shared" si="28"/>
        <v>0</v>
      </c>
      <c r="AM133" s="62"/>
      <c r="AN133" s="62"/>
    </row>
    <row r="134" spans="1:40" x14ac:dyDescent="0.3">
      <c r="A134" s="461">
        <v>588</v>
      </c>
      <c r="B134" s="466" t="s">
        <v>679</v>
      </c>
      <c r="C134" s="466"/>
      <c r="D134" s="468">
        <f>'4a. OM less M&amp;S'!J134</f>
        <v>0</v>
      </c>
      <c r="E134" s="468"/>
      <c r="F134" s="630"/>
      <c r="G134" s="630"/>
      <c r="H134" s="630"/>
      <c r="I134" s="468"/>
      <c r="J134" s="468"/>
      <c r="K134" s="468"/>
      <c r="L134" s="468">
        <f>'4a. OM less M&amp;S'!K134</f>
        <v>0</v>
      </c>
      <c r="M134" s="468">
        <f>'4a. OM less M&amp;S'!L134</f>
        <v>9447658.0743608736</v>
      </c>
      <c r="N134" s="468">
        <f>$M134*N$137/$M$137</f>
        <v>3607553.5302949222</v>
      </c>
      <c r="O134" s="468">
        <f t="shared" ref="O134:W134" si="29">$M134*O$137/$M$137</f>
        <v>2313095.4312024065</v>
      </c>
      <c r="P134" s="468">
        <f t="shared" si="29"/>
        <v>621692.85867826047</v>
      </c>
      <c r="Q134" s="468">
        <f t="shared" si="29"/>
        <v>0</v>
      </c>
      <c r="R134" s="468">
        <f t="shared" si="29"/>
        <v>1347184.6358525134</v>
      </c>
      <c r="S134" s="468">
        <f t="shared" si="29"/>
        <v>338655.39742498816</v>
      </c>
      <c r="T134" s="468">
        <f t="shared" si="29"/>
        <v>0</v>
      </c>
      <c r="U134" s="468">
        <f t="shared" si="29"/>
        <v>0</v>
      </c>
      <c r="V134" s="468">
        <f t="shared" si="29"/>
        <v>814735.89917050337</v>
      </c>
      <c r="W134" s="468">
        <f t="shared" si="29"/>
        <v>404740.32173727936</v>
      </c>
      <c r="X134" s="468">
        <f>'4a. OM less M&amp;S'!M134</f>
        <v>2543040.3656391273</v>
      </c>
      <c r="Y134" s="468">
        <f>$X134*'3c. OM_AG-sfaf'!Y134/'3c. OM_AG-sfaf'!$X134</f>
        <v>2543040.3656391273</v>
      </c>
      <c r="Z134" s="468">
        <f>$X134*'3c. OM_AG-sfaf'!Z134/'3c. OM_AG-sfaf'!$X134</f>
        <v>0</v>
      </c>
      <c r="AA134" s="468">
        <f>'4a. OM less M&amp;S'!N134</f>
        <v>0</v>
      </c>
      <c r="AB134" s="468">
        <f>'4a. OM less M&amp;S'!O134</f>
        <v>0</v>
      </c>
      <c r="AC134" s="468"/>
      <c r="AD134" s="468"/>
      <c r="AE134" s="468"/>
      <c r="AF134" s="468">
        <f>'4a. OM less M&amp;S'!P134</f>
        <v>0</v>
      </c>
      <c r="AG134" s="468"/>
      <c r="AH134" s="468">
        <f>'4a. OM less M&amp;S'!Q134</f>
        <v>0</v>
      </c>
      <c r="AI134" s="62"/>
      <c r="AJ134" s="468">
        <f>'4a. OM less M&amp;S'!I134</f>
        <v>11990698.439999999</v>
      </c>
      <c r="AK134" s="62">
        <f t="shared" si="27"/>
        <v>11990698.440000003</v>
      </c>
      <c r="AL134" s="62">
        <f t="shared" si="28"/>
        <v>0</v>
      </c>
      <c r="AM134" s="62"/>
      <c r="AN134" s="62"/>
    </row>
    <row r="135" spans="1:40" x14ac:dyDescent="0.3">
      <c r="A135" s="461">
        <v>589</v>
      </c>
      <c r="B135" s="461" t="s">
        <v>564</v>
      </c>
      <c r="C135" s="461"/>
      <c r="D135" s="468">
        <f>'4a. OM less M&amp;S'!J135</f>
        <v>0</v>
      </c>
      <c r="E135" s="468"/>
      <c r="F135" s="630"/>
      <c r="G135" s="630"/>
      <c r="H135" s="630"/>
      <c r="I135" s="468"/>
      <c r="J135" s="468"/>
      <c r="K135" s="468"/>
      <c r="L135" s="468">
        <f>'4a. OM less M&amp;S'!K135</f>
        <v>0</v>
      </c>
      <c r="M135" s="468">
        <f>'4a. OM less M&amp;S'!L135</f>
        <v>0</v>
      </c>
      <c r="N135" s="468"/>
      <c r="O135" s="468"/>
      <c r="P135" s="468"/>
      <c r="Q135" s="468"/>
      <c r="R135" s="468"/>
      <c r="S135" s="468"/>
      <c r="T135" s="468"/>
      <c r="U135" s="468"/>
      <c r="V135" s="468"/>
      <c r="W135" s="468"/>
      <c r="X135" s="468">
        <f>'4a. OM less M&amp;S'!M135</f>
        <v>0</v>
      </c>
      <c r="Y135" s="468"/>
      <c r="Z135" s="468"/>
      <c r="AA135" s="468">
        <f>'4a. OM less M&amp;S'!N135</f>
        <v>0</v>
      </c>
      <c r="AB135" s="468">
        <f>'4a. OM less M&amp;S'!O135</f>
        <v>0</v>
      </c>
      <c r="AC135" s="468"/>
      <c r="AD135" s="468"/>
      <c r="AE135" s="468"/>
      <c r="AF135" s="468">
        <f>'4a. OM less M&amp;S'!P135</f>
        <v>0</v>
      </c>
      <c r="AG135" s="468"/>
      <c r="AH135" s="468">
        <f>'4a. OM less M&amp;S'!Q135</f>
        <v>0</v>
      </c>
      <c r="AI135" s="62"/>
      <c r="AJ135" s="468">
        <f>'4a. OM less M&amp;S'!I135</f>
        <v>0</v>
      </c>
      <c r="AK135" s="62">
        <f t="shared" si="27"/>
        <v>0</v>
      </c>
      <c r="AL135" s="62">
        <f t="shared" si="28"/>
        <v>0</v>
      </c>
      <c r="AM135" s="62"/>
      <c r="AN135" s="62"/>
    </row>
    <row r="136" spans="1:40" x14ac:dyDescent="0.3">
      <c r="A136" s="461"/>
      <c r="B136" s="474" t="s">
        <v>524</v>
      </c>
      <c r="C136" s="474"/>
      <c r="D136" s="468">
        <f t="shared" ref="D136:AF136" si="30">SUM(D126:D135)</f>
        <v>0</v>
      </c>
      <c r="E136" s="468">
        <f t="shared" si="30"/>
        <v>0</v>
      </c>
      <c r="F136" s="630"/>
      <c r="G136" s="630"/>
      <c r="H136" s="630"/>
      <c r="I136" s="468">
        <f t="shared" si="30"/>
        <v>0</v>
      </c>
      <c r="J136" s="468">
        <f t="shared" si="30"/>
        <v>0</v>
      </c>
      <c r="K136" s="468">
        <f t="shared" si="30"/>
        <v>0</v>
      </c>
      <c r="L136" s="468">
        <f t="shared" si="30"/>
        <v>0</v>
      </c>
      <c r="M136" s="468">
        <f t="shared" si="30"/>
        <v>33339526.007323917</v>
      </c>
      <c r="N136" s="468">
        <f t="shared" si="30"/>
        <v>12730575.535166923</v>
      </c>
      <c r="O136" s="468">
        <f t="shared" si="30"/>
        <v>8162605.4498391338</v>
      </c>
      <c r="P136" s="468">
        <f t="shared" si="30"/>
        <v>2193871.2289684108</v>
      </c>
      <c r="Q136" s="468">
        <f t="shared" si="30"/>
        <v>0</v>
      </c>
      <c r="R136" s="468">
        <f t="shared" si="30"/>
        <v>4754035.0053058518</v>
      </c>
      <c r="S136" s="468">
        <f t="shared" si="30"/>
        <v>1195069.7560289102</v>
      </c>
      <c r="T136" s="468">
        <f t="shared" si="30"/>
        <v>0</v>
      </c>
      <c r="U136" s="468">
        <f t="shared" si="30"/>
        <v>0</v>
      </c>
      <c r="V136" s="468">
        <f t="shared" si="30"/>
        <v>2875094.3869582182</v>
      </c>
      <c r="W136" s="468">
        <f t="shared" si="30"/>
        <v>1428274.6450564705</v>
      </c>
      <c r="X136" s="468">
        <f t="shared" si="30"/>
        <v>8974050.4726760834</v>
      </c>
      <c r="Y136" s="468">
        <f t="shared" si="30"/>
        <v>8974050.4726760834</v>
      </c>
      <c r="Z136" s="468">
        <f t="shared" si="30"/>
        <v>0</v>
      </c>
      <c r="AA136" s="468">
        <f t="shared" si="30"/>
        <v>0</v>
      </c>
      <c r="AB136" s="468">
        <f t="shared" si="30"/>
        <v>0</v>
      </c>
      <c r="AC136" s="468"/>
      <c r="AD136" s="468"/>
      <c r="AE136" s="468"/>
      <c r="AF136" s="468">
        <f t="shared" si="30"/>
        <v>0</v>
      </c>
      <c r="AG136" s="468"/>
      <c r="AH136" s="468">
        <f>SUM(AH126:AH135)</f>
        <v>0</v>
      </c>
      <c r="AI136" s="62"/>
      <c r="AJ136" s="468">
        <f>'4a. OM less M&amp;S'!I136</f>
        <v>42313576.479999997</v>
      </c>
      <c r="AK136" s="62">
        <f t="shared" si="27"/>
        <v>42313576.480000004</v>
      </c>
      <c r="AL136" s="62">
        <f t="shared" si="28"/>
        <v>0</v>
      </c>
      <c r="AM136" s="62"/>
      <c r="AN136" s="62"/>
    </row>
    <row r="137" spans="1:40" x14ac:dyDescent="0.3">
      <c r="A137" s="461" t="s">
        <v>1205</v>
      </c>
      <c r="B137" s="461" t="s">
        <v>828</v>
      </c>
      <c r="C137" s="461"/>
      <c r="D137" s="468">
        <f t="shared" ref="D137:AH137" si="31">SUM(D127:D133,D135)</f>
        <v>0</v>
      </c>
      <c r="E137" s="468">
        <f t="shared" si="31"/>
        <v>0</v>
      </c>
      <c r="F137" s="630"/>
      <c r="G137" s="630"/>
      <c r="H137" s="630"/>
      <c r="I137" s="468">
        <f t="shared" si="31"/>
        <v>0</v>
      </c>
      <c r="J137" s="468">
        <f t="shared" si="31"/>
        <v>0</v>
      </c>
      <c r="K137" s="468">
        <f>SUM(K127:K133,K135)</f>
        <v>0</v>
      </c>
      <c r="L137" s="468">
        <f t="shared" si="31"/>
        <v>0</v>
      </c>
      <c r="M137" s="468">
        <f t="shared" si="31"/>
        <v>19396911.990000002</v>
      </c>
      <c r="N137" s="468">
        <f t="shared" si="31"/>
        <v>7406639.5900000008</v>
      </c>
      <c r="O137" s="468">
        <f t="shared" si="31"/>
        <v>4748997.9157125019</v>
      </c>
      <c r="P137" s="468">
        <f t="shared" si="31"/>
        <v>1276392.6858571777</v>
      </c>
      <c r="Q137" s="468">
        <f t="shared" si="31"/>
        <v>0</v>
      </c>
      <c r="R137" s="468">
        <f t="shared" si="31"/>
        <v>2765894.109443536</v>
      </c>
      <c r="S137" s="468">
        <f t="shared" si="31"/>
        <v>695290.71512628254</v>
      </c>
      <c r="T137" s="468">
        <f t="shared" si="31"/>
        <v>0</v>
      </c>
      <c r="U137" s="468">
        <f t="shared" si="31"/>
        <v>0</v>
      </c>
      <c r="V137" s="468">
        <f t="shared" si="31"/>
        <v>1672727.8238605026</v>
      </c>
      <c r="W137" s="468">
        <f t="shared" si="31"/>
        <v>830969.15</v>
      </c>
      <c r="X137" s="468">
        <f t="shared" si="31"/>
        <v>5221096.04</v>
      </c>
      <c r="Y137" s="468">
        <f t="shared" si="31"/>
        <v>5221096.04</v>
      </c>
      <c r="Z137" s="468">
        <f t="shared" si="31"/>
        <v>0</v>
      </c>
      <c r="AA137" s="468">
        <f t="shared" si="31"/>
        <v>0</v>
      </c>
      <c r="AB137" s="468">
        <f t="shared" si="31"/>
        <v>0</v>
      </c>
      <c r="AC137" s="468"/>
      <c r="AD137" s="468"/>
      <c r="AE137" s="468"/>
      <c r="AF137" s="468">
        <f t="shared" si="31"/>
        <v>0</v>
      </c>
      <c r="AG137" s="468">
        <f t="shared" si="31"/>
        <v>0</v>
      </c>
      <c r="AH137" s="468">
        <f t="shared" si="31"/>
        <v>0</v>
      </c>
      <c r="AI137" s="62"/>
      <c r="AJ137" s="468">
        <f>'4a. OM less M&amp;S'!I137</f>
        <v>24618008.030000001</v>
      </c>
      <c r="AK137" s="62">
        <f t="shared" si="27"/>
        <v>24618008.029999997</v>
      </c>
      <c r="AL137" s="62">
        <f>AJ137-AK137</f>
        <v>0</v>
      </c>
      <c r="AM137" s="62"/>
      <c r="AN137" s="62"/>
    </row>
    <row r="138" spans="1:40" x14ac:dyDescent="0.3">
      <c r="A138" s="461"/>
      <c r="B138" s="464" t="s">
        <v>565</v>
      </c>
      <c r="C138" s="464"/>
      <c r="D138" s="468"/>
      <c r="E138" s="468"/>
      <c r="F138" s="630"/>
      <c r="G138" s="630"/>
      <c r="H138" s="630"/>
      <c r="I138" s="468"/>
      <c r="J138" s="468"/>
      <c r="K138" s="468"/>
      <c r="L138" s="468"/>
      <c r="M138" s="468"/>
      <c r="N138" s="468"/>
      <c r="O138" s="468"/>
      <c r="P138" s="468"/>
      <c r="Q138" s="468"/>
      <c r="R138" s="468"/>
      <c r="S138" s="468"/>
      <c r="T138" s="468"/>
      <c r="U138" s="468"/>
      <c r="V138" s="468"/>
      <c r="W138" s="468"/>
      <c r="X138" s="468"/>
      <c r="Y138" s="468"/>
      <c r="Z138" s="468"/>
      <c r="AA138" s="468"/>
      <c r="AB138" s="468"/>
      <c r="AC138" s="468"/>
      <c r="AD138" s="468"/>
      <c r="AE138" s="468"/>
      <c r="AF138" s="468"/>
      <c r="AG138" s="468"/>
      <c r="AH138" s="468"/>
      <c r="AI138" s="62"/>
      <c r="AJ138" s="62"/>
      <c r="AK138" s="62"/>
      <c r="AL138" s="62"/>
      <c r="AM138" s="62"/>
      <c r="AN138" s="62"/>
    </row>
    <row r="139" spans="1:40" x14ac:dyDescent="0.3">
      <c r="A139" s="461">
        <v>590</v>
      </c>
      <c r="B139" s="461" t="s">
        <v>682</v>
      </c>
      <c r="C139" s="461"/>
      <c r="D139" s="468">
        <f>'4a. OM less M&amp;S'!J139</f>
        <v>0</v>
      </c>
      <c r="E139" s="468"/>
      <c r="F139" s="630"/>
      <c r="G139" s="630"/>
      <c r="H139" s="630"/>
      <c r="I139" s="468"/>
      <c r="J139" s="468"/>
      <c r="K139" s="468"/>
      <c r="L139" s="468">
        <f>'4a. OM less M&amp;S'!K139</f>
        <v>0</v>
      </c>
      <c r="M139" s="468">
        <f>'4a. OM less M&amp;S'!L139</f>
        <v>1116040.5058299741</v>
      </c>
      <c r="N139" s="468">
        <f>$M139*N$149/$M$149</f>
        <v>119227.52005230459</v>
      </c>
      <c r="O139" s="468">
        <f t="shared" ref="O139:W139" si="32">$M139*O$149/$M$149</f>
        <v>407300.67837113846</v>
      </c>
      <c r="P139" s="468">
        <f t="shared" si="32"/>
        <v>113025.36310166521</v>
      </c>
      <c r="Q139" s="468">
        <f t="shared" si="32"/>
        <v>23844.932133000137</v>
      </c>
      <c r="R139" s="468">
        <f t="shared" si="32"/>
        <v>307630.66978139075</v>
      </c>
      <c r="S139" s="468">
        <f t="shared" si="32"/>
        <v>83090.538483667056</v>
      </c>
      <c r="T139" s="468">
        <f t="shared" si="32"/>
        <v>26066.040732733582</v>
      </c>
      <c r="U139" s="468">
        <f t="shared" si="32"/>
        <v>0</v>
      </c>
      <c r="V139" s="468">
        <f t="shared" si="32"/>
        <v>35854.763174074273</v>
      </c>
      <c r="W139" s="468">
        <f t="shared" si="32"/>
        <v>0</v>
      </c>
      <c r="X139" s="468">
        <f>'4a. OM less M&amp;S'!M139</f>
        <v>44606.414170025761</v>
      </c>
      <c r="Y139" s="468">
        <f>$X139*Y$149/$X$149</f>
        <v>44606.414170025761</v>
      </c>
      <c r="Z139" s="468">
        <f>$X139*Z$149/$X$149</f>
        <v>0</v>
      </c>
      <c r="AA139" s="468">
        <f>'4a. OM less M&amp;S'!N139</f>
        <v>0</v>
      </c>
      <c r="AB139" s="468">
        <f>'4a. OM less M&amp;S'!O139</f>
        <v>0</v>
      </c>
      <c r="AC139" s="468"/>
      <c r="AD139" s="468"/>
      <c r="AE139" s="468"/>
      <c r="AF139" s="468">
        <f>'4a. OM less M&amp;S'!P139</f>
        <v>0</v>
      </c>
      <c r="AG139" s="468"/>
      <c r="AH139" s="468">
        <f>'4a. OM less M&amp;S'!Q139</f>
        <v>0</v>
      </c>
      <c r="AI139" s="62"/>
      <c r="AJ139" s="468">
        <f>'4a. OM less M&amp;S'!I139</f>
        <v>1160646.92</v>
      </c>
      <c r="AK139" s="62">
        <f t="shared" ref="AK139:AK150" si="33">SUM(F139:K139,L139,N139:W139,Y139:Z139,AA139:AA139,AC139:AE139,AG139:AH139)</f>
        <v>1160646.9199999997</v>
      </c>
      <c r="AL139" s="62">
        <f t="shared" ref="AL139:AL148" si="34">AJ139-AK139</f>
        <v>0</v>
      </c>
      <c r="AM139" s="62"/>
      <c r="AN139" s="62"/>
    </row>
    <row r="140" spans="1:40" x14ac:dyDescent="0.3">
      <c r="A140" s="461">
        <v>591</v>
      </c>
      <c r="B140" s="466" t="s">
        <v>569</v>
      </c>
      <c r="C140" s="466"/>
      <c r="D140" s="468">
        <f>'4a. OM less M&amp;S'!J140</f>
        <v>0</v>
      </c>
      <c r="E140" s="468"/>
      <c r="F140" s="630"/>
      <c r="G140" s="630"/>
      <c r="H140" s="630"/>
      <c r="I140" s="468"/>
      <c r="J140" s="468"/>
      <c r="K140" s="468"/>
      <c r="L140" s="468">
        <f>'4a. OM less M&amp;S'!K140</f>
        <v>0</v>
      </c>
      <c r="M140" s="468">
        <f>'4a. OM less M&amp;S'!L140</f>
        <v>0</v>
      </c>
      <c r="N140" s="468"/>
      <c r="O140" s="468"/>
      <c r="P140" s="468"/>
      <c r="Q140" s="468"/>
      <c r="R140" s="468"/>
      <c r="S140" s="468"/>
      <c r="T140" s="468"/>
      <c r="U140" s="468"/>
      <c r="V140" s="468"/>
      <c r="W140" s="468"/>
      <c r="X140" s="468">
        <f>'4a. OM less M&amp;S'!M140</f>
        <v>0</v>
      </c>
      <c r="Y140" s="468"/>
      <c r="Z140" s="468"/>
      <c r="AA140" s="468">
        <f>'4a. OM less M&amp;S'!N140</f>
        <v>0</v>
      </c>
      <c r="AB140" s="468">
        <f>'4a. OM less M&amp;S'!O140</f>
        <v>0</v>
      </c>
      <c r="AC140" s="468"/>
      <c r="AD140" s="468"/>
      <c r="AE140" s="468"/>
      <c r="AF140" s="468">
        <f>'4a. OM less M&amp;S'!P140</f>
        <v>0</v>
      </c>
      <c r="AG140" s="468"/>
      <c r="AH140" s="468">
        <f>'4a. OM less M&amp;S'!Q140</f>
        <v>0</v>
      </c>
      <c r="AI140" s="62"/>
      <c r="AJ140" s="468">
        <f>'4a. OM less M&amp;S'!I140</f>
        <v>0</v>
      </c>
      <c r="AK140" s="62">
        <f t="shared" si="33"/>
        <v>0</v>
      </c>
      <c r="AL140" s="62">
        <f t="shared" si="34"/>
        <v>0</v>
      </c>
      <c r="AM140" s="62"/>
      <c r="AN140" s="62"/>
    </row>
    <row r="141" spans="1:40" x14ac:dyDescent="0.3">
      <c r="A141" s="461">
        <v>592</v>
      </c>
      <c r="B141" s="461" t="s">
        <v>658</v>
      </c>
      <c r="C141" s="461"/>
      <c r="D141" s="468">
        <f>'4a. OM less M&amp;S'!J141</f>
        <v>0</v>
      </c>
      <c r="E141" s="468"/>
      <c r="F141" s="630"/>
      <c r="G141" s="630"/>
      <c r="H141" s="630"/>
      <c r="I141" s="468"/>
      <c r="J141" s="468"/>
      <c r="K141" s="468"/>
      <c r="L141" s="468">
        <f>'4a. OM less M&amp;S'!K141</f>
        <v>0</v>
      </c>
      <c r="M141" s="468">
        <f>'4a. OM less M&amp;S'!L141</f>
        <v>5229748.68</v>
      </c>
      <c r="N141" s="468">
        <f>$M141*'3c. OM_AG-sfaf'!N141/'3c. OM_AG-sfaf'!$M141</f>
        <v>5229748.68</v>
      </c>
      <c r="O141" s="468">
        <f>$M141*'3c. OM_AG-sfaf'!O141/'3c. OM_AG-sfaf'!$M141</f>
        <v>0</v>
      </c>
      <c r="P141" s="468">
        <f>$M141*'3c. OM_AG-sfaf'!P141/'3c. OM_AG-sfaf'!$M141</f>
        <v>0</v>
      </c>
      <c r="Q141" s="468">
        <f>$M141*'3c. OM_AG-sfaf'!Q141/'3c. OM_AG-sfaf'!$M141</f>
        <v>0</v>
      </c>
      <c r="R141" s="468">
        <f>$M141*'3c. OM_AG-sfaf'!R141/'3c. OM_AG-sfaf'!$M141</f>
        <v>0</v>
      </c>
      <c r="S141" s="468">
        <f>$M141*'3c. OM_AG-sfaf'!S141/'3c. OM_AG-sfaf'!$M141</f>
        <v>0</v>
      </c>
      <c r="T141" s="468">
        <f>$M141*'3c. OM_AG-sfaf'!T141/'3c. OM_AG-sfaf'!$M141</f>
        <v>0</v>
      </c>
      <c r="U141" s="468">
        <f>$M141*'3c. OM_AG-sfaf'!U141/'3c. OM_AG-sfaf'!$M141</f>
        <v>0</v>
      </c>
      <c r="V141" s="468">
        <f>$M141*'3c. OM_AG-sfaf'!V141/'3c. OM_AG-sfaf'!$M141</f>
        <v>0</v>
      </c>
      <c r="W141" s="468">
        <f>$M141*'3c. OM_AG-sfaf'!W141/'3c. OM_AG-sfaf'!$M141</f>
        <v>0</v>
      </c>
      <c r="X141" s="468">
        <f>'4a. OM less M&amp;S'!M141</f>
        <v>0</v>
      </c>
      <c r="Y141" s="468"/>
      <c r="Z141" s="468"/>
      <c r="AA141" s="468">
        <f>'4a. OM less M&amp;S'!N141</f>
        <v>0</v>
      </c>
      <c r="AB141" s="468">
        <f>'4a. OM less M&amp;S'!O141</f>
        <v>0</v>
      </c>
      <c r="AC141" s="468"/>
      <c r="AD141" s="468"/>
      <c r="AE141" s="468"/>
      <c r="AF141" s="468">
        <f>'4a. OM less M&amp;S'!P141</f>
        <v>0</v>
      </c>
      <c r="AG141" s="468"/>
      <c r="AH141" s="468">
        <f>'4a. OM less M&amp;S'!Q141</f>
        <v>0</v>
      </c>
      <c r="AI141" s="62"/>
      <c r="AJ141" s="468">
        <f>'4a. OM less M&amp;S'!I141</f>
        <v>5229748.68</v>
      </c>
      <c r="AK141" s="62">
        <f t="shared" si="33"/>
        <v>5229748.68</v>
      </c>
      <c r="AL141" s="62">
        <f t="shared" si="34"/>
        <v>0</v>
      </c>
      <c r="AM141" s="62"/>
      <c r="AN141" s="62"/>
    </row>
    <row r="142" spans="1:40" x14ac:dyDescent="0.3">
      <c r="A142" s="461">
        <v>593</v>
      </c>
      <c r="B142" s="466" t="s">
        <v>660</v>
      </c>
      <c r="C142" s="466"/>
      <c r="D142" s="468">
        <f>'4a. OM less M&amp;S'!J142</f>
        <v>0</v>
      </c>
      <c r="E142" s="468"/>
      <c r="F142" s="630"/>
      <c r="G142" s="630"/>
      <c r="H142" s="630"/>
      <c r="I142" s="468"/>
      <c r="J142" s="468"/>
      <c r="K142" s="468"/>
      <c r="L142" s="468">
        <f>'4a. OM less M&amp;S'!K142</f>
        <v>0</v>
      </c>
      <c r="M142" s="468">
        <f>'4a. OM less M&amp;S'!L142</f>
        <v>30254225.850000001</v>
      </c>
      <c r="N142" s="468">
        <f>$M142*'3c. OM_AG-sfaf'!N142/'3c. OM_AG-sfaf'!$M142</f>
        <v>0</v>
      </c>
      <c r="O142" s="468">
        <f>$M142*'3c. OM_AG-sfaf'!O142/'3c. OM_AG-sfaf'!$M142</f>
        <v>11032092.316688815</v>
      </c>
      <c r="P142" s="468">
        <f>$M142*'3c. OM_AG-sfaf'!P142/'3c. OM_AG-sfaf'!$M142</f>
        <v>3211977.9592610472</v>
      </c>
      <c r="Q142" s="468">
        <f>$M142*'3c. OM_AG-sfaf'!Q142/'3c. OM_AG-sfaf'!$M142</f>
        <v>0</v>
      </c>
      <c r="R142" s="468">
        <f>$M142*'3c. OM_AG-sfaf'!R142/'3c. OM_AG-sfaf'!$M142</f>
        <v>11315253.401027676</v>
      </c>
      <c r="S142" s="468">
        <f>$M142*'3c. OM_AG-sfaf'!S142/'3c. OM_AG-sfaf'!$M142</f>
        <v>3244333.0133169889</v>
      </c>
      <c r="T142" s="468">
        <f>$M142*'3c. OM_AG-sfaf'!T142/'3c. OM_AG-sfaf'!$M142</f>
        <v>0</v>
      </c>
      <c r="U142" s="468">
        <f>$M142*'3c. OM_AG-sfaf'!U142/'3c. OM_AG-sfaf'!$M142</f>
        <v>0</v>
      </c>
      <c r="V142" s="468">
        <f>$M142*'3c. OM_AG-sfaf'!V142/'3c. OM_AG-sfaf'!$M142</f>
        <v>1450569.1597054766</v>
      </c>
      <c r="W142" s="468">
        <f>$M142*'3c. OM_AG-sfaf'!W142/'3c. OM_AG-sfaf'!$M142</f>
        <v>0</v>
      </c>
      <c r="X142" s="468">
        <f>'4a. OM less M&amp;S'!M142</f>
        <v>0</v>
      </c>
      <c r="Y142" s="468"/>
      <c r="Z142" s="468"/>
      <c r="AA142" s="468">
        <f>'4a. OM less M&amp;S'!N142</f>
        <v>0</v>
      </c>
      <c r="AB142" s="468">
        <f>'4a. OM less M&amp;S'!O142</f>
        <v>0</v>
      </c>
      <c r="AC142" s="468"/>
      <c r="AD142" s="468"/>
      <c r="AE142" s="468"/>
      <c r="AF142" s="468">
        <f>'4a. OM less M&amp;S'!P142</f>
        <v>0</v>
      </c>
      <c r="AG142" s="468"/>
      <c r="AH142" s="468">
        <f>'4a. OM less M&amp;S'!Q142</f>
        <v>0</v>
      </c>
      <c r="AI142" s="62"/>
      <c r="AJ142" s="468">
        <f>'4a. OM less M&amp;S'!I142</f>
        <v>30254225.850000001</v>
      </c>
      <c r="AK142" s="62">
        <f t="shared" si="33"/>
        <v>30254225.850000001</v>
      </c>
      <c r="AL142" s="62">
        <f t="shared" si="34"/>
        <v>0</v>
      </c>
      <c r="AM142" s="62"/>
      <c r="AN142" s="62"/>
    </row>
    <row r="143" spans="1:40" x14ac:dyDescent="0.3">
      <c r="A143" s="461">
        <v>594</v>
      </c>
      <c r="B143" s="461" t="s">
        <v>662</v>
      </c>
      <c r="C143" s="461"/>
      <c r="D143" s="468">
        <f>'4a. OM less M&amp;S'!J143</f>
        <v>0</v>
      </c>
      <c r="E143" s="468"/>
      <c r="F143" s="630"/>
      <c r="G143" s="630"/>
      <c r="H143" s="630"/>
      <c r="I143" s="468"/>
      <c r="J143" s="468"/>
      <c r="K143" s="468"/>
      <c r="L143" s="468">
        <f>'4a. OM less M&amp;S'!K143</f>
        <v>0</v>
      </c>
      <c r="M143" s="468">
        <f>'4a. OM less M&amp;S'!L143</f>
        <v>11158158.75</v>
      </c>
      <c r="N143" s="468">
        <f>$M143*'3c. OM_AG-sfaf'!N143/'3c. OM_AG-sfaf'!$M143</f>
        <v>0</v>
      </c>
      <c r="O143" s="468">
        <f>$M143*'3c. OM_AG-sfaf'!O143/'3c. OM_AG-sfaf'!$M143</f>
        <v>6833583.1929595349</v>
      </c>
      <c r="P143" s="468">
        <f>$M143*'3c. OM_AG-sfaf'!P143/'3c. OM_AG-sfaf'!$M143</f>
        <v>1745721.7666759163</v>
      </c>
      <c r="Q143" s="468">
        <f>$M143*'3c. OM_AG-sfaf'!Q143/'3c. OM_AG-sfaf'!$M143</f>
        <v>0</v>
      </c>
      <c r="R143" s="468">
        <f>$M143*'3c. OM_AG-sfaf'!R143/'3c. OM_AG-sfaf'!$M143</f>
        <v>2178536.3591800076</v>
      </c>
      <c r="S143" s="468">
        <f>$M143*'3c. OM_AG-sfaf'!S143/'3c. OM_AG-sfaf'!$M143</f>
        <v>400317.43118454044</v>
      </c>
      <c r="T143" s="468">
        <f>$M143*'3c. OM_AG-sfaf'!T143/'3c. OM_AG-sfaf'!$M143</f>
        <v>0</v>
      </c>
      <c r="U143" s="468">
        <f>$M143*'3c. OM_AG-sfaf'!U143/'3c. OM_AG-sfaf'!$M143</f>
        <v>0</v>
      </c>
      <c r="V143" s="468">
        <f>$M143*'3c. OM_AG-sfaf'!V143/'3c. OM_AG-sfaf'!$M143</f>
        <v>0</v>
      </c>
      <c r="W143" s="468">
        <f>$M143*'3c. OM_AG-sfaf'!W143/'3c. OM_AG-sfaf'!$M143</f>
        <v>0</v>
      </c>
      <c r="X143" s="468">
        <f>'4a. OM less M&amp;S'!M143</f>
        <v>0</v>
      </c>
      <c r="Y143" s="468"/>
      <c r="Z143" s="468"/>
      <c r="AA143" s="468">
        <f>'4a. OM less M&amp;S'!N143</f>
        <v>0</v>
      </c>
      <c r="AB143" s="468">
        <f>'4a. OM less M&amp;S'!O143</f>
        <v>0</v>
      </c>
      <c r="AC143" s="468"/>
      <c r="AD143" s="468"/>
      <c r="AE143" s="468"/>
      <c r="AF143" s="468">
        <f>'4a. OM less M&amp;S'!P143</f>
        <v>0</v>
      </c>
      <c r="AG143" s="468"/>
      <c r="AH143" s="468">
        <f>'4a. OM less M&amp;S'!Q143</f>
        <v>0</v>
      </c>
      <c r="AI143" s="62"/>
      <c r="AJ143" s="468">
        <f>'4a. OM less M&amp;S'!I143</f>
        <v>11158158.75</v>
      </c>
      <c r="AK143" s="62">
        <f t="shared" si="33"/>
        <v>11158158.749999998</v>
      </c>
      <c r="AL143" s="62">
        <f t="shared" si="34"/>
        <v>0</v>
      </c>
      <c r="AM143" s="62"/>
      <c r="AN143" s="62"/>
    </row>
    <row r="144" spans="1:40" x14ac:dyDescent="0.3">
      <c r="A144" s="461">
        <v>595</v>
      </c>
      <c r="B144" s="461" t="s">
        <v>688</v>
      </c>
      <c r="C144" s="461"/>
      <c r="D144" s="468">
        <f>'4a. OM less M&amp;S'!J144</f>
        <v>0</v>
      </c>
      <c r="E144" s="468"/>
      <c r="F144" s="630"/>
      <c r="G144" s="630"/>
      <c r="H144" s="630"/>
      <c r="I144" s="468"/>
      <c r="J144" s="468"/>
      <c r="K144" s="468"/>
      <c r="L144" s="468">
        <f>'4a. OM less M&amp;S'!K144</f>
        <v>0</v>
      </c>
      <c r="M144" s="468">
        <f>'4a. OM less M&amp;S'!L144</f>
        <v>2189275.13</v>
      </c>
      <c r="N144" s="468">
        <f>$M144*'3c. OM_AG-sfaf'!N144/'3c. OM_AG-sfaf'!$M144</f>
        <v>0</v>
      </c>
      <c r="O144" s="468">
        <f>$M144*'3c. OM_AG-sfaf'!O144/'3c. OM_AG-sfaf'!$M144</f>
        <v>0</v>
      </c>
      <c r="P144" s="468">
        <f>$M144*'3c. OM_AG-sfaf'!P144/'3c. OM_AG-sfaf'!$M144</f>
        <v>0</v>
      </c>
      <c r="Q144" s="468">
        <f>$M144*'3c. OM_AG-sfaf'!Q144/'3c. OM_AG-sfaf'!$M144</f>
        <v>1045924.6513937418</v>
      </c>
      <c r="R144" s="468">
        <f>$M144*'3c. OM_AG-sfaf'!R144/'3c. OM_AG-sfaf'!$M144</f>
        <v>0</v>
      </c>
      <c r="S144" s="468">
        <f>$M144*'3c. OM_AG-sfaf'!S144/'3c. OM_AG-sfaf'!$M144</f>
        <v>0</v>
      </c>
      <c r="T144" s="468">
        <f>$M144*'3c. OM_AG-sfaf'!T144/'3c. OM_AG-sfaf'!$M144</f>
        <v>1143350.4786062581</v>
      </c>
      <c r="U144" s="468">
        <f>$M144*'3c. OM_AG-sfaf'!U144/'3c. OM_AG-sfaf'!$M144</f>
        <v>0</v>
      </c>
      <c r="V144" s="468">
        <f>$M144*'3c. OM_AG-sfaf'!V144/'3c. OM_AG-sfaf'!$M144</f>
        <v>0</v>
      </c>
      <c r="W144" s="468">
        <f>$M144*'3c. OM_AG-sfaf'!W144/'3c. OM_AG-sfaf'!$M144</f>
        <v>0</v>
      </c>
      <c r="X144" s="468">
        <f>'4a. OM less M&amp;S'!M144</f>
        <v>0</v>
      </c>
      <c r="Y144" s="468"/>
      <c r="Z144" s="468"/>
      <c r="AA144" s="468">
        <f>'4a. OM less M&amp;S'!N144</f>
        <v>0</v>
      </c>
      <c r="AB144" s="468">
        <f>'4a. OM less M&amp;S'!O144</f>
        <v>0</v>
      </c>
      <c r="AC144" s="468"/>
      <c r="AD144" s="468"/>
      <c r="AE144" s="468"/>
      <c r="AF144" s="468">
        <f>'4a. OM less M&amp;S'!P144</f>
        <v>0</v>
      </c>
      <c r="AG144" s="468"/>
      <c r="AH144" s="468">
        <f>'4a. OM less M&amp;S'!Q144</f>
        <v>0</v>
      </c>
      <c r="AI144" s="62"/>
      <c r="AJ144" s="468">
        <f>'4a. OM less M&amp;S'!I144</f>
        <v>2189275.13</v>
      </c>
      <c r="AK144" s="62">
        <f t="shared" si="33"/>
        <v>2189275.13</v>
      </c>
      <c r="AL144" s="62">
        <f t="shared" si="34"/>
        <v>0</v>
      </c>
      <c r="AM144" s="62"/>
      <c r="AN144" s="62"/>
    </row>
    <row r="145" spans="1:40" x14ac:dyDescent="0.3">
      <c r="A145" s="461">
        <v>596</v>
      </c>
      <c r="B145" s="461" t="s">
        <v>690</v>
      </c>
      <c r="C145" s="461"/>
      <c r="D145" s="468">
        <f>'4a. OM less M&amp;S'!J145</f>
        <v>0</v>
      </c>
      <c r="E145" s="468"/>
      <c r="F145" s="630"/>
      <c r="G145" s="630"/>
      <c r="H145" s="630"/>
      <c r="I145" s="468"/>
      <c r="J145" s="468"/>
      <c r="K145" s="468"/>
      <c r="L145" s="468">
        <f>'4a. OM less M&amp;S'!K145</f>
        <v>0</v>
      </c>
      <c r="M145" s="468">
        <f>'4a. OM less M&amp;S'!L145</f>
        <v>122149.96</v>
      </c>
      <c r="N145" s="468">
        <f>$M145*'3c. OM_AG-sfaf'!N145/'3c. OM_AG-sfaf'!$M145</f>
        <v>0</v>
      </c>
      <c r="O145" s="468">
        <f>$M145*'3c. OM_AG-sfaf'!O145/'3c. OM_AG-sfaf'!$M145</f>
        <v>0</v>
      </c>
      <c r="P145" s="468">
        <f>$M145*'3c. OM_AG-sfaf'!P145/'3c. OM_AG-sfaf'!$M145</f>
        <v>0</v>
      </c>
      <c r="Q145" s="468">
        <f>$M145*'3c. OM_AG-sfaf'!Q145/'3c. OM_AG-sfaf'!$M145</f>
        <v>0</v>
      </c>
      <c r="R145" s="468">
        <f>$M145*'3c. OM_AG-sfaf'!R145/'3c. OM_AG-sfaf'!$M145</f>
        <v>0</v>
      </c>
      <c r="S145" s="468">
        <f>$M145*'3c. OM_AG-sfaf'!S145/'3c. OM_AG-sfaf'!$M145</f>
        <v>0</v>
      </c>
      <c r="T145" s="468">
        <f>$M145*'3c. OM_AG-sfaf'!T145/'3c. OM_AG-sfaf'!$M145</f>
        <v>0</v>
      </c>
      <c r="U145" s="468">
        <f>$M145*'3c. OM_AG-sfaf'!U145/'3c. OM_AG-sfaf'!$M145</f>
        <v>0</v>
      </c>
      <c r="V145" s="468">
        <f>$M145*'3c. OM_AG-sfaf'!V145/'3c. OM_AG-sfaf'!$M145</f>
        <v>122149.96</v>
      </c>
      <c r="W145" s="468">
        <f>$M145*'3c. OM_AG-sfaf'!W145/'3c. OM_AG-sfaf'!$M145</f>
        <v>0</v>
      </c>
      <c r="X145" s="468">
        <f>'4a. OM less M&amp;S'!M145</f>
        <v>0</v>
      </c>
      <c r="Y145" s="468"/>
      <c r="Z145" s="468"/>
      <c r="AA145" s="468">
        <f>'4a. OM less M&amp;S'!N145</f>
        <v>0</v>
      </c>
      <c r="AB145" s="468">
        <f>'4a. OM less M&amp;S'!O145</f>
        <v>0</v>
      </c>
      <c r="AC145" s="468"/>
      <c r="AD145" s="468"/>
      <c r="AE145" s="468"/>
      <c r="AF145" s="468">
        <f>'4a. OM less M&amp;S'!P145</f>
        <v>0</v>
      </c>
      <c r="AG145" s="468"/>
      <c r="AH145" s="468">
        <f>'4a. OM less M&amp;S'!Q145</f>
        <v>0</v>
      </c>
      <c r="AI145" s="62"/>
      <c r="AJ145" s="468">
        <f>'4a. OM less M&amp;S'!I145</f>
        <v>122149.96</v>
      </c>
      <c r="AK145" s="62">
        <f t="shared" si="33"/>
        <v>122149.96</v>
      </c>
      <c r="AL145" s="62">
        <f t="shared" si="34"/>
        <v>0</v>
      </c>
      <c r="AM145" s="62"/>
      <c r="AN145" s="62"/>
    </row>
    <row r="146" spans="1:40" x14ac:dyDescent="0.3">
      <c r="A146" s="461">
        <v>597</v>
      </c>
      <c r="B146" s="461" t="s">
        <v>692</v>
      </c>
      <c r="C146" s="461"/>
      <c r="D146" s="468">
        <f>'4a. OM less M&amp;S'!J146</f>
        <v>0</v>
      </c>
      <c r="E146" s="468"/>
      <c r="F146" s="630"/>
      <c r="G146" s="630"/>
      <c r="H146" s="630"/>
      <c r="I146" s="468"/>
      <c r="J146" s="468"/>
      <c r="K146" s="468"/>
      <c r="L146" s="468">
        <f>'4a. OM less M&amp;S'!K146</f>
        <v>0</v>
      </c>
      <c r="M146" s="468">
        <f>'4a. OM less M&amp;S'!L146</f>
        <v>0</v>
      </c>
      <c r="N146" s="468">
        <f>$M146*'3c. OM_AG-sfaf'!N146/'3c. OM_AG-sfaf'!$M146</f>
        <v>0</v>
      </c>
      <c r="O146" s="468">
        <f>$M146*'3c. OM_AG-sfaf'!O146/'3c. OM_AG-sfaf'!$M146</f>
        <v>0</v>
      </c>
      <c r="P146" s="468">
        <f>$M146*'3c. OM_AG-sfaf'!P146/'3c. OM_AG-sfaf'!$M146</f>
        <v>0</v>
      </c>
      <c r="Q146" s="468">
        <f>$M146*'3c. OM_AG-sfaf'!Q146/'3c. OM_AG-sfaf'!$M146</f>
        <v>0</v>
      </c>
      <c r="R146" s="468">
        <f>$M146*'3c. OM_AG-sfaf'!R146/'3c. OM_AG-sfaf'!$M146</f>
        <v>0</v>
      </c>
      <c r="S146" s="468">
        <f>$M146*'3c. OM_AG-sfaf'!S146/'3c. OM_AG-sfaf'!$M146</f>
        <v>0</v>
      </c>
      <c r="T146" s="468">
        <f>$M146*'3c. OM_AG-sfaf'!T146/'3c. OM_AG-sfaf'!$M146</f>
        <v>0</v>
      </c>
      <c r="U146" s="468">
        <f>$M146*'3c. OM_AG-sfaf'!U146/'3c. OM_AG-sfaf'!$M146</f>
        <v>0</v>
      </c>
      <c r="V146" s="468">
        <f>$M146*'3c. OM_AG-sfaf'!V146/'3c. OM_AG-sfaf'!$M146</f>
        <v>0</v>
      </c>
      <c r="W146" s="468">
        <f>$M146*'3c. OM_AG-sfaf'!W146/'3c. OM_AG-sfaf'!$M146</f>
        <v>0</v>
      </c>
      <c r="X146" s="468">
        <f>'4a. OM less M&amp;S'!M146</f>
        <v>1956598.07</v>
      </c>
      <c r="Y146" s="468">
        <f>$X146*'3c. OM_AG-sfaf'!Y146/'3c. OM_AG-sfaf'!$X146</f>
        <v>1956598.07</v>
      </c>
      <c r="Z146" s="468">
        <f>$X146*'3c. OM_AG-sfaf'!Z146/'3c. OM_AG-sfaf'!$X146</f>
        <v>0</v>
      </c>
      <c r="AA146" s="468">
        <f>'4a. OM less M&amp;S'!N146</f>
        <v>0</v>
      </c>
      <c r="AB146" s="468">
        <f>'4a. OM less M&amp;S'!O146</f>
        <v>0</v>
      </c>
      <c r="AC146" s="468"/>
      <c r="AD146" s="468"/>
      <c r="AE146" s="468"/>
      <c r="AF146" s="468">
        <f>'4a. OM less M&amp;S'!P146</f>
        <v>0</v>
      </c>
      <c r="AG146" s="468"/>
      <c r="AH146" s="468">
        <f>'4a. OM less M&amp;S'!Q146</f>
        <v>0</v>
      </c>
      <c r="AI146" s="62"/>
      <c r="AJ146" s="468">
        <f>'4a. OM less M&amp;S'!I146</f>
        <v>1956598.07</v>
      </c>
      <c r="AK146" s="62">
        <f t="shared" si="33"/>
        <v>1956598.07</v>
      </c>
      <c r="AL146" s="62">
        <f t="shared" si="34"/>
        <v>0</v>
      </c>
      <c r="AM146" s="62"/>
      <c r="AN146" s="62"/>
    </row>
    <row r="147" spans="1:40" x14ac:dyDescent="0.3">
      <c r="A147" s="461">
        <v>598</v>
      </c>
      <c r="B147" s="461" t="s">
        <v>694</v>
      </c>
      <c r="C147" s="461"/>
      <c r="D147" s="468">
        <f>'4a. OM less M&amp;S'!J147</f>
        <v>0</v>
      </c>
      <c r="E147" s="468"/>
      <c r="F147" s="630"/>
      <c r="G147" s="630"/>
      <c r="H147" s="630"/>
      <c r="I147" s="468"/>
      <c r="J147" s="468"/>
      <c r="K147" s="468"/>
      <c r="L147" s="468">
        <f>'4a. OM less M&amp;S'!K147</f>
        <v>0</v>
      </c>
      <c r="M147" s="468">
        <f>'4a. OM less M&amp;S'!L147</f>
        <v>132.96557160223097</v>
      </c>
      <c r="N147" s="468">
        <f>$M147*N$149/$M$149</f>
        <v>14.204820767398134</v>
      </c>
      <c r="O147" s="468">
        <f t="shared" ref="O147:W147" si="35">$M147*O$149/$M$149</f>
        <v>48.525987390860458</v>
      </c>
      <c r="P147" s="468">
        <f t="shared" si="35"/>
        <v>13.465892977769904</v>
      </c>
      <c r="Q147" s="468">
        <f t="shared" si="35"/>
        <v>2.8408960197398008</v>
      </c>
      <c r="R147" s="468">
        <f t="shared" si="35"/>
        <v>36.651257401665887</v>
      </c>
      <c r="S147" s="468">
        <f t="shared" si="35"/>
        <v>9.8994444077114174</v>
      </c>
      <c r="T147" s="468">
        <f t="shared" si="35"/>
        <v>3.1055199048151532</v>
      </c>
      <c r="U147" s="468">
        <f t="shared" si="35"/>
        <v>0</v>
      </c>
      <c r="V147" s="468">
        <f t="shared" si="35"/>
        <v>4.2717527322701994</v>
      </c>
      <c r="W147" s="468">
        <f t="shared" si="35"/>
        <v>0</v>
      </c>
      <c r="X147" s="468">
        <f>'4a. OM less M&amp;S'!M147</f>
        <v>5.3144283977690323</v>
      </c>
      <c r="Y147" s="468">
        <f>$X147*Y$149/$X$149</f>
        <v>5.3144283977690323</v>
      </c>
      <c r="Z147" s="468">
        <f>$X147*Z$149/$X$149</f>
        <v>0</v>
      </c>
      <c r="AA147" s="468">
        <f>'4a. OM less M&amp;S'!N147</f>
        <v>0</v>
      </c>
      <c r="AB147" s="468">
        <f>'4a. OM less M&amp;S'!O147</f>
        <v>0</v>
      </c>
      <c r="AC147" s="468"/>
      <c r="AD147" s="468"/>
      <c r="AE147" s="468"/>
      <c r="AF147" s="468">
        <f>'4a. OM less M&amp;S'!P147</f>
        <v>0</v>
      </c>
      <c r="AG147" s="468"/>
      <c r="AH147" s="468">
        <f>'4a. OM less M&amp;S'!Q147</f>
        <v>0</v>
      </c>
      <c r="AI147" s="62"/>
      <c r="AJ147" s="468">
        <f>'4a. OM less M&amp;S'!I147</f>
        <v>138.28</v>
      </c>
      <c r="AK147" s="62">
        <f t="shared" si="33"/>
        <v>138.27999999999997</v>
      </c>
      <c r="AL147" s="62">
        <f t="shared" si="34"/>
        <v>0</v>
      </c>
      <c r="AM147" s="62"/>
      <c r="AN147" s="62"/>
    </row>
    <row r="148" spans="1:40" x14ac:dyDescent="0.3">
      <c r="A148" s="461"/>
      <c r="B148" s="474" t="s">
        <v>524</v>
      </c>
      <c r="C148" s="474"/>
      <c r="D148" s="468">
        <f t="shared" ref="D148:AF148" si="36">SUM(D139:D147)</f>
        <v>0</v>
      </c>
      <c r="E148" s="468">
        <f t="shared" si="36"/>
        <v>0</v>
      </c>
      <c r="F148" s="630"/>
      <c r="G148" s="630"/>
      <c r="H148" s="630"/>
      <c r="I148" s="468">
        <f t="shared" si="36"/>
        <v>0</v>
      </c>
      <c r="J148" s="468">
        <f t="shared" si="36"/>
        <v>0</v>
      </c>
      <c r="K148" s="468">
        <f t="shared" si="36"/>
        <v>0</v>
      </c>
      <c r="L148" s="468">
        <f t="shared" si="36"/>
        <v>0</v>
      </c>
      <c r="M148" s="468">
        <f t="shared" si="36"/>
        <v>50069731.841401584</v>
      </c>
      <c r="N148" s="468">
        <f t="shared" si="36"/>
        <v>5348990.4048730712</v>
      </c>
      <c r="O148" s="468">
        <f t="shared" si="36"/>
        <v>18273024.714006878</v>
      </c>
      <c r="P148" s="468">
        <f t="shared" si="36"/>
        <v>5070738.5549316071</v>
      </c>
      <c r="Q148" s="468">
        <f t="shared" si="36"/>
        <v>1069772.4244227617</v>
      </c>
      <c r="R148" s="468">
        <f t="shared" si="36"/>
        <v>13801457.081246475</v>
      </c>
      <c r="S148" s="468">
        <f t="shared" si="36"/>
        <v>3727750.8824296044</v>
      </c>
      <c r="T148" s="468">
        <f t="shared" si="36"/>
        <v>1169419.6248588965</v>
      </c>
      <c r="U148" s="468">
        <f t="shared" si="36"/>
        <v>0</v>
      </c>
      <c r="V148" s="468">
        <f t="shared" si="36"/>
        <v>1608578.1546322831</v>
      </c>
      <c r="W148" s="468">
        <f t="shared" si="36"/>
        <v>0</v>
      </c>
      <c r="X148" s="468">
        <f t="shared" si="36"/>
        <v>2001209.7985984236</v>
      </c>
      <c r="Y148" s="468">
        <f t="shared" si="36"/>
        <v>2001209.7985984236</v>
      </c>
      <c r="Z148" s="468">
        <f t="shared" si="36"/>
        <v>0</v>
      </c>
      <c r="AA148" s="468">
        <f t="shared" si="36"/>
        <v>0</v>
      </c>
      <c r="AB148" s="468">
        <f t="shared" si="36"/>
        <v>0</v>
      </c>
      <c r="AC148" s="468"/>
      <c r="AD148" s="468"/>
      <c r="AE148" s="468"/>
      <c r="AF148" s="468">
        <f t="shared" si="36"/>
        <v>0</v>
      </c>
      <c r="AG148" s="468"/>
      <c r="AH148" s="468">
        <f>SUM(AH139:AH147)</f>
        <v>0</v>
      </c>
      <c r="AI148" s="62"/>
      <c r="AJ148" s="171">
        <f>SUM(AJ139:AJ147)</f>
        <v>52070941.640000008</v>
      </c>
      <c r="AK148" s="62">
        <f t="shared" si="33"/>
        <v>52070941.640000008</v>
      </c>
      <c r="AL148" s="62">
        <f t="shared" si="34"/>
        <v>0</v>
      </c>
      <c r="AM148" s="62"/>
      <c r="AN148" s="62"/>
    </row>
    <row r="149" spans="1:40" x14ac:dyDescent="0.3">
      <c r="A149" s="461" t="s">
        <v>1206</v>
      </c>
      <c r="B149" s="461" t="s">
        <v>825</v>
      </c>
      <c r="C149" s="461"/>
      <c r="D149" s="468">
        <f>SUM(D140:D146)</f>
        <v>0</v>
      </c>
      <c r="E149" s="468">
        <f t="shared" ref="E149:AJ149" si="37">SUM(E140:E146)</f>
        <v>0</v>
      </c>
      <c r="F149" s="630"/>
      <c r="G149" s="630"/>
      <c r="H149" s="630"/>
      <c r="I149" s="468">
        <f t="shared" si="37"/>
        <v>0</v>
      </c>
      <c r="J149" s="468">
        <f t="shared" si="37"/>
        <v>0</v>
      </c>
      <c r="K149" s="468">
        <f>SUM(K140:K146)</f>
        <v>0</v>
      </c>
      <c r="L149" s="468">
        <f t="shared" si="37"/>
        <v>0</v>
      </c>
      <c r="M149" s="468">
        <f t="shared" si="37"/>
        <v>48953558.370000005</v>
      </c>
      <c r="N149" s="468">
        <f t="shared" si="37"/>
        <v>5229748.68</v>
      </c>
      <c r="O149" s="468">
        <f t="shared" si="37"/>
        <v>17865675.509648349</v>
      </c>
      <c r="P149" s="468">
        <f t="shared" si="37"/>
        <v>4957699.7259369632</v>
      </c>
      <c r="Q149" s="468">
        <f t="shared" si="37"/>
        <v>1045924.6513937418</v>
      </c>
      <c r="R149" s="468">
        <f t="shared" si="37"/>
        <v>13493789.760207683</v>
      </c>
      <c r="S149" s="468">
        <f t="shared" si="37"/>
        <v>3644650.4445015294</v>
      </c>
      <c r="T149" s="468">
        <f t="shared" si="37"/>
        <v>1143350.4786062581</v>
      </c>
      <c r="U149" s="468">
        <f t="shared" si="37"/>
        <v>0</v>
      </c>
      <c r="V149" s="468">
        <f t="shared" si="37"/>
        <v>1572719.1197054766</v>
      </c>
      <c r="W149" s="468">
        <f t="shared" si="37"/>
        <v>0</v>
      </c>
      <c r="X149" s="468">
        <f t="shared" si="37"/>
        <v>1956598.07</v>
      </c>
      <c r="Y149" s="468">
        <f t="shared" si="37"/>
        <v>1956598.07</v>
      </c>
      <c r="Z149" s="468">
        <f t="shared" si="37"/>
        <v>0</v>
      </c>
      <c r="AA149" s="468">
        <f t="shared" si="37"/>
        <v>0</v>
      </c>
      <c r="AB149" s="468">
        <f t="shared" si="37"/>
        <v>0</v>
      </c>
      <c r="AC149" s="468"/>
      <c r="AD149" s="468"/>
      <c r="AE149" s="468"/>
      <c r="AF149" s="468">
        <f t="shared" si="37"/>
        <v>0</v>
      </c>
      <c r="AG149" s="468">
        <f t="shared" si="37"/>
        <v>0</v>
      </c>
      <c r="AH149" s="468">
        <f t="shared" si="37"/>
        <v>0</v>
      </c>
      <c r="AI149" s="62"/>
      <c r="AJ149" s="62">
        <f t="shared" si="37"/>
        <v>50910156.440000005</v>
      </c>
      <c r="AK149" s="62">
        <f t="shared" si="33"/>
        <v>50910156.439999998</v>
      </c>
      <c r="AL149" s="62">
        <f>AJ149-AK149</f>
        <v>0</v>
      </c>
      <c r="AM149" s="62"/>
      <c r="AN149" s="62"/>
    </row>
    <row r="150" spans="1:40" x14ac:dyDescent="0.3">
      <c r="A150" s="461"/>
      <c r="B150" s="479" t="s">
        <v>542</v>
      </c>
      <c r="C150" s="479"/>
      <c r="D150" s="468">
        <f t="shared" ref="D150:AF150" si="38">D148+D136</f>
        <v>0</v>
      </c>
      <c r="E150" s="468">
        <f t="shared" si="38"/>
        <v>0</v>
      </c>
      <c r="F150" s="630"/>
      <c r="G150" s="630"/>
      <c r="H150" s="630"/>
      <c r="I150" s="468">
        <f t="shared" si="38"/>
        <v>0</v>
      </c>
      <c r="J150" s="468">
        <f t="shared" si="38"/>
        <v>0</v>
      </c>
      <c r="K150" s="468">
        <f>K148+K136</f>
        <v>0</v>
      </c>
      <c r="L150" s="468">
        <f t="shared" si="38"/>
        <v>0</v>
      </c>
      <c r="M150" s="468">
        <f t="shared" si="38"/>
        <v>83409257.848725498</v>
      </c>
      <c r="N150" s="468">
        <f t="shared" si="38"/>
        <v>18079565.940039992</v>
      </c>
      <c r="O150" s="468">
        <f t="shared" si="38"/>
        <v>26435630.163846012</v>
      </c>
      <c r="P150" s="468">
        <f t="shared" si="38"/>
        <v>7264609.7839000179</v>
      </c>
      <c r="Q150" s="468">
        <f t="shared" si="38"/>
        <v>1069772.4244227617</v>
      </c>
      <c r="R150" s="468">
        <f t="shared" si="38"/>
        <v>18555492.086552326</v>
      </c>
      <c r="S150" s="468">
        <f t="shared" si="38"/>
        <v>4922820.6384585146</v>
      </c>
      <c r="T150" s="468">
        <f t="shared" si="38"/>
        <v>1169419.6248588965</v>
      </c>
      <c r="U150" s="468">
        <f t="shared" si="38"/>
        <v>0</v>
      </c>
      <c r="V150" s="468">
        <f t="shared" si="38"/>
        <v>4483672.5415905016</v>
      </c>
      <c r="W150" s="468">
        <f t="shared" si="38"/>
        <v>1428274.6450564705</v>
      </c>
      <c r="X150" s="468">
        <f t="shared" si="38"/>
        <v>10975260.271274507</v>
      </c>
      <c r="Y150" s="468">
        <f t="shared" si="38"/>
        <v>10975260.271274507</v>
      </c>
      <c r="Z150" s="468">
        <f t="shared" si="38"/>
        <v>0</v>
      </c>
      <c r="AA150" s="468">
        <f t="shared" si="38"/>
        <v>0</v>
      </c>
      <c r="AB150" s="468">
        <f t="shared" si="38"/>
        <v>0</v>
      </c>
      <c r="AC150" s="468"/>
      <c r="AD150" s="468"/>
      <c r="AE150" s="468"/>
      <c r="AF150" s="468">
        <f t="shared" si="38"/>
        <v>0</v>
      </c>
      <c r="AG150" s="468"/>
      <c r="AH150" s="468">
        <f>AH148+AH136</f>
        <v>0</v>
      </c>
      <c r="AI150" s="62"/>
      <c r="AJ150" s="171">
        <f>AJ148+AJ136</f>
        <v>94384518.120000005</v>
      </c>
      <c r="AK150" s="62">
        <f t="shared" si="33"/>
        <v>94384518.120000005</v>
      </c>
      <c r="AL150" s="62">
        <f>AJ150-AK150</f>
        <v>0</v>
      </c>
      <c r="AM150" s="62"/>
      <c r="AN150" s="62"/>
    </row>
    <row r="151" spans="1:40" x14ac:dyDescent="0.3">
      <c r="A151" s="461"/>
      <c r="B151" s="62"/>
      <c r="C151" s="479"/>
      <c r="D151" s="468"/>
      <c r="E151" s="468"/>
      <c r="F151" s="630"/>
      <c r="G151" s="630"/>
      <c r="H151" s="630"/>
      <c r="I151" s="468"/>
      <c r="J151" s="468"/>
      <c r="K151" s="468"/>
      <c r="L151" s="468"/>
      <c r="M151" s="468"/>
      <c r="N151" s="468"/>
      <c r="O151" s="468"/>
      <c r="P151" s="468"/>
      <c r="Q151" s="468"/>
      <c r="R151" s="468"/>
      <c r="S151" s="468"/>
      <c r="T151" s="468"/>
      <c r="U151" s="468"/>
      <c r="V151" s="468"/>
      <c r="W151" s="468"/>
      <c r="X151" s="468"/>
      <c r="Y151" s="468"/>
      <c r="Z151" s="468"/>
      <c r="AA151" s="468"/>
      <c r="AB151" s="468"/>
      <c r="AC151" s="468"/>
      <c r="AD151" s="468"/>
      <c r="AE151" s="468"/>
      <c r="AF151" s="468"/>
      <c r="AG151" s="468"/>
      <c r="AH151" s="468"/>
      <c r="AI151" s="62"/>
      <c r="AJ151" s="171"/>
      <c r="AK151" s="62"/>
      <c r="AL151" s="62"/>
      <c r="AM151" s="62"/>
      <c r="AN151" s="62"/>
    </row>
    <row r="152" spans="1:40" x14ac:dyDescent="0.3">
      <c r="A152" s="461"/>
      <c r="B152" s="479" t="s">
        <v>695</v>
      </c>
      <c r="C152" s="479"/>
      <c r="D152" s="468">
        <f t="shared" ref="D152:AF152" si="39">D150+D122+D99</f>
        <v>213001170.19</v>
      </c>
      <c r="E152" s="468">
        <f t="shared" si="39"/>
        <v>163296827.6251086</v>
      </c>
      <c r="F152" s="630"/>
      <c r="G152" s="630"/>
      <c r="H152" s="630"/>
      <c r="I152" s="468">
        <f t="shared" si="39"/>
        <v>49704342.564891413</v>
      </c>
      <c r="J152" s="468">
        <f t="shared" si="39"/>
        <v>0</v>
      </c>
      <c r="K152" s="468">
        <f>K150+K122+K99</f>
        <v>0</v>
      </c>
      <c r="L152" s="468">
        <f t="shared" si="39"/>
        <v>18822174.359999999</v>
      </c>
      <c r="M152" s="468">
        <f t="shared" si="39"/>
        <v>83409257.848725498</v>
      </c>
      <c r="N152" s="468">
        <f t="shared" si="39"/>
        <v>18079565.940039992</v>
      </c>
      <c r="O152" s="468">
        <f t="shared" si="39"/>
        <v>26435630.163846012</v>
      </c>
      <c r="P152" s="468">
        <f t="shared" si="39"/>
        <v>7264609.7839000179</v>
      </c>
      <c r="Q152" s="468">
        <f t="shared" si="39"/>
        <v>1069772.4244227617</v>
      </c>
      <c r="R152" s="468">
        <f t="shared" si="39"/>
        <v>18555492.086552326</v>
      </c>
      <c r="S152" s="468">
        <f t="shared" si="39"/>
        <v>4922820.6384585146</v>
      </c>
      <c r="T152" s="468">
        <f t="shared" si="39"/>
        <v>1169419.6248588965</v>
      </c>
      <c r="U152" s="468">
        <f t="shared" si="39"/>
        <v>0</v>
      </c>
      <c r="V152" s="468">
        <f t="shared" si="39"/>
        <v>4483672.5415905016</v>
      </c>
      <c r="W152" s="468">
        <f t="shared" si="39"/>
        <v>1428274.6450564705</v>
      </c>
      <c r="X152" s="468">
        <f t="shared" si="39"/>
        <v>10975260.271274507</v>
      </c>
      <c r="Y152" s="468">
        <f t="shared" si="39"/>
        <v>10975260.271274507</v>
      </c>
      <c r="Z152" s="468">
        <f t="shared" si="39"/>
        <v>0</v>
      </c>
      <c r="AA152" s="468">
        <f t="shared" si="39"/>
        <v>0</v>
      </c>
      <c r="AB152" s="468">
        <f t="shared" si="39"/>
        <v>0</v>
      </c>
      <c r="AC152" s="468"/>
      <c r="AD152" s="468"/>
      <c r="AE152" s="468"/>
      <c r="AF152" s="468">
        <f t="shared" si="39"/>
        <v>0</v>
      </c>
      <c r="AG152" s="468"/>
      <c r="AH152" s="468">
        <f>AH150+AH122+AH99</f>
        <v>0</v>
      </c>
      <c r="AI152" s="62"/>
      <c r="AJ152" s="171">
        <f>AJ150+AJ122+AJ99</f>
        <v>326207862.67000002</v>
      </c>
      <c r="AK152" s="62">
        <f>SUM(E152,I152:K152,L152,N152:W152,Y152:Z152,AA152:AA152,AC152:AE152,AG152:AH152)</f>
        <v>326207862.67000002</v>
      </c>
      <c r="AL152" s="62">
        <f>AJ152-AK152</f>
        <v>0</v>
      </c>
      <c r="AM152" s="62"/>
      <c r="AN152" s="62"/>
    </row>
    <row r="153" spans="1:40" x14ac:dyDescent="0.3">
      <c r="A153" s="461"/>
      <c r="B153" s="479"/>
      <c r="C153" s="479"/>
      <c r="D153" s="171"/>
      <c r="E153" s="481"/>
      <c r="F153" s="637"/>
      <c r="G153" s="637"/>
      <c r="H153" s="637"/>
      <c r="I153" s="481"/>
      <c r="J153" s="481"/>
      <c r="K153" s="481"/>
      <c r="L153" s="171"/>
      <c r="M153" s="171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62"/>
      <c r="AJ153" s="171"/>
      <c r="AK153" s="62"/>
      <c r="AL153" s="62"/>
      <c r="AM153" s="62"/>
      <c r="AN153" s="62"/>
    </row>
    <row r="154" spans="1:40" x14ac:dyDescent="0.3">
      <c r="A154" s="461"/>
      <c r="B154" s="461"/>
      <c r="C154" s="461"/>
      <c r="D154" s="171"/>
      <c r="E154" s="481"/>
      <c r="F154" s="637"/>
      <c r="G154" s="637"/>
      <c r="H154" s="637"/>
      <c r="I154" s="481"/>
      <c r="J154" s="481"/>
      <c r="K154" s="481"/>
      <c r="L154" s="171"/>
      <c r="M154" s="171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62"/>
      <c r="AJ154" s="62"/>
      <c r="AK154" s="62"/>
      <c r="AL154" s="62"/>
      <c r="AM154" s="62"/>
      <c r="AN154" s="62"/>
    </row>
    <row r="155" spans="1:40" x14ac:dyDescent="0.3">
      <c r="A155" s="52" t="s">
        <v>840</v>
      </c>
      <c r="B155" s="31"/>
      <c r="C155" s="31"/>
      <c r="D155" s="173"/>
      <c r="E155" s="174"/>
      <c r="F155" s="638"/>
      <c r="G155" s="638"/>
      <c r="H155" s="638"/>
      <c r="I155" s="174"/>
      <c r="J155" s="174"/>
      <c r="K155" s="174"/>
      <c r="L155" s="173"/>
      <c r="M155" s="173"/>
      <c r="N155" s="175"/>
      <c r="O155" s="175"/>
      <c r="P155" s="175"/>
      <c r="Q155" s="175"/>
      <c r="R155" s="175"/>
      <c r="S155" s="175"/>
      <c r="T155" s="175"/>
      <c r="U155" s="175"/>
      <c r="V155" s="175"/>
      <c r="W155" s="175"/>
      <c r="X155" s="173"/>
      <c r="Y155" s="173"/>
      <c r="Z155" s="173"/>
      <c r="AA155" s="173"/>
      <c r="AB155" s="173"/>
      <c r="AC155" s="173"/>
      <c r="AD155" s="173"/>
      <c r="AE155" s="173"/>
      <c r="AF155" s="173"/>
      <c r="AG155" s="173"/>
      <c r="AH155" s="173"/>
    </row>
    <row r="156" spans="1:40" x14ac:dyDescent="0.3">
      <c r="A156" s="9"/>
      <c r="B156" s="31"/>
      <c r="C156" s="31"/>
      <c r="D156" s="173"/>
      <c r="E156" s="174"/>
      <c r="F156" s="638"/>
      <c r="G156" s="638"/>
      <c r="H156" s="638"/>
      <c r="I156" s="174"/>
      <c r="J156" s="174"/>
      <c r="K156" s="174"/>
      <c r="L156" s="173"/>
      <c r="M156" s="173"/>
      <c r="N156" s="175"/>
      <c r="O156" s="175"/>
      <c r="P156" s="175"/>
      <c r="Q156" s="175"/>
      <c r="R156" s="175"/>
      <c r="S156" s="175"/>
      <c r="T156" s="175"/>
      <c r="U156" s="175"/>
      <c r="V156" s="175"/>
      <c r="W156" s="175"/>
      <c r="X156" s="173"/>
      <c r="Y156" s="173"/>
      <c r="Z156" s="173"/>
      <c r="AA156" s="173"/>
      <c r="AB156" s="173"/>
      <c r="AC156" s="173"/>
      <c r="AD156" s="173"/>
      <c r="AE156" s="173"/>
      <c r="AF156" s="173"/>
      <c r="AG156" s="173"/>
      <c r="AH156" s="173"/>
    </row>
    <row r="157" spans="1:40" x14ac:dyDescent="0.3">
      <c r="A157" s="52" t="s">
        <v>839</v>
      </c>
      <c r="B157" s="31"/>
      <c r="C157" s="31"/>
      <c r="D157" s="173"/>
      <c r="E157" s="174"/>
      <c r="F157" s="638"/>
      <c r="G157" s="638"/>
      <c r="H157" s="638"/>
      <c r="I157" s="174"/>
      <c r="J157" s="174"/>
      <c r="K157" s="174"/>
      <c r="L157" s="173"/>
      <c r="M157" s="173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3"/>
      <c r="Y157" s="173"/>
      <c r="Z157" s="173"/>
      <c r="AA157" s="173"/>
      <c r="AB157" s="173"/>
      <c r="AC157" s="173"/>
      <c r="AD157" s="173"/>
      <c r="AE157" s="173"/>
      <c r="AF157" s="173"/>
      <c r="AG157" s="173"/>
      <c r="AH157" s="173"/>
    </row>
    <row r="158" spans="1:40" x14ac:dyDescent="0.3">
      <c r="A158" s="9"/>
      <c r="B158" s="31"/>
      <c r="C158" s="31"/>
      <c r="D158" s="173"/>
      <c r="E158" s="174"/>
      <c r="F158" s="638"/>
      <c r="G158" s="638"/>
      <c r="H158" s="638"/>
      <c r="I158" s="174"/>
      <c r="J158" s="174"/>
      <c r="K158" s="174"/>
      <c r="L158" s="173"/>
      <c r="M158" s="173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3"/>
      <c r="Y158" s="173"/>
      <c r="Z158" s="173"/>
      <c r="AA158" s="173"/>
      <c r="AB158" s="173"/>
      <c r="AC158" s="173"/>
      <c r="AD158" s="173"/>
      <c r="AE158" s="173"/>
      <c r="AF158" s="173"/>
      <c r="AG158" s="173"/>
      <c r="AH158" s="173"/>
    </row>
    <row r="159" spans="1:40" x14ac:dyDescent="0.3">
      <c r="A159" s="9"/>
      <c r="B159" s="56" t="s">
        <v>810</v>
      </c>
      <c r="C159" s="31"/>
      <c r="D159" s="173"/>
      <c r="E159" s="174"/>
      <c r="F159" s="638"/>
      <c r="G159" s="638"/>
      <c r="H159" s="638"/>
      <c r="I159" s="174"/>
      <c r="J159" s="174"/>
      <c r="K159" s="174"/>
      <c r="L159" s="173"/>
      <c r="M159" s="173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3"/>
      <c r="Y159" s="173"/>
      <c r="Z159" s="173"/>
      <c r="AA159" s="173"/>
      <c r="AB159" s="173"/>
      <c r="AC159" s="173"/>
      <c r="AD159" s="173"/>
      <c r="AE159" s="173"/>
      <c r="AF159" s="173"/>
      <c r="AG159" s="173"/>
      <c r="AH159" s="173"/>
    </row>
    <row r="160" spans="1:40" s="1" customFormat="1" x14ac:dyDescent="0.3">
      <c r="A160" s="9">
        <v>803</v>
      </c>
      <c r="B160" s="9" t="s">
        <v>1183</v>
      </c>
      <c r="C160" s="9"/>
      <c r="D160" s="173"/>
      <c r="E160" s="174"/>
      <c r="F160" s="638"/>
      <c r="G160" s="638"/>
      <c r="H160" s="638"/>
      <c r="I160" s="174"/>
      <c r="J160" s="174"/>
      <c r="K160" s="174"/>
      <c r="L160" s="173"/>
      <c r="M160" s="173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3"/>
      <c r="Y160" s="173"/>
      <c r="Z160" s="173"/>
      <c r="AA160" s="173"/>
      <c r="AB160" s="173"/>
      <c r="AC160" s="173"/>
      <c r="AD160" s="173"/>
      <c r="AE160" s="173"/>
      <c r="AF160" s="173"/>
      <c r="AG160" s="173"/>
      <c r="AH160" s="173"/>
    </row>
    <row r="161" spans="1:34" s="1" customFormat="1" x14ac:dyDescent="0.3">
      <c r="A161" s="9">
        <v>804</v>
      </c>
      <c r="B161" s="9" t="s">
        <v>839</v>
      </c>
      <c r="C161" s="9"/>
      <c r="D161" s="173"/>
      <c r="E161" s="174"/>
      <c r="F161" s="638"/>
      <c r="G161" s="638"/>
      <c r="H161" s="638"/>
      <c r="I161" s="174"/>
      <c r="J161" s="174"/>
      <c r="K161" s="174"/>
      <c r="L161" s="173"/>
      <c r="M161" s="173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3"/>
      <c r="Y161" s="173"/>
      <c r="Z161" s="173"/>
      <c r="AA161" s="173"/>
      <c r="AB161" s="173"/>
      <c r="AC161" s="173"/>
      <c r="AD161" s="173"/>
      <c r="AE161" s="173"/>
      <c r="AF161" s="173"/>
      <c r="AG161" s="173"/>
      <c r="AH161" s="173"/>
    </row>
    <row r="162" spans="1:34" s="1" customFormat="1" x14ac:dyDescent="0.3">
      <c r="A162" s="9">
        <v>807</v>
      </c>
      <c r="B162" s="9" t="s">
        <v>842</v>
      </c>
      <c r="C162" s="9"/>
      <c r="D162" s="173"/>
      <c r="E162" s="174"/>
      <c r="F162" s="638"/>
      <c r="G162" s="638"/>
      <c r="H162" s="638"/>
      <c r="I162" s="174"/>
      <c r="J162" s="174"/>
      <c r="K162" s="174"/>
      <c r="L162" s="173"/>
      <c r="M162" s="173"/>
      <c r="N162" s="175"/>
      <c r="O162" s="175"/>
      <c r="P162" s="175"/>
      <c r="Q162" s="175"/>
      <c r="R162" s="175"/>
      <c r="S162" s="175"/>
      <c r="T162" s="175"/>
      <c r="U162" s="175"/>
      <c r="V162" s="175"/>
      <c r="W162" s="175"/>
      <c r="X162" s="173"/>
      <c r="Y162" s="173"/>
      <c r="Z162" s="173"/>
      <c r="AA162" s="173"/>
      <c r="AB162" s="173"/>
      <c r="AC162" s="173"/>
      <c r="AD162" s="173"/>
      <c r="AE162" s="173"/>
      <c r="AF162" s="173"/>
      <c r="AG162" s="173"/>
      <c r="AH162" s="173"/>
    </row>
    <row r="163" spans="1:34" s="1" customFormat="1" x14ac:dyDescent="0.3">
      <c r="A163" s="58">
        <v>810</v>
      </c>
      <c r="B163" s="18" t="s">
        <v>1185</v>
      </c>
      <c r="C163" s="9"/>
      <c r="D163" s="173"/>
      <c r="E163" s="174"/>
      <c r="F163" s="638"/>
      <c r="G163" s="638"/>
      <c r="H163" s="638"/>
      <c r="I163" s="174"/>
      <c r="J163" s="174"/>
      <c r="K163" s="174"/>
      <c r="L163" s="173"/>
      <c r="M163" s="173"/>
      <c r="N163" s="175"/>
      <c r="O163" s="175"/>
      <c r="P163" s="175"/>
      <c r="Q163" s="175"/>
      <c r="R163" s="175"/>
      <c r="S163" s="175"/>
      <c r="T163" s="175"/>
      <c r="U163" s="175"/>
      <c r="V163" s="175"/>
      <c r="W163" s="175"/>
      <c r="X163" s="173"/>
      <c r="Y163" s="173"/>
      <c r="Z163" s="173"/>
      <c r="AA163" s="173"/>
      <c r="AB163" s="173"/>
      <c r="AC163" s="173"/>
      <c r="AD163" s="173"/>
      <c r="AE163" s="173"/>
      <c r="AF163" s="173"/>
      <c r="AG163" s="173"/>
      <c r="AH163" s="173"/>
    </row>
    <row r="164" spans="1:34" s="1" customFormat="1" x14ac:dyDescent="0.3">
      <c r="A164" s="9">
        <v>812</v>
      </c>
      <c r="B164" s="9" t="s">
        <v>843</v>
      </c>
      <c r="C164" s="9"/>
      <c r="D164" s="173"/>
      <c r="E164" s="174"/>
      <c r="F164" s="638"/>
      <c r="G164" s="638"/>
      <c r="H164" s="638"/>
      <c r="I164" s="174"/>
      <c r="J164" s="174"/>
      <c r="K164" s="174"/>
      <c r="L164" s="173"/>
      <c r="M164" s="173"/>
      <c r="N164" s="175"/>
      <c r="O164" s="175"/>
      <c r="P164" s="175"/>
      <c r="Q164" s="175"/>
      <c r="R164" s="175"/>
      <c r="S164" s="175"/>
      <c r="T164" s="175"/>
      <c r="U164" s="175"/>
      <c r="V164" s="175"/>
      <c r="W164" s="175"/>
      <c r="X164" s="173"/>
      <c r="Y164" s="173"/>
      <c r="Z164" s="173"/>
      <c r="AA164" s="173"/>
      <c r="AB164" s="173"/>
      <c r="AC164" s="173"/>
      <c r="AD164" s="173"/>
      <c r="AE164" s="173"/>
      <c r="AF164" s="173"/>
      <c r="AG164" s="173"/>
      <c r="AH164" s="173"/>
    </row>
    <row r="165" spans="1:34" s="1" customFormat="1" x14ac:dyDescent="0.3">
      <c r="A165" s="9"/>
      <c r="B165" s="52" t="s">
        <v>861</v>
      </c>
      <c r="C165" s="9"/>
      <c r="D165" s="173"/>
      <c r="E165" s="174"/>
      <c r="F165" s="638"/>
      <c r="G165" s="638"/>
      <c r="H165" s="638"/>
      <c r="I165" s="174"/>
      <c r="J165" s="174"/>
      <c r="K165" s="174"/>
      <c r="L165" s="173"/>
      <c r="M165" s="173"/>
      <c r="N165" s="175"/>
      <c r="O165" s="175"/>
      <c r="P165" s="175"/>
      <c r="Q165" s="175"/>
      <c r="R165" s="175"/>
      <c r="S165" s="175"/>
      <c r="T165" s="175"/>
      <c r="U165" s="175"/>
      <c r="V165" s="175"/>
      <c r="W165" s="175"/>
      <c r="X165" s="173"/>
      <c r="Y165" s="173"/>
      <c r="Z165" s="173"/>
      <c r="AA165" s="173"/>
      <c r="AB165" s="173"/>
      <c r="AC165" s="173"/>
      <c r="AD165" s="173"/>
      <c r="AE165" s="173"/>
      <c r="AF165" s="173"/>
      <c r="AG165" s="173"/>
      <c r="AH165" s="173"/>
    </row>
    <row r="166" spans="1:34" s="1" customFormat="1" x14ac:dyDescent="0.3">
      <c r="A166" s="9"/>
      <c r="B166" s="9"/>
      <c r="C166" s="9"/>
      <c r="D166" s="173"/>
      <c r="E166" s="174"/>
      <c r="F166" s="638"/>
      <c r="G166" s="638"/>
      <c r="H166" s="638"/>
      <c r="I166" s="174"/>
      <c r="J166" s="174"/>
      <c r="K166" s="174"/>
      <c r="L166" s="173"/>
      <c r="M166" s="173"/>
      <c r="N166" s="175"/>
      <c r="O166" s="175"/>
      <c r="P166" s="175"/>
      <c r="Q166" s="175"/>
      <c r="R166" s="175"/>
      <c r="S166" s="175"/>
      <c r="T166" s="175"/>
      <c r="U166" s="175"/>
      <c r="V166" s="175"/>
      <c r="W166" s="175"/>
      <c r="X166" s="173"/>
      <c r="Y166" s="173"/>
      <c r="Z166" s="173"/>
      <c r="AA166" s="173"/>
      <c r="AB166" s="173"/>
      <c r="AC166" s="173"/>
      <c r="AD166" s="173"/>
      <c r="AE166" s="173"/>
      <c r="AF166" s="173"/>
      <c r="AG166" s="173"/>
      <c r="AH166" s="173"/>
    </row>
    <row r="167" spans="1:34" s="1" customFormat="1" x14ac:dyDescent="0.3">
      <c r="A167" s="9"/>
      <c r="B167" s="50" t="s">
        <v>366</v>
      </c>
      <c r="C167" s="9"/>
      <c r="D167" s="173"/>
      <c r="E167" s="174"/>
      <c r="F167" s="638"/>
      <c r="G167" s="638"/>
      <c r="H167" s="638"/>
      <c r="I167" s="174"/>
      <c r="J167" s="174"/>
      <c r="K167" s="174"/>
      <c r="L167" s="173"/>
      <c r="M167" s="173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3"/>
      <c r="Y167" s="173"/>
      <c r="Z167" s="173"/>
      <c r="AA167" s="173"/>
      <c r="AB167" s="173"/>
      <c r="AC167" s="173"/>
      <c r="AD167" s="173"/>
      <c r="AE167" s="173"/>
      <c r="AF167" s="173"/>
      <c r="AG167" s="173"/>
      <c r="AH167" s="173"/>
    </row>
    <row r="168" spans="1:34" s="1" customFormat="1" x14ac:dyDescent="0.3">
      <c r="A168" s="9">
        <v>823</v>
      </c>
      <c r="B168" s="9" t="s">
        <v>1187</v>
      </c>
      <c r="C168" s="9"/>
      <c r="D168" s="173"/>
      <c r="E168" s="174"/>
      <c r="F168" s="638"/>
      <c r="G168" s="638"/>
      <c r="H168" s="638"/>
      <c r="I168" s="174"/>
      <c r="J168" s="174"/>
      <c r="K168" s="174"/>
      <c r="L168" s="173"/>
      <c r="M168" s="173"/>
      <c r="N168" s="175"/>
      <c r="O168" s="175"/>
      <c r="P168" s="175"/>
      <c r="Q168" s="175"/>
      <c r="R168" s="175"/>
      <c r="S168" s="175"/>
      <c r="T168" s="175"/>
      <c r="U168" s="175"/>
      <c r="V168" s="175"/>
      <c r="W168" s="175"/>
      <c r="X168" s="173"/>
      <c r="Y168" s="173"/>
      <c r="Z168" s="173"/>
      <c r="AA168" s="173"/>
      <c r="AB168" s="173"/>
      <c r="AC168" s="173"/>
      <c r="AD168" s="173"/>
      <c r="AE168" s="173"/>
      <c r="AF168" s="173"/>
      <c r="AG168" s="173"/>
      <c r="AH168" s="173"/>
    </row>
    <row r="169" spans="1:34" s="1" customFormat="1" x14ac:dyDescent="0.3">
      <c r="A169" s="9">
        <v>850</v>
      </c>
      <c r="B169" s="9" t="s">
        <v>1065</v>
      </c>
      <c r="C169" s="9"/>
      <c r="D169" s="173"/>
      <c r="E169" s="174"/>
      <c r="F169" s="638"/>
      <c r="G169" s="638"/>
      <c r="H169" s="638"/>
      <c r="I169" s="174"/>
      <c r="J169" s="174"/>
      <c r="K169" s="174"/>
      <c r="L169" s="173"/>
      <c r="M169" s="173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3"/>
      <c r="Y169" s="173"/>
      <c r="Z169" s="173"/>
      <c r="AA169" s="173"/>
      <c r="AB169" s="173"/>
      <c r="AC169" s="173"/>
      <c r="AD169" s="173"/>
      <c r="AE169" s="173"/>
      <c r="AF169" s="173"/>
      <c r="AG169" s="173"/>
      <c r="AH169" s="173"/>
    </row>
    <row r="170" spans="1:34" s="1" customFormat="1" x14ac:dyDescent="0.3">
      <c r="A170" s="9">
        <v>851</v>
      </c>
      <c r="B170" s="9" t="s">
        <v>1189</v>
      </c>
      <c r="C170" s="9"/>
      <c r="D170" s="173"/>
      <c r="E170" s="174"/>
      <c r="F170" s="638"/>
      <c r="G170" s="638"/>
      <c r="H170" s="638"/>
      <c r="I170" s="174"/>
      <c r="J170" s="174"/>
      <c r="K170" s="174"/>
      <c r="L170" s="173"/>
      <c r="M170" s="173"/>
      <c r="N170" s="175"/>
      <c r="O170" s="175"/>
      <c r="P170" s="175"/>
      <c r="Q170" s="175"/>
      <c r="R170" s="175"/>
      <c r="S170" s="175"/>
      <c r="T170" s="175"/>
      <c r="U170" s="175"/>
      <c r="V170" s="175"/>
      <c r="W170" s="175"/>
      <c r="X170" s="173"/>
      <c r="Y170" s="173"/>
      <c r="Z170" s="173"/>
      <c r="AA170" s="173"/>
      <c r="AB170" s="173"/>
      <c r="AC170" s="173"/>
      <c r="AD170" s="173"/>
      <c r="AE170" s="173"/>
      <c r="AF170" s="173"/>
      <c r="AG170" s="173"/>
      <c r="AH170" s="173"/>
    </row>
    <row r="171" spans="1:34" s="1" customFormat="1" x14ac:dyDescent="0.3">
      <c r="A171" s="9">
        <v>853</v>
      </c>
      <c r="B171" s="9" t="s">
        <v>1061</v>
      </c>
      <c r="C171" s="9"/>
      <c r="D171" s="173"/>
      <c r="E171" s="174"/>
      <c r="F171" s="638"/>
      <c r="G171" s="638"/>
      <c r="H171" s="638"/>
      <c r="I171" s="174"/>
      <c r="J171" s="174"/>
      <c r="K171" s="174"/>
      <c r="L171" s="173"/>
      <c r="M171" s="173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3"/>
      <c r="Y171" s="173"/>
      <c r="Z171" s="173"/>
      <c r="AA171" s="173"/>
      <c r="AB171" s="173"/>
      <c r="AC171" s="173"/>
      <c r="AD171" s="173"/>
      <c r="AE171" s="173"/>
      <c r="AF171" s="173"/>
      <c r="AG171" s="173"/>
      <c r="AH171" s="173"/>
    </row>
    <row r="172" spans="1:34" s="1" customFormat="1" x14ac:dyDescent="0.3">
      <c r="A172" s="58">
        <v>856</v>
      </c>
      <c r="B172" s="58" t="s">
        <v>1191</v>
      </c>
      <c r="C172" s="9"/>
      <c r="D172" s="173"/>
      <c r="E172" s="174"/>
      <c r="F172" s="638"/>
      <c r="G172" s="638"/>
      <c r="H172" s="638"/>
      <c r="I172" s="174"/>
      <c r="J172" s="174"/>
      <c r="K172" s="174"/>
      <c r="L172" s="173"/>
      <c r="M172" s="173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3"/>
      <c r="Y172" s="173"/>
      <c r="Z172" s="173"/>
      <c r="AA172" s="173"/>
      <c r="AB172" s="173"/>
      <c r="AC172" s="173"/>
      <c r="AD172" s="173"/>
      <c r="AE172" s="173"/>
      <c r="AF172" s="173"/>
      <c r="AG172" s="173"/>
      <c r="AH172" s="173"/>
    </row>
    <row r="173" spans="1:34" s="1" customFormat="1" x14ac:dyDescent="0.3">
      <c r="A173" s="9">
        <v>857</v>
      </c>
      <c r="B173" s="9" t="s">
        <v>1062</v>
      </c>
      <c r="C173" s="9"/>
      <c r="D173" s="173"/>
      <c r="E173" s="174"/>
      <c r="F173" s="638"/>
      <c r="G173" s="638"/>
      <c r="H173" s="638"/>
      <c r="I173" s="174"/>
      <c r="J173" s="174"/>
      <c r="K173" s="174"/>
      <c r="L173" s="173"/>
      <c r="M173" s="173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3"/>
      <c r="Y173" s="173"/>
      <c r="Z173" s="173"/>
      <c r="AA173" s="173"/>
      <c r="AB173" s="173"/>
      <c r="AC173" s="173"/>
      <c r="AD173" s="173"/>
      <c r="AE173" s="173"/>
      <c r="AF173" s="173"/>
      <c r="AG173" s="173"/>
      <c r="AH173" s="173"/>
    </row>
    <row r="174" spans="1:34" s="1" customFormat="1" x14ac:dyDescent="0.3">
      <c r="A174" s="9">
        <v>859</v>
      </c>
      <c r="B174" s="9"/>
      <c r="C174" s="9"/>
      <c r="D174" s="173"/>
      <c r="E174" s="174"/>
      <c r="F174" s="638"/>
      <c r="G174" s="638"/>
      <c r="H174" s="638"/>
      <c r="I174" s="174"/>
      <c r="J174" s="174"/>
      <c r="K174" s="174"/>
      <c r="L174" s="173"/>
      <c r="M174" s="173"/>
      <c r="N174" s="175"/>
      <c r="O174" s="175"/>
      <c r="P174" s="175"/>
      <c r="Q174" s="175"/>
      <c r="R174" s="175"/>
      <c r="S174" s="175"/>
      <c r="T174" s="175"/>
      <c r="U174" s="175"/>
      <c r="V174" s="175"/>
      <c r="W174" s="175"/>
      <c r="X174" s="173"/>
      <c r="Y174" s="173"/>
      <c r="Z174" s="173"/>
      <c r="AA174" s="173"/>
      <c r="AB174" s="173"/>
      <c r="AC174" s="173"/>
      <c r="AD174" s="173"/>
      <c r="AE174" s="173"/>
      <c r="AF174" s="173"/>
      <c r="AG174" s="173"/>
      <c r="AH174" s="173"/>
    </row>
    <row r="175" spans="1:34" s="1" customFormat="1" x14ac:dyDescent="0.3">
      <c r="A175" s="9">
        <v>862</v>
      </c>
      <c r="B175" s="9"/>
      <c r="C175" s="9"/>
      <c r="D175" s="173"/>
      <c r="E175" s="174"/>
      <c r="F175" s="638"/>
      <c r="G175" s="638"/>
      <c r="H175" s="638"/>
      <c r="I175" s="174"/>
      <c r="J175" s="174"/>
      <c r="K175" s="174"/>
      <c r="L175" s="173"/>
      <c r="M175" s="173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3"/>
      <c r="Y175" s="173"/>
      <c r="Z175" s="173"/>
      <c r="AA175" s="173"/>
      <c r="AB175" s="173"/>
      <c r="AC175" s="173"/>
      <c r="AD175" s="173"/>
      <c r="AE175" s="173"/>
      <c r="AF175" s="173"/>
      <c r="AG175" s="173"/>
      <c r="AH175" s="173"/>
    </row>
    <row r="176" spans="1:34" s="1" customFormat="1" x14ac:dyDescent="0.3">
      <c r="A176" s="9">
        <v>863</v>
      </c>
      <c r="B176" s="9" t="s">
        <v>1063</v>
      </c>
      <c r="C176" s="9"/>
      <c r="D176" s="173"/>
      <c r="E176" s="174"/>
      <c r="F176" s="638"/>
      <c r="G176" s="638"/>
      <c r="H176" s="638"/>
      <c r="I176" s="174"/>
      <c r="J176" s="174"/>
      <c r="K176" s="174"/>
      <c r="L176" s="173"/>
      <c r="M176" s="173"/>
      <c r="N176" s="175"/>
      <c r="O176" s="175"/>
      <c r="P176" s="175"/>
      <c r="Q176" s="175"/>
      <c r="R176" s="175"/>
      <c r="S176" s="175"/>
      <c r="T176" s="175"/>
      <c r="U176" s="175"/>
      <c r="V176" s="175"/>
      <c r="W176" s="175"/>
      <c r="X176" s="173"/>
      <c r="Y176" s="173"/>
      <c r="Z176" s="173"/>
      <c r="AA176" s="173"/>
      <c r="AB176" s="173"/>
      <c r="AC176" s="173"/>
      <c r="AD176" s="173"/>
      <c r="AE176" s="173"/>
      <c r="AF176" s="173"/>
      <c r="AG176" s="173"/>
      <c r="AH176" s="173"/>
    </row>
    <row r="177" spans="1:34" s="1" customFormat="1" x14ac:dyDescent="0.3">
      <c r="A177" s="9">
        <v>865</v>
      </c>
      <c r="B177" s="9" t="s">
        <v>1064</v>
      </c>
      <c r="C177" s="9"/>
      <c r="D177" s="173"/>
      <c r="E177" s="174"/>
      <c r="F177" s="638"/>
      <c r="G177" s="638"/>
      <c r="H177" s="638"/>
      <c r="I177" s="174"/>
      <c r="J177" s="174"/>
      <c r="K177" s="174"/>
      <c r="L177" s="173"/>
      <c r="M177" s="173"/>
      <c r="N177" s="175"/>
      <c r="O177" s="175"/>
      <c r="P177" s="175"/>
      <c r="Q177" s="175"/>
      <c r="R177" s="175"/>
      <c r="S177" s="175"/>
      <c r="T177" s="175"/>
      <c r="U177" s="175"/>
      <c r="V177" s="175"/>
      <c r="W177" s="175"/>
      <c r="X177" s="173"/>
      <c r="Y177" s="173"/>
      <c r="Z177" s="173"/>
      <c r="AA177" s="173"/>
      <c r="AB177" s="173"/>
      <c r="AC177" s="173"/>
      <c r="AD177" s="173"/>
      <c r="AE177" s="173"/>
      <c r="AF177" s="173"/>
      <c r="AG177" s="173"/>
      <c r="AH177" s="173"/>
    </row>
    <row r="178" spans="1:34" s="1" customFormat="1" x14ac:dyDescent="0.3">
      <c r="A178" s="9">
        <v>867</v>
      </c>
      <c r="B178" s="9" t="s">
        <v>1193</v>
      </c>
      <c r="C178" s="9"/>
      <c r="D178" s="173"/>
      <c r="E178" s="174"/>
      <c r="F178" s="638"/>
      <c r="G178" s="638"/>
      <c r="H178" s="638"/>
      <c r="I178" s="174"/>
      <c r="J178" s="174"/>
      <c r="K178" s="174"/>
      <c r="L178" s="173"/>
      <c r="M178" s="173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3"/>
      <c r="Y178" s="173"/>
      <c r="Z178" s="173"/>
      <c r="AA178" s="173"/>
      <c r="AB178" s="173"/>
      <c r="AC178" s="173"/>
      <c r="AD178" s="173"/>
      <c r="AE178" s="173"/>
      <c r="AF178" s="173"/>
      <c r="AG178" s="173"/>
      <c r="AH178" s="173"/>
    </row>
    <row r="179" spans="1:34" s="1" customFormat="1" x14ac:dyDescent="0.3">
      <c r="A179" s="9"/>
      <c r="B179" s="52" t="s">
        <v>1066</v>
      </c>
      <c r="C179" s="9"/>
      <c r="D179" s="173"/>
      <c r="E179" s="174"/>
      <c r="F179" s="638"/>
      <c r="G179" s="638"/>
      <c r="H179" s="638"/>
      <c r="I179" s="174"/>
      <c r="J179" s="174"/>
      <c r="K179" s="174"/>
      <c r="L179" s="173"/>
      <c r="M179" s="173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3"/>
      <c r="Y179" s="173"/>
      <c r="Z179" s="173"/>
      <c r="AA179" s="173"/>
      <c r="AB179" s="173"/>
      <c r="AC179" s="173"/>
      <c r="AD179" s="173"/>
      <c r="AE179" s="173"/>
      <c r="AF179" s="173"/>
      <c r="AG179" s="173"/>
      <c r="AH179" s="173"/>
    </row>
    <row r="180" spans="1:34" s="1" customFormat="1" x14ac:dyDescent="0.3">
      <c r="A180" s="9"/>
      <c r="B180" s="9"/>
      <c r="C180" s="9"/>
      <c r="D180" s="173"/>
      <c r="E180" s="174"/>
      <c r="F180" s="638"/>
      <c r="G180" s="638"/>
      <c r="H180" s="638"/>
      <c r="I180" s="174"/>
      <c r="J180" s="174"/>
      <c r="K180" s="174"/>
      <c r="L180" s="173"/>
      <c r="M180" s="173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3"/>
      <c r="Y180" s="173"/>
      <c r="Z180" s="173"/>
      <c r="AA180" s="173"/>
      <c r="AB180" s="173"/>
      <c r="AC180" s="173"/>
      <c r="AD180" s="173"/>
      <c r="AE180" s="173"/>
      <c r="AF180" s="173"/>
      <c r="AG180" s="173"/>
      <c r="AH180" s="173"/>
    </row>
    <row r="181" spans="1:34" s="1" customFormat="1" x14ac:dyDescent="0.3">
      <c r="A181" s="52" t="s">
        <v>846</v>
      </c>
      <c r="B181" s="50"/>
      <c r="C181" s="9"/>
      <c r="D181" s="173"/>
      <c r="E181" s="174"/>
      <c r="F181" s="638"/>
      <c r="G181" s="638"/>
      <c r="H181" s="638"/>
      <c r="I181" s="174"/>
      <c r="J181" s="174"/>
      <c r="K181" s="174"/>
      <c r="L181" s="173"/>
      <c r="M181" s="173"/>
      <c r="N181" s="175"/>
      <c r="O181" s="175"/>
      <c r="P181" s="175"/>
      <c r="Q181" s="175"/>
      <c r="R181" s="175"/>
      <c r="S181" s="175"/>
      <c r="T181" s="175"/>
      <c r="U181" s="175"/>
      <c r="V181" s="175"/>
      <c r="W181" s="175"/>
      <c r="X181" s="173"/>
      <c r="Y181" s="173"/>
      <c r="Z181" s="173"/>
      <c r="AA181" s="173"/>
      <c r="AB181" s="173"/>
      <c r="AC181" s="173"/>
      <c r="AD181" s="173"/>
      <c r="AE181" s="173"/>
      <c r="AF181" s="173"/>
      <c r="AG181" s="173"/>
      <c r="AH181" s="173"/>
    </row>
    <row r="182" spans="1:34" s="1" customFormat="1" x14ac:dyDescent="0.3">
      <c r="A182" s="52"/>
      <c r="B182" s="50" t="s">
        <v>549</v>
      </c>
      <c r="C182" s="9"/>
      <c r="D182" s="173"/>
      <c r="E182" s="174"/>
      <c r="F182" s="638"/>
      <c r="G182" s="638"/>
      <c r="H182" s="638"/>
      <c r="I182" s="174"/>
      <c r="J182" s="174"/>
      <c r="K182" s="174"/>
      <c r="L182" s="173"/>
      <c r="M182" s="173"/>
      <c r="N182" s="175"/>
      <c r="O182" s="175"/>
      <c r="P182" s="175"/>
      <c r="Q182" s="175"/>
      <c r="R182" s="175"/>
      <c r="S182" s="175"/>
      <c r="T182" s="175"/>
      <c r="U182" s="175"/>
      <c r="V182" s="175"/>
      <c r="W182" s="175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</row>
    <row r="183" spans="1:34" s="1" customFormat="1" x14ac:dyDescent="0.3">
      <c r="A183" s="9">
        <v>870</v>
      </c>
      <c r="B183" s="9" t="s">
        <v>847</v>
      </c>
      <c r="C183" s="9"/>
      <c r="D183" s="173"/>
      <c r="E183" s="174"/>
      <c r="F183" s="638"/>
      <c r="G183" s="638"/>
      <c r="H183" s="638"/>
      <c r="I183" s="174"/>
      <c r="J183" s="174"/>
      <c r="K183" s="174"/>
      <c r="L183" s="173"/>
      <c r="M183" s="173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3"/>
      <c r="Y183" s="173"/>
      <c r="Z183" s="173"/>
      <c r="AA183" s="173"/>
      <c r="AB183" s="173"/>
      <c r="AC183" s="173"/>
      <c r="AD183" s="173"/>
      <c r="AE183" s="173"/>
      <c r="AF183" s="173"/>
      <c r="AG183" s="173"/>
      <c r="AH183" s="173"/>
    </row>
    <row r="184" spans="1:34" s="1" customFormat="1" x14ac:dyDescent="0.3">
      <c r="A184" s="9">
        <v>871</v>
      </c>
      <c r="B184" s="9" t="s">
        <v>644</v>
      </c>
      <c r="C184" s="9"/>
      <c r="D184" s="173"/>
      <c r="E184" s="174"/>
      <c r="F184" s="638"/>
      <c r="G184" s="638"/>
      <c r="H184" s="638"/>
      <c r="I184" s="174"/>
      <c r="J184" s="174"/>
      <c r="K184" s="174"/>
      <c r="L184" s="173"/>
      <c r="M184" s="173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3"/>
      <c r="Y184" s="173"/>
      <c r="Z184" s="173"/>
      <c r="AA184" s="173"/>
      <c r="AB184" s="173"/>
      <c r="AC184" s="173"/>
      <c r="AD184" s="173"/>
      <c r="AE184" s="173"/>
      <c r="AF184" s="173"/>
      <c r="AG184" s="173"/>
      <c r="AH184" s="173"/>
    </row>
    <row r="185" spans="1:34" x14ac:dyDescent="0.3">
      <c r="A185" s="9">
        <v>872</v>
      </c>
      <c r="B185" s="31" t="s">
        <v>848</v>
      </c>
      <c r="C185" s="31"/>
      <c r="D185" s="173"/>
      <c r="E185" s="174"/>
      <c r="F185" s="638"/>
      <c r="G185" s="638"/>
      <c r="H185" s="638"/>
      <c r="I185" s="174"/>
      <c r="J185" s="174"/>
      <c r="K185" s="174"/>
      <c r="L185" s="173"/>
      <c r="M185" s="173"/>
      <c r="N185" s="175"/>
      <c r="O185" s="175"/>
      <c r="P185" s="175"/>
      <c r="Q185" s="175"/>
      <c r="R185" s="175"/>
      <c r="S185" s="175"/>
      <c r="T185" s="175"/>
      <c r="U185" s="175"/>
      <c r="V185" s="175"/>
      <c r="W185" s="175"/>
      <c r="X185" s="173"/>
      <c r="Y185" s="173"/>
      <c r="Z185" s="173"/>
      <c r="AA185" s="173"/>
      <c r="AB185" s="173"/>
      <c r="AC185" s="173"/>
      <c r="AD185" s="173"/>
      <c r="AE185" s="173"/>
      <c r="AF185" s="173"/>
      <c r="AG185" s="173"/>
      <c r="AH185" s="173"/>
    </row>
    <row r="186" spans="1:34" x14ac:dyDescent="0.3">
      <c r="A186" s="9">
        <v>873</v>
      </c>
      <c r="B186" s="31" t="s">
        <v>849</v>
      </c>
      <c r="C186" s="31"/>
      <c r="D186" s="173"/>
      <c r="E186" s="174"/>
      <c r="F186" s="638"/>
      <c r="G186" s="638"/>
      <c r="H186" s="638"/>
      <c r="I186" s="174"/>
      <c r="J186" s="174"/>
      <c r="K186" s="174"/>
      <c r="L186" s="173"/>
      <c r="M186" s="173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3"/>
      <c r="Y186" s="173"/>
      <c r="Z186" s="173"/>
      <c r="AA186" s="173"/>
      <c r="AB186" s="173"/>
      <c r="AC186" s="173"/>
      <c r="AD186" s="173"/>
      <c r="AE186" s="173"/>
      <c r="AF186" s="173"/>
      <c r="AG186" s="173"/>
      <c r="AH186" s="173"/>
    </row>
    <row r="187" spans="1:34" x14ac:dyDescent="0.3">
      <c r="A187" s="9">
        <v>874</v>
      </c>
      <c r="B187" s="31" t="s">
        <v>850</v>
      </c>
      <c r="C187" s="31"/>
      <c r="D187" s="173"/>
      <c r="E187" s="174"/>
      <c r="F187" s="638"/>
      <c r="G187" s="638"/>
      <c r="H187" s="638"/>
      <c r="I187" s="174"/>
      <c r="J187" s="174"/>
      <c r="K187" s="174"/>
      <c r="L187" s="173"/>
      <c r="M187" s="173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3"/>
      <c r="Y187" s="173"/>
      <c r="Z187" s="173"/>
      <c r="AA187" s="173"/>
      <c r="AB187" s="173"/>
      <c r="AC187" s="173"/>
      <c r="AD187" s="173"/>
      <c r="AE187" s="173"/>
      <c r="AF187" s="173"/>
      <c r="AG187" s="173"/>
      <c r="AH187" s="173"/>
    </row>
    <row r="188" spans="1:34" x14ac:dyDescent="0.3">
      <c r="A188" s="9">
        <v>875</v>
      </c>
      <c r="B188" s="31" t="s">
        <v>851</v>
      </c>
      <c r="C188" s="31"/>
      <c r="D188" s="173"/>
      <c r="E188" s="174"/>
      <c r="F188" s="638"/>
      <c r="G188" s="638"/>
      <c r="H188" s="638"/>
      <c r="I188" s="174"/>
      <c r="J188" s="174"/>
      <c r="K188" s="174"/>
      <c r="L188" s="173"/>
      <c r="M188" s="173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3"/>
      <c r="Y188" s="173"/>
      <c r="Z188" s="173"/>
      <c r="AA188" s="173"/>
      <c r="AB188" s="173"/>
      <c r="AC188" s="173"/>
      <c r="AD188" s="173"/>
      <c r="AE188" s="173"/>
      <c r="AF188" s="173"/>
      <c r="AG188" s="173"/>
      <c r="AH188" s="173"/>
    </row>
    <row r="189" spans="1:34" x14ac:dyDescent="0.3">
      <c r="A189" s="9">
        <v>876</v>
      </c>
      <c r="B189" s="31" t="s">
        <v>852</v>
      </c>
      <c r="C189" s="31"/>
      <c r="D189" s="173"/>
      <c r="E189" s="174"/>
      <c r="F189" s="638"/>
      <c r="G189" s="638"/>
      <c r="H189" s="638"/>
      <c r="I189" s="174"/>
      <c r="J189" s="174"/>
      <c r="K189" s="174"/>
      <c r="L189" s="173"/>
      <c r="M189" s="173"/>
      <c r="N189" s="175"/>
      <c r="O189" s="175"/>
      <c r="P189" s="175"/>
      <c r="Q189" s="175"/>
      <c r="R189" s="175"/>
      <c r="S189" s="175"/>
      <c r="T189" s="175"/>
      <c r="U189" s="175"/>
      <c r="V189" s="175"/>
      <c r="W189" s="175"/>
      <c r="X189" s="173"/>
      <c r="Y189" s="173"/>
      <c r="Z189" s="173"/>
      <c r="AA189" s="173"/>
      <c r="AB189" s="173"/>
      <c r="AC189" s="173"/>
      <c r="AD189" s="173"/>
      <c r="AE189" s="173"/>
      <c r="AF189" s="173"/>
      <c r="AG189" s="173"/>
      <c r="AH189" s="173"/>
    </row>
    <row r="190" spans="1:34" x14ac:dyDescent="0.3">
      <c r="A190" s="9">
        <v>877</v>
      </c>
      <c r="B190" s="31" t="s">
        <v>853</v>
      </c>
      <c r="C190" s="31"/>
      <c r="D190" s="173"/>
      <c r="E190" s="174"/>
      <c r="F190" s="638"/>
      <c r="G190" s="638"/>
      <c r="H190" s="638"/>
      <c r="I190" s="174"/>
      <c r="J190" s="174"/>
      <c r="K190" s="174"/>
      <c r="L190" s="173"/>
      <c r="M190" s="173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3"/>
      <c r="Y190" s="173"/>
      <c r="Z190" s="173"/>
      <c r="AA190" s="173"/>
      <c r="AB190" s="173"/>
      <c r="AC190" s="173"/>
      <c r="AD190" s="173"/>
      <c r="AE190" s="173"/>
      <c r="AF190" s="173"/>
      <c r="AG190" s="173"/>
      <c r="AH190" s="173"/>
    </row>
    <row r="191" spans="1:34" x14ac:dyDescent="0.3">
      <c r="A191" s="9">
        <v>878</v>
      </c>
      <c r="B191" s="31" t="s">
        <v>854</v>
      </c>
      <c r="C191" s="31"/>
      <c r="D191" s="173"/>
      <c r="E191" s="174"/>
      <c r="F191" s="638"/>
      <c r="G191" s="638"/>
      <c r="H191" s="638"/>
      <c r="I191" s="174"/>
      <c r="J191" s="174"/>
      <c r="K191" s="174"/>
      <c r="L191" s="173"/>
      <c r="M191" s="173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3"/>
      <c r="Y191" s="173"/>
      <c r="Z191" s="173"/>
      <c r="AA191" s="173"/>
      <c r="AB191" s="173"/>
      <c r="AC191" s="173"/>
      <c r="AD191" s="173"/>
      <c r="AE191" s="173"/>
      <c r="AF191" s="173"/>
      <c r="AG191" s="173"/>
      <c r="AH191" s="173"/>
    </row>
    <row r="192" spans="1:34" x14ac:dyDescent="0.3">
      <c r="A192" s="9">
        <v>879</v>
      </c>
      <c r="B192" s="31" t="s">
        <v>855</v>
      </c>
      <c r="C192" s="31"/>
      <c r="D192" s="173"/>
      <c r="E192" s="174"/>
      <c r="F192" s="638"/>
      <c r="G192" s="638"/>
      <c r="H192" s="638"/>
      <c r="I192" s="174"/>
      <c r="J192" s="174"/>
      <c r="K192" s="174"/>
      <c r="L192" s="173"/>
      <c r="M192" s="173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3"/>
      <c r="Y192" s="173"/>
      <c r="Z192" s="173"/>
      <c r="AA192" s="173"/>
      <c r="AB192" s="173"/>
      <c r="AC192" s="173"/>
      <c r="AD192" s="173"/>
      <c r="AE192" s="173"/>
      <c r="AF192" s="173"/>
      <c r="AG192" s="173"/>
      <c r="AH192" s="173"/>
    </row>
    <row r="193" spans="1:34" x14ac:dyDescent="0.3">
      <c r="A193" s="9">
        <v>880</v>
      </c>
      <c r="B193" s="31" t="s">
        <v>856</v>
      </c>
      <c r="C193" s="31"/>
      <c r="D193" s="173"/>
      <c r="E193" s="174"/>
      <c r="F193" s="638"/>
      <c r="G193" s="638"/>
      <c r="H193" s="638"/>
      <c r="I193" s="174"/>
      <c r="J193" s="174"/>
      <c r="K193" s="174"/>
      <c r="L193" s="173"/>
      <c r="M193" s="173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3"/>
      <c r="Y193" s="173"/>
      <c r="Z193" s="173"/>
      <c r="AA193" s="173"/>
      <c r="AB193" s="173"/>
      <c r="AC193" s="173"/>
      <c r="AD193" s="173"/>
      <c r="AE193" s="173"/>
      <c r="AF193" s="173"/>
      <c r="AG193" s="173"/>
      <c r="AH193" s="173"/>
    </row>
    <row r="194" spans="1:34" x14ac:dyDescent="0.3">
      <c r="A194" s="9"/>
      <c r="B194" s="45" t="s">
        <v>524</v>
      </c>
      <c r="C194" s="31"/>
      <c r="D194" s="173"/>
      <c r="E194" s="174"/>
      <c r="F194" s="638"/>
      <c r="G194" s="638"/>
      <c r="H194" s="638"/>
      <c r="I194" s="174"/>
      <c r="J194" s="174"/>
      <c r="K194" s="174"/>
      <c r="L194" s="173"/>
      <c r="M194" s="173"/>
      <c r="N194" s="175"/>
      <c r="O194" s="175"/>
      <c r="P194" s="175"/>
      <c r="Q194" s="175"/>
      <c r="R194" s="175"/>
      <c r="S194" s="175"/>
      <c r="T194" s="175"/>
      <c r="U194" s="175"/>
      <c r="V194" s="175"/>
      <c r="W194" s="175"/>
      <c r="X194" s="173"/>
      <c r="Y194" s="173"/>
      <c r="Z194" s="173"/>
      <c r="AA194" s="173"/>
      <c r="AB194" s="173"/>
      <c r="AC194" s="173"/>
      <c r="AD194" s="173"/>
      <c r="AE194" s="173"/>
      <c r="AF194" s="173"/>
      <c r="AG194" s="173"/>
      <c r="AH194" s="173"/>
    </row>
    <row r="195" spans="1:34" x14ac:dyDescent="0.3">
      <c r="A195" s="9"/>
      <c r="B195" s="31"/>
      <c r="C195" s="31"/>
      <c r="D195" s="173"/>
      <c r="E195" s="174"/>
      <c r="F195" s="638"/>
      <c r="G195" s="638"/>
      <c r="H195" s="638"/>
      <c r="I195" s="174"/>
      <c r="J195" s="174"/>
      <c r="K195" s="174"/>
      <c r="L195" s="173"/>
      <c r="M195" s="173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3"/>
      <c r="Y195" s="173"/>
      <c r="Z195" s="173"/>
      <c r="AA195" s="173"/>
      <c r="AB195" s="173"/>
      <c r="AC195" s="173"/>
      <c r="AD195" s="173"/>
      <c r="AE195" s="173"/>
      <c r="AF195" s="173"/>
      <c r="AG195" s="173"/>
      <c r="AH195" s="173"/>
    </row>
    <row r="196" spans="1:34" x14ac:dyDescent="0.3">
      <c r="A196" s="9"/>
      <c r="B196" s="56" t="s">
        <v>565</v>
      </c>
      <c r="C196" s="31"/>
      <c r="D196" s="173"/>
      <c r="E196" s="174"/>
      <c r="F196" s="638"/>
      <c r="G196" s="638"/>
      <c r="H196" s="638"/>
      <c r="I196" s="174"/>
      <c r="J196" s="174"/>
      <c r="K196" s="174"/>
      <c r="L196" s="173"/>
      <c r="M196" s="173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3"/>
      <c r="Y196" s="173"/>
      <c r="Z196" s="173"/>
      <c r="AA196" s="173"/>
      <c r="AB196" s="173"/>
      <c r="AC196" s="173"/>
      <c r="AD196" s="173"/>
      <c r="AE196" s="173"/>
      <c r="AF196" s="173"/>
      <c r="AG196" s="173"/>
      <c r="AH196" s="173"/>
    </row>
    <row r="197" spans="1:34" x14ac:dyDescent="0.3">
      <c r="A197" s="9">
        <v>885</v>
      </c>
      <c r="B197" s="31" t="s">
        <v>847</v>
      </c>
      <c r="C197" s="31"/>
      <c r="D197" s="173"/>
      <c r="E197" s="174"/>
      <c r="F197" s="638"/>
      <c r="G197" s="638"/>
      <c r="H197" s="638"/>
      <c r="I197" s="174"/>
      <c r="J197" s="174"/>
      <c r="K197" s="174"/>
      <c r="L197" s="173"/>
      <c r="M197" s="173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3"/>
      <c r="Y197" s="173"/>
      <c r="Z197" s="173"/>
      <c r="AA197" s="173"/>
      <c r="AB197" s="173"/>
      <c r="AC197" s="173"/>
      <c r="AD197" s="173"/>
      <c r="AE197" s="173"/>
      <c r="AF197" s="173"/>
      <c r="AG197" s="173"/>
      <c r="AH197" s="173"/>
    </row>
    <row r="198" spans="1:34" x14ac:dyDescent="0.3">
      <c r="A198" s="9">
        <v>886</v>
      </c>
      <c r="B198" s="31" t="s">
        <v>857</v>
      </c>
      <c r="C198" s="31"/>
      <c r="D198" s="173"/>
      <c r="E198" s="174"/>
      <c r="F198" s="638"/>
      <c r="G198" s="638"/>
      <c r="H198" s="638"/>
      <c r="I198" s="174"/>
      <c r="J198" s="174"/>
      <c r="K198" s="174"/>
      <c r="L198" s="173"/>
      <c r="M198" s="173"/>
      <c r="N198" s="175"/>
      <c r="O198" s="175"/>
      <c r="P198" s="175"/>
      <c r="Q198" s="175"/>
      <c r="R198" s="175"/>
      <c r="S198" s="175"/>
      <c r="T198" s="175"/>
      <c r="U198" s="175"/>
      <c r="V198" s="175"/>
      <c r="W198" s="175"/>
      <c r="X198" s="173"/>
      <c r="Y198" s="173"/>
      <c r="Z198" s="173"/>
      <c r="AA198" s="173"/>
      <c r="AB198" s="173"/>
      <c r="AC198" s="173"/>
      <c r="AD198" s="173"/>
      <c r="AE198" s="173"/>
      <c r="AF198" s="173"/>
      <c r="AG198" s="173"/>
      <c r="AH198" s="173"/>
    </row>
    <row r="199" spans="1:34" x14ac:dyDescent="0.3">
      <c r="A199" s="9">
        <v>887</v>
      </c>
      <c r="B199" s="31" t="s">
        <v>858</v>
      </c>
      <c r="C199" s="31"/>
      <c r="D199" s="173"/>
      <c r="E199" s="174"/>
      <c r="F199" s="638"/>
      <c r="G199" s="638"/>
      <c r="H199" s="638"/>
      <c r="I199" s="174"/>
      <c r="J199" s="174"/>
      <c r="K199" s="174"/>
      <c r="L199" s="173"/>
      <c r="M199" s="173"/>
      <c r="N199" s="175"/>
      <c r="O199" s="175"/>
      <c r="P199" s="175"/>
      <c r="Q199" s="175"/>
      <c r="R199" s="175"/>
      <c r="S199" s="175"/>
      <c r="T199" s="175"/>
      <c r="U199" s="175"/>
      <c r="V199" s="175"/>
      <c r="W199" s="175"/>
      <c r="X199" s="173"/>
      <c r="Y199" s="173"/>
      <c r="Z199" s="173"/>
      <c r="AA199" s="173"/>
      <c r="AB199" s="173"/>
      <c r="AC199" s="173"/>
      <c r="AD199" s="173"/>
      <c r="AE199" s="173"/>
      <c r="AF199" s="173"/>
      <c r="AG199" s="173"/>
      <c r="AH199" s="173"/>
    </row>
    <row r="200" spans="1:34" x14ac:dyDescent="0.3">
      <c r="A200" s="9">
        <v>888</v>
      </c>
      <c r="B200" s="31" t="s">
        <v>859</v>
      </c>
      <c r="C200" s="31"/>
      <c r="D200" s="173"/>
      <c r="E200" s="174"/>
      <c r="F200" s="638"/>
      <c r="G200" s="638"/>
      <c r="H200" s="638"/>
      <c r="I200" s="174"/>
      <c r="J200" s="174"/>
      <c r="K200" s="174"/>
      <c r="L200" s="173"/>
      <c r="M200" s="173"/>
      <c r="N200" s="175"/>
      <c r="O200" s="175"/>
      <c r="P200" s="175"/>
      <c r="Q200" s="175"/>
      <c r="R200" s="175"/>
      <c r="S200" s="175"/>
      <c r="T200" s="175"/>
      <c r="U200" s="175"/>
      <c r="V200" s="175"/>
      <c r="W200" s="175"/>
      <c r="X200" s="173"/>
      <c r="Y200" s="173"/>
      <c r="Z200" s="173"/>
      <c r="AA200" s="173"/>
      <c r="AB200" s="173"/>
      <c r="AC200" s="173"/>
      <c r="AD200" s="173"/>
      <c r="AE200" s="173"/>
      <c r="AF200" s="173"/>
      <c r="AG200" s="173"/>
      <c r="AH200" s="173"/>
    </row>
    <row r="201" spans="1:34" x14ac:dyDescent="0.3">
      <c r="A201" s="9">
        <v>889</v>
      </c>
      <c r="B201" s="31" t="s">
        <v>851</v>
      </c>
      <c r="C201" s="31"/>
      <c r="D201" s="173"/>
      <c r="E201" s="174"/>
      <c r="F201" s="638"/>
      <c r="G201" s="638"/>
      <c r="H201" s="638"/>
      <c r="I201" s="174"/>
      <c r="J201" s="174"/>
      <c r="K201" s="174"/>
      <c r="L201" s="173"/>
      <c r="M201" s="173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3"/>
      <c r="Y201" s="173"/>
      <c r="Z201" s="173"/>
      <c r="AA201" s="173"/>
      <c r="AB201" s="173"/>
      <c r="AC201" s="173"/>
      <c r="AD201" s="173"/>
      <c r="AE201" s="173"/>
      <c r="AF201" s="173"/>
      <c r="AG201" s="173"/>
      <c r="AH201" s="173"/>
    </row>
    <row r="202" spans="1:34" x14ac:dyDescent="0.3">
      <c r="A202" s="9">
        <v>890</v>
      </c>
      <c r="B202" s="31" t="s">
        <v>852</v>
      </c>
      <c r="C202" s="31"/>
      <c r="D202" s="173"/>
      <c r="E202" s="174"/>
      <c r="F202" s="638"/>
      <c r="G202" s="638"/>
      <c r="H202" s="638"/>
      <c r="I202" s="174"/>
      <c r="J202" s="174"/>
      <c r="K202" s="174"/>
      <c r="L202" s="173"/>
      <c r="M202" s="173"/>
      <c r="N202" s="175"/>
      <c r="O202" s="175"/>
      <c r="P202" s="175"/>
      <c r="Q202" s="175"/>
      <c r="R202" s="175"/>
      <c r="S202" s="175"/>
      <c r="T202" s="175"/>
      <c r="U202" s="175"/>
      <c r="V202" s="175"/>
      <c r="W202" s="175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</row>
    <row r="203" spans="1:34" x14ac:dyDescent="0.3">
      <c r="A203" s="9">
        <v>891</v>
      </c>
      <c r="B203" s="31" t="s">
        <v>853</v>
      </c>
      <c r="C203" s="31"/>
      <c r="D203" s="173"/>
      <c r="E203" s="174"/>
      <c r="F203" s="638"/>
      <c r="G203" s="638"/>
      <c r="H203" s="638"/>
      <c r="I203" s="174"/>
      <c r="J203" s="174"/>
      <c r="K203" s="174"/>
      <c r="L203" s="173"/>
      <c r="M203" s="173"/>
      <c r="N203" s="175"/>
      <c r="O203" s="175"/>
      <c r="P203" s="175"/>
      <c r="Q203" s="175"/>
      <c r="R203" s="175"/>
      <c r="S203" s="175"/>
      <c r="T203" s="175"/>
      <c r="U203" s="175"/>
      <c r="V203" s="175"/>
      <c r="W203" s="175"/>
      <c r="X203" s="173"/>
      <c r="Y203" s="173"/>
      <c r="Z203" s="173"/>
      <c r="AA203" s="173"/>
      <c r="AB203" s="173"/>
      <c r="AC203" s="173"/>
      <c r="AD203" s="173"/>
      <c r="AE203" s="173"/>
      <c r="AF203" s="173"/>
      <c r="AG203" s="173"/>
      <c r="AH203" s="173"/>
    </row>
    <row r="204" spans="1:34" x14ac:dyDescent="0.3">
      <c r="A204" s="9">
        <v>892</v>
      </c>
      <c r="B204" s="31" t="s">
        <v>456</v>
      </c>
      <c r="C204" s="31"/>
      <c r="D204" s="173"/>
      <c r="E204" s="174"/>
      <c r="F204" s="638"/>
      <c r="G204" s="638"/>
      <c r="H204" s="638"/>
      <c r="I204" s="174"/>
      <c r="J204" s="174"/>
      <c r="K204" s="174"/>
      <c r="L204" s="173"/>
      <c r="M204" s="173"/>
      <c r="N204" s="175"/>
      <c r="O204" s="175"/>
      <c r="P204" s="175"/>
      <c r="Q204" s="175"/>
      <c r="R204" s="175"/>
      <c r="S204" s="175"/>
      <c r="T204" s="175"/>
      <c r="U204" s="175"/>
      <c r="V204" s="175"/>
      <c r="W204" s="175"/>
      <c r="X204" s="173"/>
      <c r="Y204" s="173"/>
      <c r="Z204" s="173"/>
      <c r="AA204" s="173"/>
      <c r="AB204" s="173"/>
      <c r="AC204" s="173"/>
      <c r="AD204" s="173"/>
      <c r="AE204" s="173"/>
      <c r="AF204" s="173"/>
      <c r="AG204" s="173"/>
      <c r="AH204" s="173"/>
    </row>
    <row r="205" spans="1:34" x14ac:dyDescent="0.3">
      <c r="A205" s="9">
        <v>893</v>
      </c>
      <c r="B205" s="31" t="s">
        <v>854</v>
      </c>
      <c r="C205" s="31"/>
      <c r="D205" s="173"/>
      <c r="E205" s="174"/>
      <c r="F205" s="638"/>
      <c r="G205" s="638"/>
      <c r="H205" s="638"/>
      <c r="I205" s="174"/>
      <c r="J205" s="174"/>
      <c r="K205" s="174"/>
      <c r="L205" s="173"/>
      <c r="M205" s="173"/>
      <c r="N205" s="175"/>
      <c r="O205" s="175"/>
      <c r="P205" s="175"/>
      <c r="Q205" s="175"/>
      <c r="R205" s="175"/>
      <c r="S205" s="175"/>
      <c r="T205" s="175"/>
      <c r="U205" s="175"/>
      <c r="V205" s="175"/>
      <c r="W205" s="175"/>
      <c r="X205" s="173"/>
      <c r="Y205" s="173"/>
      <c r="Z205" s="173"/>
      <c r="AA205" s="173"/>
      <c r="AB205" s="173"/>
      <c r="AC205" s="173"/>
      <c r="AD205" s="173"/>
      <c r="AE205" s="173"/>
      <c r="AF205" s="173"/>
      <c r="AG205" s="173"/>
      <c r="AH205" s="173"/>
    </row>
    <row r="206" spans="1:34" x14ac:dyDescent="0.3">
      <c r="A206" s="9">
        <v>894</v>
      </c>
      <c r="B206" s="31" t="s">
        <v>860</v>
      </c>
      <c r="C206" s="31"/>
      <c r="D206" s="173"/>
      <c r="E206" s="174"/>
      <c r="F206" s="638"/>
      <c r="G206" s="638"/>
      <c r="H206" s="638"/>
      <c r="I206" s="174"/>
      <c r="J206" s="174"/>
      <c r="K206" s="174"/>
      <c r="L206" s="173"/>
      <c r="M206" s="173"/>
      <c r="N206" s="175"/>
      <c r="O206" s="175"/>
      <c r="P206" s="175"/>
      <c r="Q206" s="175"/>
      <c r="R206" s="175"/>
      <c r="S206" s="175"/>
      <c r="T206" s="175"/>
      <c r="U206" s="175"/>
      <c r="V206" s="175"/>
      <c r="W206" s="175"/>
      <c r="X206" s="173"/>
      <c r="Y206" s="173"/>
      <c r="Z206" s="173"/>
      <c r="AA206" s="173"/>
      <c r="AB206" s="173"/>
      <c r="AC206" s="173"/>
      <c r="AD206" s="173"/>
      <c r="AE206" s="173"/>
      <c r="AF206" s="173"/>
      <c r="AG206" s="173"/>
      <c r="AH206" s="173"/>
    </row>
    <row r="207" spans="1:34" x14ac:dyDescent="0.3">
      <c r="A207" s="9"/>
      <c r="B207" s="45" t="s">
        <v>524</v>
      </c>
      <c r="C207" s="31"/>
      <c r="D207" s="173"/>
      <c r="E207" s="174"/>
      <c r="F207" s="638"/>
      <c r="G207" s="638"/>
      <c r="H207" s="638"/>
      <c r="I207" s="174"/>
      <c r="J207" s="174"/>
      <c r="K207" s="174"/>
      <c r="L207" s="173"/>
      <c r="M207" s="173"/>
      <c r="N207" s="175"/>
      <c r="O207" s="175"/>
      <c r="P207" s="175"/>
      <c r="Q207" s="175"/>
      <c r="R207" s="175"/>
      <c r="S207" s="175"/>
      <c r="T207" s="175"/>
      <c r="U207" s="175"/>
      <c r="V207" s="175"/>
      <c r="W207" s="175"/>
      <c r="X207" s="173"/>
      <c r="Y207" s="173"/>
      <c r="Z207" s="173"/>
      <c r="AA207" s="173"/>
      <c r="AB207" s="173"/>
      <c r="AC207" s="173"/>
      <c r="AD207" s="173"/>
      <c r="AE207" s="173"/>
      <c r="AF207" s="173"/>
      <c r="AG207" s="173"/>
      <c r="AH207" s="173"/>
    </row>
    <row r="208" spans="1:34" x14ac:dyDescent="0.3">
      <c r="A208" s="9"/>
      <c r="B208" s="31"/>
      <c r="C208" s="31"/>
      <c r="D208" s="173"/>
      <c r="E208" s="174"/>
      <c r="F208" s="638"/>
      <c r="G208" s="638"/>
      <c r="H208" s="638"/>
      <c r="I208" s="174"/>
      <c r="J208" s="174"/>
      <c r="K208" s="174"/>
      <c r="L208" s="173"/>
      <c r="M208" s="173"/>
      <c r="N208" s="175"/>
      <c r="O208" s="175"/>
      <c r="P208" s="175"/>
      <c r="Q208" s="175"/>
      <c r="R208" s="175"/>
      <c r="S208" s="175"/>
      <c r="T208" s="175"/>
      <c r="U208" s="175"/>
      <c r="V208" s="175"/>
      <c r="W208" s="175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</row>
    <row r="209" spans="1:40" x14ac:dyDescent="0.3">
      <c r="A209" s="9"/>
      <c r="B209" s="57" t="s">
        <v>543</v>
      </c>
      <c r="C209" s="31"/>
      <c r="D209" s="173"/>
      <c r="E209" s="174"/>
      <c r="F209" s="638"/>
      <c r="G209" s="638"/>
      <c r="H209" s="638"/>
      <c r="I209" s="174"/>
      <c r="J209" s="174"/>
      <c r="K209" s="174"/>
      <c r="L209" s="173"/>
      <c r="M209" s="173"/>
      <c r="N209" s="175"/>
      <c r="O209" s="175"/>
      <c r="P209" s="175"/>
      <c r="Q209" s="175"/>
      <c r="R209" s="175"/>
      <c r="S209" s="175"/>
      <c r="T209" s="175"/>
      <c r="U209" s="175"/>
      <c r="V209" s="175"/>
      <c r="W209" s="175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</row>
    <row r="210" spans="1:40" x14ac:dyDescent="0.3">
      <c r="A210" s="9"/>
      <c r="B210" s="31"/>
      <c r="C210" s="31"/>
      <c r="D210" s="173"/>
      <c r="E210" s="174"/>
      <c r="F210" s="638"/>
      <c r="G210" s="638"/>
      <c r="H210" s="638"/>
      <c r="I210" s="174"/>
      <c r="J210" s="174"/>
      <c r="K210" s="174"/>
      <c r="L210" s="173"/>
      <c r="M210" s="173"/>
      <c r="N210" s="175"/>
      <c r="O210" s="175"/>
      <c r="P210" s="175"/>
      <c r="Q210" s="175"/>
      <c r="R210" s="175"/>
      <c r="S210" s="175"/>
      <c r="T210" s="175"/>
      <c r="U210" s="175"/>
      <c r="V210" s="175"/>
      <c r="W210" s="175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</row>
    <row r="211" spans="1:40" x14ac:dyDescent="0.3">
      <c r="A211" s="9"/>
      <c r="B211" s="57" t="s">
        <v>862</v>
      </c>
      <c r="C211" s="31"/>
      <c r="D211" s="173"/>
      <c r="E211" s="174"/>
      <c r="F211" s="638"/>
      <c r="G211" s="638"/>
      <c r="H211" s="638"/>
      <c r="I211" s="174"/>
      <c r="J211" s="174"/>
      <c r="K211" s="174"/>
      <c r="L211" s="173"/>
      <c r="M211" s="173"/>
      <c r="N211" s="175"/>
      <c r="O211" s="175"/>
      <c r="P211" s="175"/>
      <c r="Q211" s="175"/>
      <c r="R211" s="175"/>
      <c r="S211" s="175"/>
      <c r="T211" s="175"/>
      <c r="U211" s="175"/>
      <c r="V211" s="175"/>
      <c r="W211" s="175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</row>
    <row r="212" spans="1:40" x14ac:dyDescent="0.3">
      <c r="A212" s="9"/>
      <c r="B212" s="31"/>
      <c r="C212" s="31"/>
      <c r="D212" s="173"/>
      <c r="E212" s="174"/>
      <c r="F212" s="638"/>
      <c r="G212" s="638"/>
      <c r="H212" s="638"/>
      <c r="I212" s="174"/>
      <c r="J212" s="174"/>
      <c r="K212" s="174"/>
      <c r="L212" s="173"/>
      <c r="M212" s="173"/>
      <c r="N212" s="175"/>
      <c r="O212" s="175"/>
      <c r="P212" s="175"/>
      <c r="Q212" s="175"/>
      <c r="R212" s="175"/>
      <c r="S212" s="175"/>
      <c r="T212" s="175"/>
      <c r="U212" s="175"/>
      <c r="V212" s="175"/>
      <c r="W212" s="175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</row>
    <row r="213" spans="1:40" x14ac:dyDescent="0.3">
      <c r="A213" s="9"/>
      <c r="B213" s="31"/>
      <c r="C213" s="31"/>
      <c r="F213" s="638"/>
      <c r="G213" s="638"/>
      <c r="H213" s="638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</row>
    <row r="214" spans="1:40" x14ac:dyDescent="0.3">
      <c r="A214" s="479" t="s">
        <v>696</v>
      </c>
      <c r="B214" s="461"/>
      <c r="C214" s="461"/>
      <c r="D214" s="171"/>
      <c r="E214" s="481"/>
      <c r="F214" s="637"/>
      <c r="G214" s="637"/>
      <c r="H214" s="637"/>
      <c r="I214" s="481"/>
      <c r="J214" s="481"/>
      <c r="K214" s="481"/>
      <c r="L214" s="171"/>
      <c r="M214" s="171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171"/>
      <c r="Y214" s="171"/>
      <c r="Z214" s="171"/>
      <c r="AA214" s="171"/>
      <c r="AB214" s="171"/>
      <c r="AC214" s="171"/>
      <c r="AD214" s="171"/>
      <c r="AE214" s="171"/>
      <c r="AF214" s="171"/>
      <c r="AG214" s="171"/>
      <c r="AH214" s="171"/>
      <c r="AI214" s="62"/>
      <c r="AJ214" s="62"/>
      <c r="AK214" s="62"/>
      <c r="AL214" s="62"/>
      <c r="AM214" s="62"/>
      <c r="AN214" s="62"/>
    </row>
    <row r="215" spans="1:40" x14ac:dyDescent="0.3">
      <c r="A215" s="461"/>
      <c r="B215" s="461"/>
      <c r="C215" s="461"/>
      <c r="D215" s="171"/>
      <c r="E215" s="481"/>
      <c r="F215" s="637"/>
      <c r="G215" s="637"/>
      <c r="H215" s="637"/>
      <c r="I215" s="481"/>
      <c r="J215" s="481"/>
      <c r="K215" s="481"/>
      <c r="L215" s="171"/>
      <c r="M215" s="171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171"/>
      <c r="Y215" s="171"/>
      <c r="Z215" s="171"/>
      <c r="AA215" s="171"/>
      <c r="AB215" s="171"/>
      <c r="AC215" s="171"/>
      <c r="AD215" s="171"/>
      <c r="AE215" s="171"/>
      <c r="AF215" s="171"/>
      <c r="AG215" s="171"/>
      <c r="AH215" s="171"/>
      <c r="AI215" s="62"/>
      <c r="AJ215" s="62"/>
      <c r="AK215" s="62"/>
      <c r="AL215" s="62"/>
      <c r="AM215" s="62"/>
      <c r="AN215" s="62"/>
    </row>
    <row r="216" spans="1:40" x14ac:dyDescent="0.3">
      <c r="A216" s="461"/>
      <c r="B216" s="464" t="s">
        <v>697</v>
      </c>
      <c r="C216" s="464"/>
      <c r="D216" s="171"/>
      <c r="E216" s="481"/>
      <c r="F216" s="637"/>
      <c r="G216" s="637"/>
      <c r="H216" s="637"/>
      <c r="I216" s="481"/>
      <c r="J216" s="481"/>
      <c r="K216" s="481"/>
      <c r="L216" s="171"/>
      <c r="M216" s="171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171"/>
      <c r="Y216" s="171"/>
      <c r="Z216" s="171"/>
      <c r="AA216" s="171"/>
      <c r="AB216" s="171"/>
      <c r="AC216" s="171"/>
      <c r="AD216" s="171"/>
      <c r="AE216" s="171"/>
      <c r="AF216" s="171"/>
      <c r="AG216" s="171"/>
      <c r="AH216" s="171"/>
      <c r="AI216" s="62"/>
      <c r="AJ216" s="62"/>
      <c r="AK216" s="62"/>
      <c r="AL216" s="62"/>
      <c r="AM216" s="62"/>
      <c r="AN216" s="62"/>
    </row>
    <row r="217" spans="1:40" x14ac:dyDescent="0.3">
      <c r="A217" s="461">
        <v>901</v>
      </c>
      <c r="B217" s="461" t="s">
        <v>699</v>
      </c>
      <c r="C217" s="461"/>
      <c r="D217" s="468">
        <f>'4a. OM less M&amp;S'!J217</f>
        <v>0</v>
      </c>
      <c r="E217" s="468"/>
      <c r="F217" s="630"/>
      <c r="G217" s="630"/>
      <c r="H217" s="630"/>
      <c r="I217" s="468"/>
      <c r="J217" s="468"/>
      <c r="K217" s="468"/>
      <c r="L217" s="468">
        <f>'4a. OM less M&amp;S'!K217</f>
        <v>0</v>
      </c>
      <c r="M217" s="468">
        <f>'4a. OM less M&amp;S'!L217</f>
        <v>0</v>
      </c>
      <c r="N217" s="468"/>
      <c r="O217" s="468"/>
      <c r="P217" s="468"/>
      <c r="Q217" s="468"/>
      <c r="R217" s="468"/>
      <c r="S217" s="468"/>
      <c r="T217" s="468"/>
      <c r="U217" s="468"/>
      <c r="V217" s="468"/>
      <c r="W217" s="468"/>
      <c r="X217" s="468">
        <f>'4a. OM less M&amp;S'!M217</f>
        <v>75745.701151270114</v>
      </c>
      <c r="Y217" s="468">
        <f>$X217*'3c. OM_AG-sfaf'!Y217/'3c. OM_AG-sfaf'!$X217</f>
        <v>0</v>
      </c>
      <c r="Z217" s="468">
        <f>$X217*'3c. OM_AG-sfaf'!Z217/'3c. OM_AG-sfaf'!$X217</f>
        <v>75745.701151270114</v>
      </c>
      <c r="AA217" s="468">
        <f>'4a. OM less M&amp;S'!N217</f>
        <v>44740.053686694089</v>
      </c>
      <c r="AB217" s="468">
        <f>'4a. OM less M&amp;S'!O217</f>
        <v>143581.95957496171</v>
      </c>
      <c r="AC217" s="468">
        <f>$AB217*'3c. OM_AG-sfaf'!AC217/'3c. OM_AG-sfaf'!$AB217</f>
        <v>143581.95957496171</v>
      </c>
      <c r="AD217" s="468">
        <f>$AB217*'3c. OM_AG-sfaf'!AD217/'3c. OM_AG-sfaf'!$AB217</f>
        <v>0</v>
      </c>
      <c r="AE217" s="468">
        <f>$AB217*'3c. OM_AG-sfaf'!AE217/'3c. OM_AG-sfaf'!$AB217</f>
        <v>0</v>
      </c>
      <c r="AF217" s="468">
        <f>'4a. OM less M&amp;S'!P217</f>
        <v>0</v>
      </c>
      <c r="AG217" s="468"/>
      <c r="AH217" s="468">
        <f>'4a. OM less M&amp;S'!Q217</f>
        <v>0</v>
      </c>
      <c r="AI217" s="62"/>
      <c r="AJ217" s="468">
        <f>'4a. OM less M&amp;S'!I217</f>
        <v>264067.71441292594</v>
      </c>
      <c r="AK217" s="62">
        <f t="shared" ref="AK217:AK230" si="40">SUM(F217:K217,L217,N217:W217,Y217:Z217,AA217:AA217,AC217:AE217,AG217:AH217)</f>
        <v>264067.71441292588</v>
      </c>
      <c r="AL217" s="62">
        <f t="shared" ref="AL217:AL222" si="41">AJ217-AK217</f>
        <v>0</v>
      </c>
      <c r="AM217" s="62"/>
      <c r="AN217" s="62"/>
    </row>
    <row r="218" spans="1:40" x14ac:dyDescent="0.3">
      <c r="A218" s="461">
        <v>902</v>
      </c>
      <c r="B218" s="461" t="s">
        <v>701</v>
      </c>
      <c r="C218" s="461"/>
      <c r="D218" s="468">
        <f>'4a. OM less M&amp;S'!J218</f>
        <v>0</v>
      </c>
      <c r="E218" s="468"/>
      <c r="F218" s="630"/>
      <c r="G218" s="630"/>
      <c r="H218" s="630"/>
      <c r="I218" s="468"/>
      <c r="J218" s="468"/>
      <c r="K218" s="468"/>
      <c r="L218" s="468">
        <f>'4a. OM less M&amp;S'!K218</f>
        <v>0</v>
      </c>
      <c r="M218" s="468">
        <f>'4a. OM less M&amp;S'!L218</f>
        <v>0</v>
      </c>
      <c r="N218" s="468"/>
      <c r="O218" s="468"/>
      <c r="P218" s="468"/>
      <c r="Q218" s="468"/>
      <c r="R218" s="468"/>
      <c r="S218" s="468"/>
      <c r="T218" s="468"/>
      <c r="U218" s="468"/>
      <c r="V218" s="468"/>
      <c r="W218" s="468"/>
      <c r="X218" s="468">
        <f>'4a. OM less M&amp;S'!M218</f>
        <v>8655098.9100000001</v>
      </c>
      <c r="Y218" s="468">
        <f>$X218*'3c. OM_AG-sfaf'!Y218/'3c. OM_AG-sfaf'!$X218</f>
        <v>0</v>
      </c>
      <c r="Z218" s="468">
        <f>$X218*'3c. OM_AG-sfaf'!Z218/'3c. OM_AG-sfaf'!$X218</f>
        <v>8655098.9100000001</v>
      </c>
      <c r="AA218" s="468">
        <f>'4a. OM less M&amp;S'!N218</f>
        <v>0</v>
      </c>
      <c r="AB218" s="468">
        <f>'4a. OM less M&amp;S'!O218</f>
        <v>0</v>
      </c>
      <c r="AC218" s="468"/>
      <c r="AD218" s="468"/>
      <c r="AE218" s="468"/>
      <c r="AF218" s="468">
        <f>'4a. OM less M&amp;S'!P218</f>
        <v>0</v>
      </c>
      <c r="AG218" s="468"/>
      <c r="AH218" s="468">
        <f>'4a. OM less M&amp;S'!Q218</f>
        <v>0</v>
      </c>
      <c r="AI218" s="62"/>
      <c r="AJ218" s="468">
        <f>'4a. OM less M&amp;S'!I218</f>
        <v>8655098.9100000001</v>
      </c>
      <c r="AK218" s="62">
        <f t="shared" si="40"/>
        <v>8655098.9100000001</v>
      </c>
      <c r="AL218" s="62">
        <f t="shared" si="41"/>
        <v>0</v>
      </c>
      <c r="AM218" s="62"/>
      <c r="AN218" s="62"/>
    </row>
    <row r="219" spans="1:40" x14ac:dyDescent="0.3">
      <c r="A219" s="461">
        <v>903</v>
      </c>
      <c r="B219" s="461" t="s">
        <v>703</v>
      </c>
      <c r="C219" s="461"/>
      <c r="D219" s="468">
        <f>'4a. OM less M&amp;S'!J219</f>
        <v>0</v>
      </c>
      <c r="E219" s="468"/>
      <c r="F219" s="630"/>
      <c r="G219" s="630"/>
      <c r="H219" s="630"/>
      <c r="I219" s="468"/>
      <c r="J219" s="468"/>
      <c r="K219" s="468"/>
      <c r="L219" s="468">
        <f>'4a. OM less M&amp;S'!K219</f>
        <v>0</v>
      </c>
      <c r="M219" s="468">
        <f>'4a. OM less M&amp;S'!L219</f>
        <v>0</v>
      </c>
      <c r="N219" s="468"/>
      <c r="O219" s="468"/>
      <c r="P219" s="468"/>
      <c r="Q219" s="468"/>
      <c r="R219" s="468"/>
      <c r="S219" s="468"/>
      <c r="T219" s="468"/>
      <c r="U219" s="468"/>
      <c r="V219" s="468"/>
      <c r="W219" s="468"/>
      <c r="X219" s="468">
        <f>'4a. OM less M&amp;S'!M219</f>
        <v>0</v>
      </c>
      <c r="Y219" s="468"/>
      <c r="Z219" s="468"/>
      <c r="AA219" s="468">
        <f>'4a. OM less M&amp;S'!N219</f>
        <v>5112231.9024246624</v>
      </c>
      <c r="AB219" s="468">
        <f>'4a. OM less M&amp;S'!O219</f>
        <v>16406423.637575336</v>
      </c>
      <c r="AC219" s="468">
        <f>$AB219*'3c. OM_AG-sfaf'!AC219/'3c. OM_AG-sfaf'!$AB219</f>
        <v>16406423.637575336</v>
      </c>
      <c r="AD219" s="468">
        <f>$AB219*'3c. OM_AG-sfaf'!AD219/'3c. OM_AG-sfaf'!$AB219</f>
        <v>0</v>
      </c>
      <c r="AE219" s="468">
        <f>$AB219*'3c. OM_AG-sfaf'!AE219/'3c. OM_AG-sfaf'!$AB219</f>
        <v>0</v>
      </c>
      <c r="AF219" s="468">
        <f>'4a. OM less M&amp;S'!P219</f>
        <v>0</v>
      </c>
      <c r="AG219" s="468"/>
      <c r="AH219" s="468">
        <f>'4a. OM less M&amp;S'!Q219</f>
        <v>0</v>
      </c>
      <c r="AI219" s="62"/>
      <c r="AJ219" s="468">
        <f>'4a. OM less M&amp;S'!I219</f>
        <v>21518655.539999999</v>
      </c>
      <c r="AK219" s="62">
        <f t="shared" si="40"/>
        <v>21518655.539999999</v>
      </c>
      <c r="AL219" s="62">
        <f t="shared" si="41"/>
        <v>0</v>
      </c>
      <c r="AM219" s="62"/>
      <c r="AN219" s="62"/>
    </row>
    <row r="220" spans="1:40" x14ac:dyDescent="0.3">
      <c r="A220" s="461">
        <v>904</v>
      </c>
      <c r="B220" s="461" t="s">
        <v>705</v>
      </c>
      <c r="C220" s="461"/>
      <c r="D220" s="468">
        <f>'4a. OM less M&amp;S'!J220</f>
        <v>0</v>
      </c>
      <c r="E220" s="468"/>
      <c r="F220" s="630"/>
      <c r="G220" s="630"/>
      <c r="H220" s="630"/>
      <c r="I220" s="468"/>
      <c r="J220" s="468"/>
      <c r="K220" s="468"/>
      <c r="L220" s="468">
        <f>'4a. OM less M&amp;S'!K220</f>
        <v>0</v>
      </c>
      <c r="M220" s="468">
        <f>'4a. OM less M&amp;S'!L220</f>
        <v>0</v>
      </c>
      <c r="N220" s="468"/>
      <c r="O220" s="468"/>
      <c r="P220" s="468"/>
      <c r="Q220" s="468"/>
      <c r="R220" s="468"/>
      <c r="S220" s="468"/>
      <c r="T220" s="468"/>
      <c r="U220" s="468"/>
      <c r="V220" s="468"/>
      <c r="W220" s="468"/>
      <c r="X220" s="468">
        <f>'4a. OM less M&amp;S'!M220</f>
        <v>0</v>
      </c>
      <c r="Y220" s="468"/>
      <c r="Z220" s="468"/>
      <c r="AA220" s="468">
        <f>'4a. OM less M&amp;S'!N220</f>
        <v>0</v>
      </c>
      <c r="AB220" s="468">
        <f>'4a. OM less M&amp;S'!O220</f>
        <v>0</v>
      </c>
      <c r="AC220" s="468"/>
      <c r="AD220" s="468"/>
      <c r="AE220" s="468"/>
      <c r="AF220" s="468">
        <f>'4a. OM less M&amp;S'!P220</f>
        <v>0</v>
      </c>
      <c r="AG220" s="468"/>
      <c r="AH220" s="468">
        <f>'4a. OM less M&amp;S'!Q220</f>
        <v>0</v>
      </c>
      <c r="AI220" s="62"/>
      <c r="AJ220" s="468">
        <f>'4a. OM less M&amp;S'!I220</f>
        <v>0</v>
      </c>
      <c r="AK220" s="62">
        <f t="shared" si="40"/>
        <v>0</v>
      </c>
      <c r="AL220" s="62">
        <f t="shared" si="41"/>
        <v>0</v>
      </c>
      <c r="AM220" s="62"/>
      <c r="AN220" s="62"/>
    </row>
    <row r="221" spans="1:40" x14ac:dyDescent="0.3">
      <c r="A221" s="461">
        <v>905</v>
      </c>
      <c r="B221" s="466" t="s">
        <v>707</v>
      </c>
      <c r="C221" s="466"/>
      <c r="D221" s="468">
        <f>'4a. OM less M&amp;S'!J221</f>
        <v>0</v>
      </c>
      <c r="E221" s="468"/>
      <c r="F221" s="630"/>
      <c r="G221" s="630"/>
      <c r="H221" s="630"/>
      <c r="I221" s="468"/>
      <c r="J221" s="468"/>
      <c r="K221" s="468"/>
      <c r="L221" s="468">
        <f>'4a. OM less M&amp;S'!K221</f>
        <v>0</v>
      </c>
      <c r="M221" s="468">
        <f>'4a. OM less M&amp;S'!L221</f>
        <v>0</v>
      </c>
      <c r="N221" s="468"/>
      <c r="O221" s="468"/>
      <c r="P221" s="468"/>
      <c r="Q221" s="468"/>
      <c r="R221" s="468"/>
      <c r="S221" s="468"/>
      <c r="T221" s="468"/>
      <c r="U221" s="468"/>
      <c r="V221" s="468"/>
      <c r="W221" s="468"/>
      <c r="X221" s="468">
        <f>'4a. OM less M&amp;S'!M221</f>
        <v>0</v>
      </c>
      <c r="Y221" s="468"/>
      <c r="Z221" s="468"/>
      <c r="AA221" s="468">
        <f>'4a. OM less M&amp;S'!N221</f>
        <v>0</v>
      </c>
      <c r="AB221" s="468">
        <f>'4a. OM less M&amp;S'!O221</f>
        <v>-519955.4977891391</v>
      </c>
      <c r="AC221" s="468">
        <f>AB221</f>
        <v>-519955.4977891391</v>
      </c>
      <c r="AD221" s="468"/>
      <c r="AE221" s="468"/>
      <c r="AF221" s="468">
        <f>'4a. OM less M&amp;S'!P221</f>
        <v>0</v>
      </c>
      <c r="AG221" s="468"/>
      <c r="AH221" s="468">
        <f>'4a. OM less M&amp;S'!Q221</f>
        <v>0</v>
      </c>
      <c r="AI221" s="62"/>
      <c r="AJ221" s="468">
        <f>'4a. OM less M&amp;S'!I221</f>
        <v>-519955.4977891391</v>
      </c>
      <c r="AK221" s="62">
        <f t="shared" si="40"/>
        <v>-519955.4977891391</v>
      </c>
      <c r="AL221" s="62">
        <f t="shared" si="41"/>
        <v>0</v>
      </c>
      <c r="AM221" s="62"/>
      <c r="AN221" s="62"/>
    </row>
    <row r="222" spans="1:40" x14ac:dyDescent="0.3">
      <c r="A222" s="461"/>
      <c r="B222" s="474" t="s">
        <v>524</v>
      </c>
      <c r="C222" s="474"/>
      <c r="D222" s="468">
        <f t="shared" ref="D222:AF222" si="42">SUM(D217:D221)</f>
        <v>0</v>
      </c>
      <c r="E222" s="468">
        <f t="shared" si="42"/>
        <v>0</v>
      </c>
      <c r="F222" s="630"/>
      <c r="G222" s="630"/>
      <c r="H222" s="630"/>
      <c r="I222" s="468">
        <f t="shared" si="42"/>
        <v>0</v>
      </c>
      <c r="J222" s="468">
        <f t="shared" si="42"/>
        <v>0</v>
      </c>
      <c r="K222" s="468">
        <f t="shared" si="42"/>
        <v>0</v>
      </c>
      <c r="L222" s="468">
        <f t="shared" si="42"/>
        <v>0</v>
      </c>
      <c r="M222" s="468">
        <f t="shared" si="42"/>
        <v>0</v>
      </c>
      <c r="N222" s="468">
        <f t="shared" si="42"/>
        <v>0</v>
      </c>
      <c r="O222" s="468">
        <f t="shared" si="42"/>
        <v>0</v>
      </c>
      <c r="P222" s="468">
        <f t="shared" si="42"/>
        <v>0</v>
      </c>
      <c r="Q222" s="468">
        <f t="shared" si="42"/>
        <v>0</v>
      </c>
      <c r="R222" s="468">
        <f t="shared" si="42"/>
        <v>0</v>
      </c>
      <c r="S222" s="468">
        <f t="shared" si="42"/>
        <v>0</v>
      </c>
      <c r="T222" s="468">
        <f t="shared" si="42"/>
        <v>0</v>
      </c>
      <c r="U222" s="468">
        <f t="shared" si="42"/>
        <v>0</v>
      </c>
      <c r="V222" s="468">
        <f t="shared" si="42"/>
        <v>0</v>
      </c>
      <c r="W222" s="468">
        <f t="shared" si="42"/>
        <v>0</v>
      </c>
      <c r="X222" s="468">
        <f t="shared" si="42"/>
        <v>8730844.6111512706</v>
      </c>
      <c r="Y222" s="468">
        <f t="shared" si="42"/>
        <v>0</v>
      </c>
      <c r="Z222" s="468">
        <f t="shared" si="42"/>
        <v>8730844.6111512706</v>
      </c>
      <c r="AA222" s="468">
        <f t="shared" si="42"/>
        <v>5156971.9561113566</v>
      </c>
      <c r="AB222" s="468">
        <f t="shared" si="42"/>
        <v>16030050.099361159</v>
      </c>
      <c r="AC222" s="468">
        <f>SUM(AC217:AC221)</f>
        <v>16030050.099361159</v>
      </c>
      <c r="AD222" s="468">
        <f>SUM(AD217:AD221)</f>
        <v>0</v>
      </c>
      <c r="AE222" s="468">
        <f>SUM(AE217:AE221)</f>
        <v>0</v>
      </c>
      <c r="AF222" s="468">
        <f t="shared" si="42"/>
        <v>0</v>
      </c>
      <c r="AG222" s="468"/>
      <c r="AH222" s="468">
        <f>SUM(AH217:AH221)</f>
        <v>0</v>
      </c>
      <c r="AI222" s="171">
        <f>SUM(AI217:AI221)</f>
        <v>0</v>
      </c>
      <c r="AJ222" s="171">
        <f>SUM(AJ217:AJ221)</f>
        <v>29917866.666623782</v>
      </c>
      <c r="AK222" s="62">
        <f t="shared" si="40"/>
        <v>29917866.666623786</v>
      </c>
      <c r="AL222" s="62">
        <f t="shared" si="41"/>
        <v>0</v>
      </c>
      <c r="AM222" s="62"/>
      <c r="AN222" s="62"/>
    </row>
    <row r="223" spans="1:40" x14ac:dyDescent="0.3">
      <c r="A223" s="461" t="s">
        <v>1207</v>
      </c>
      <c r="B223" s="461"/>
      <c r="C223" s="461"/>
      <c r="D223" s="468"/>
      <c r="E223" s="468"/>
      <c r="F223" s="630"/>
      <c r="G223" s="630"/>
      <c r="H223" s="630"/>
      <c r="I223" s="468"/>
      <c r="J223" s="468"/>
      <c r="K223" s="468"/>
      <c r="L223" s="468"/>
      <c r="M223" s="468"/>
      <c r="N223" s="468"/>
      <c r="O223" s="468"/>
      <c r="P223" s="468"/>
      <c r="Q223" s="468"/>
      <c r="R223" s="468"/>
      <c r="S223" s="468"/>
      <c r="T223" s="468"/>
      <c r="U223" s="468"/>
      <c r="V223" s="468"/>
      <c r="W223" s="468"/>
      <c r="X223" s="468"/>
      <c r="Y223" s="468"/>
      <c r="Z223" s="468"/>
      <c r="AA223" s="468"/>
      <c r="AB223" s="468"/>
      <c r="AC223" s="468"/>
      <c r="AD223" s="468" t="s">
        <v>546</v>
      </c>
      <c r="AE223" s="468"/>
      <c r="AF223" s="468"/>
      <c r="AG223" s="468"/>
      <c r="AH223" s="468"/>
      <c r="AI223" s="62"/>
      <c r="AJ223" s="62"/>
      <c r="AK223" s="62">
        <f t="shared" si="40"/>
        <v>0</v>
      </c>
      <c r="AL223" s="62"/>
      <c r="AM223" s="62"/>
      <c r="AN223" s="62"/>
    </row>
    <row r="224" spans="1:40" x14ac:dyDescent="0.3">
      <c r="A224" s="461"/>
      <c r="B224" s="464" t="s">
        <v>708</v>
      </c>
      <c r="C224" s="464"/>
      <c r="D224" s="468"/>
      <c r="E224" s="468"/>
      <c r="F224" s="630"/>
      <c r="G224" s="630"/>
      <c r="H224" s="630"/>
      <c r="I224" s="468"/>
      <c r="J224" s="468"/>
      <c r="K224" s="468"/>
      <c r="L224" s="468"/>
      <c r="M224" s="468"/>
      <c r="N224" s="468"/>
      <c r="O224" s="468"/>
      <c r="P224" s="468"/>
      <c r="Q224" s="468"/>
      <c r="R224" s="468"/>
      <c r="S224" s="468"/>
      <c r="T224" s="468"/>
      <c r="U224" s="468"/>
      <c r="V224" s="468"/>
      <c r="W224" s="468"/>
      <c r="X224" s="468"/>
      <c r="Y224" s="468"/>
      <c r="Z224" s="468"/>
      <c r="AA224" s="468"/>
      <c r="AB224" s="468"/>
      <c r="AC224" s="468"/>
      <c r="AD224" s="468"/>
      <c r="AE224" s="468"/>
      <c r="AF224" s="468"/>
      <c r="AG224" s="468"/>
      <c r="AH224" s="468"/>
      <c r="AI224" s="62"/>
      <c r="AJ224" s="62"/>
      <c r="AK224" s="62">
        <f t="shared" si="40"/>
        <v>0</v>
      </c>
      <c r="AL224" s="62"/>
      <c r="AM224" s="62"/>
      <c r="AN224" s="62"/>
    </row>
    <row r="225" spans="1:40" x14ac:dyDescent="0.3">
      <c r="A225" s="461">
        <v>906</v>
      </c>
      <c r="B225" s="461" t="s">
        <v>710</v>
      </c>
      <c r="C225" s="461"/>
      <c r="D225" s="468">
        <f>'4a. OM less M&amp;S'!J225</f>
        <v>0</v>
      </c>
      <c r="E225" s="468"/>
      <c r="F225" s="630"/>
      <c r="G225" s="630"/>
      <c r="H225" s="630"/>
      <c r="I225" s="468"/>
      <c r="J225" s="468"/>
      <c r="K225" s="468"/>
      <c r="L225" s="468">
        <f>'4a. OM less M&amp;S'!K225</f>
        <v>0</v>
      </c>
      <c r="M225" s="468">
        <f>'4a. OM less M&amp;S'!L225</f>
        <v>0</v>
      </c>
      <c r="N225" s="468"/>
      <c r="O225" s="468"/>
      <c r="P225" s="468"/>
      <c r="Q225" s="468"/>
      <c r="R225" s="468"/>
      <c r="S225" s="468"/>
      <c r="T225" s="468"/>
      <c r="U225" s="468"/>
      <c r="V225" s="468"/>
      <c r="W225" s="468"/>
      <c r="X225" s="468">
        <f>'4a. OM less M&amp;S'!M225</f>
        <v>0</v>
      </c>
      <c r="Y225" s="468"/>
      <c r="Z225" s="468"/>
      <c r="AA225" s="468">
        <f>'4a. OM less M&amp;S'!N225</f>
        <v>0</v>
      </c>
      <c r="AB225" s="468">
        <f>'4a. OM less M&amp;S'!O225</f>
        <v>0</v>
      </c>
      <c r="AC225" s="468"/>
      <c r="AD225" s="468"/>
      <c r="AE225" s="468"/>
      <c r="AF225" s="468">
        <f>'4a. OM less M&amp;S'!P225</f>
        <v>0</v>
      </c>
      <c r="AG225" s="468"/>
      <c r="AH225" s="468">
        <f>'4a. OM less M&amp;S'!Q225</f>
        <v>0</v>
      </c>
      <c r="AI225" s="62"/>
      <c r="AJ225" s="468">
        <f>'4a. OM less M&amp;S'!I225</f>
        <v>0</v>
      </c>
      <c r="AK225" s="62">
        <f t="shared" si="40"/>
        <v>0</v>
      </c>
      <c r="AL225" s="62">
        <f t="shared" ref="AL225:AL230" si="43">AJ225-AK225</f>
        <v>0</v>
      </c>
      <c r="AM225" s="62"/>
      <c r="AN225" s="62"/>
    </row>
    <row r="226" spans="1:40" x14ac:dyDescent="0.3">
      <c r="A226" s="461">
        <v>907</v>
      </c>
      <c r="B226" s="461" t="s">
        <v>699</v>
      </c>
      <c r="C226" s="461"/>
      <c r="D226" s="468">
        <f>'4a. OM less M&amp;S'!J226</f>
        <v>0</v>
      </c>
      <c r="E226" s="468"/>
      <c r="F226" s="630"/>
      <c r="G226" s="630"/>
      <c r="H226" s="630"/>
      <c r="I226" s="468"/>
      <c r="J226" s="468"/>
      <c r="K226" s="468"/>
      <c r="L226" s="468">
        <f>'4a. OM less M&amp;S'!K226</f>
        <v>0</v>
      </c>
      <c r="M226" s="468">
        <f>'4a. OM less M&amp;S'!L226</f>
        <v>0</v>
      </c>
      <c r="N226" s="468"/>
      <c r="O226" s="468"/>
      <c r="P226" s="468"/>
      <c r="Q226" s="468"/>
      <c r="R226" s="468"/>
      <c r="S226" s="468"/>
      <c r="T226" s="468"/>
      <c r="U226" s="468"/>
      <c r="V226" s="468"/>
      <c r="W226" s="468"/>
      <c r="X226" s="468">
        <f>'4a. OM less M&amp;S'!M226</f>
        <v>0</v>
      </c>
      <c r="Y226" s="468"/>
      <c r="Z226" s="468"/>
      <c r="AA226" s="468">
        <f>'4a. OM less M&amp;S'!N226</f>
        <v>0</v>
      </c>
      <c r="AB226" s="468">
        <f>'4a. OM less M&amp;S'!O226</f>
        <v>0</v>
      </c>
      <c r="AC226" s="468" t="s">
        <v>546</v>
      </c>
      <c r="AD226" s="468" t="s">
        <v>546</v>
      </c>
      <c r="AE226" s="468" t="s">
        <v>546</v>
      </c>
      <c r="AF226" s="468">
        <f>'4a. OM less M&amp;S'!P226</f>
        <v>0</v>
      </c>
      <c r="AG226" s="468">
        <f>$AF226*'3c. OM_AG-sfaf'!AG226</f>
        <v>0</v>
      </c>
      <c r="AH226" s="468">
        <f>'4a. OM less M&amp;S'!Q226</f>
        <v>0</v>
      </c>
      <c r="AI226" s="62"/>
      <c r="AJ226" s="468">
        <f>'4a. OM less M&amp;S'!I226</f>
        <v>0</v>
      </c>
      <c r="AK226" s="62">
        <f t="shared" si="40"/>
        <v>0</v>
      </c>
      <c r="AL226" s="62">
        <f t="shared" si="43"/>
        <v>0</v>
      </c>
      <c r="AM226" s="62"/>
      <c r="AN226" s="62"/>
    </row>
    <row r="227" spans="1:40" x14ac:dyDescent="0.3">
      <c r="A227" s="461">
        <v>908</v>
      </c>
      <c r="B227" s="466" t="s">
        <v>713</v>
      </c>
      <c r="C227" s="466"/>
      <c r="D227" s="468">
        <f>'4a. OM less M&amp;S'!J227</f>
        <v>0</v>
      </c>
      <c r="E227" s="468"/>
      <c r="F227" s="630"/>
      <c r="G227" s="630"/>
      <c r="H227" s="630"/>
      <c r="I227" s="468"/>
      <c r="J227" s="468"/>
      <c r="K227" s="468"/>
      <c r="L227" s="468">
        <f>'4a. OM less M&amp;S'!K227</f>
        <v>0</v>
      </c>
      <c r="M227" s="468">
        <f>'4a. OM less M&amp;S'!L227</f>
        <v>0</v>
      </c>
      <c r="N227" s="468"/>
      <c r="O227" s="468"/>
      <c r="P227" s="468"/>
      <c r="Q227" s="468"/>
      <c r="R227" s="468"/>
      <c r="S227" s="468"/>
      <c r="T227" s="468"/>
      <c r="U227" s="468"/>
      <c r="V227" s="468"/>
      <c r="W227" s="468"/>
      <c r="X227" s="468">
        <f>'4a. OM less M&amp;S'!M227</f>
        <v>0</v>
      </c>
      <c r="Y227" s="468"/>
      <c r="Z227" s="468"/>
      <c r="AA227" s="468">
        <f>'4a. OM less M&amp;S'!N227</f>
        <v>0</v>
      </c>
      <c r="AB227" s="468">
        <f>'4a. OM less M&amp;S'!O227</f>
        <v>2744658.58</v>
      </c>
      <c r="AC227" s="468">
        <f>$AB227*'3c. OM_AG-sfaf'!AC227/'3c. OM_AG-sfaf'!$AB227</f>
        <v>2744658.58</v>
      </c>
      <c r="AD227" s="468">
        <f>$AB227*'3c. OM_AG-sfaf'!AD227/'3c. OM_AG-sfaf'!$AB227</f>
        <v>0</v>
      </c>
      <c r="AE227" s="468">
        <f>$AB227*'3c. OM_AG-sfaf'!AE227/'3c. OM_AG-sfaf'!$AB227</f>
        <v>0</v>
      </c>
      <c r="AF227" s="468">
        <f>'4a. OM less M&amp;S'!P227</f>
        <v>0</v>
      </c>
      <c r="AG227" s="468" t="s">
        <v>546</v>
      </c>
      <c r="AH227" s="468">
        <f>'4a. OM less M&amp;S'!Q227</f>
        <v>0</v>
      </c>
      <c r="AI227" s="62"/>
      <c r="AJ227" s="468">
        <f>'4a. OM less M&amp;S'!I227</f>
        <v>2744658.58</v>
      </c>
      <c r="AK227" s="62">
        <f t="shared" si="40"/>
        <v>2744658.58</v>
      </c>
      <c r="AL227" s="62">
        <f t="shared" si="43"/>
        <v>0</v>
      </c>
      <c r="AM227" s="62"/>
      <c r="AN227" s="62"/>
    </row>
    <row r="228" spans="1:40" x14ac:dyDescent="0.3">
      <c r="A228" s="461">
        <v>909</v>
      </c>
      <c r="B228" s="461" t="s">
        <v>715</v>
      </c>
      <c r="C228" s="461"/>
      <c r="D228" s="468">
        <f>'4a. OM less M&amp;S'!J228</f>
        <v>0</v>
      </c>
      <c r="E228" s="468"/>
      <c r="F228" s="630"/>
      <c r="G228" s="630"/>
      <c r="H228" s="630"/>
      <c r="I228" s="468"/>
      <c r="J228" s="468"/>
      <c r="K228" s="468"/>
      <c r="L228" s="468">
        <f>'4a. OM less M&amp;S'!K228</f>
        <v>0</v>
      </c>
      <c r="M228" s="468">
        <f>'4a. OM less M&amp;S'!L228</f>
        <v>0</v>
      </c>
      <c r="N228" s="468"/>
      <c r="O228" s="468"/>
      <c r="P228" s="468"/>
      <c r="Q228" s="468"/>
      <c r="R228" s="468"/>
      <c r="S228" s="468"/>
      <c r="T228" s="468"/>
      <c r="U228" s="468"/>
      <c r="V228" s="468"/>
      <c r="W228" s="468"/>
      <c r="X228" s="468">
        <f>'4a. OM less M&amp;S'!M228</f>
        <v>0</v>
      </c>
      <c r="Y228" s="468"/>
      <c r="Z228" s="468"/>
      <c r="AA228" s="468">
        <f>'4a. OM less M&amp;S'!N228</f>
        <v>0</v>
      </c>
      <c r="AB228" s="468">
        <f>'4a. OM less M&amp;S'!O228</f>
        <v>0</v>
      </c>
      <c r="AC228" s="468"/>
      <c r="AD228" s="468"/>
      <c r="AE228" s="468"/>
      <c r="AF228" s="468">
        <f>'4a. OM less M&amp;S'!P228</f>
        <v>0</v>
      </c>
      <c r="AG228" s="468"/>
      <c r="AH228" s="468">
        <f>'4a. OM less M&amp;S'!Q228</f>
        <v>0</v>
      </c>
      <c r="AI228" s="62"/>
      <c r="AJ228" s="468">
        <f>'4a. OM less M&amp;S'!I228</f>
        <v>0</v>
      </c>
      <c r="AK228" s="62">
        <f t="shared" si="40"/>
        <v>0</v>
      </c>
      <c r="AL228" s="62">
        <f t="shared" si="43"/>
        <v>0</v>
      </c>
      <c r="AM228" s="62"/>
      <c r="AN228" s="62"/>
    </row>
    <row r="229" spans="1:40" x14ac:dyDescent="0.3">
      <c r="A229" s="461">
        <v>910</v>
      </c>
      <c r="B229" s="461" t="s">
        <v>717</v>
      </c>
      <c r="C229" s="461"/>
      <c r="D229" s="468">
        <f>'4a. OM less M&amp;S'!J229</f>
        <v>0</v>
      </c>
      <c r="E229" s="468"/>
      <c r="F229" s="630"/>
      <c r="G229" s="630"/>
      <c r="H229" s="630"/>
      <c r="I229" s="468"/>
      <c r="J229" s="468"/>
      <c r="K229" s="468"/>
      <c r="L229" s="468">
        <f>'4a. OM less M&amp;S'!K229</f>
        <v>0</v>
      </c>
      <c r="M229" s="468">
        <f>'4a. OM less M&amp;S'!L229</f>
        <v>0</v>
      </c>
      <c r="N229" s="468"/>
      <c r="O229" s="468"/>
      <c r="P229" s="468"/>
      <c r="Q229" s="468"/>
      <c r="R229" s="468"/>
      <c r="S229" s="468"/>
      <c r="T229" s="468"/>
      <c r="U229" s="468"/>
      <c r="V229" s="468"/>
      <c r="W229" s="468"/>
      <c r="X229" s="468">
        <f>'4a. OM less M&amp;S'!M229</f>
        <v>0</v>
      </c>
      <c r="Y229" s="468"/>
      <c r="Z229" s="468"/>
      <c r="AA229" s="468">
        <f>'4a. OM less M&amp;S'!N229</f>
        <v>0</v>
      </c>
      <c r="AB229" s="468">
        <f>'4a. OM less M&amp;S'!O229</f>
        <v>0</v>
      </c>
      <c r="AC229" s="468">
        <f>AB229</f>
        <v>0</v>
      </c>
      <c r="AD229" s="468"/>
      <c r="AE229" s="468"/>
      <c r="AF229" s="468">
        <f>'4a. OM less M&amp;S'!P229</f>
        <v>0</v>
      </c>
      <c r="AG229" s="468"/>
      <c r="AH229" s="468">
        <f>'4a. OM less M&amp;S'!Q229</f>
        <v>0</v>
      </c>
      <c r="AI229" s="62"/>
      <c r="AJ229" s="468">
        <f>'4a. OM less M&amp;S'!I229</f>
        <v>0</v>
      </c>
      <c r="AK229" s="62">
        <f t="shared" si="40"/>
        <v>0</v>
      </c>
      <c r="AL229" s="62">
        <f t="shared" si="43"/>
        <v>0</v>
      </c>
      <c r="AM229" s="62"/>
      <c r="AN229" s="62"/>
    </row>
    <row r="230" spans="1:40" x14ac:dyDescent="0.3">
      <c r="A230" s="461"/>
      <c r="B230" s="474" t="s">
        <v>524</v>
      </c>
      <c r="C230" s="474"/>
      <c r="D230" s="468">
        <f t="shared" ref="D230:AF230" si="44">SUM(D225:D229)</f>
        <v>0</v>
      </c>
      <c r="E230" s="468">
        <f t="shared" si="44"/>
        <v>0</v>
      </c>
      <c r="F230" s="630"/>
      <c r="G230" s="630"/>
      <c r="H230" s="630"/>
      <c r="I230" s="468">
        <f t="shared" si="44"/>
        <v>0</v>
      </c>
      <c r="J230" s="468">
        <f t="shared" si="44"/>
        <v>0</v>
      </c>
      <c r="K230" s="468">
        <f t="shared" si="44"/>
        <v>0</v>
      </c>
      <c r="L230" s="468">
        <f t="shared" si="44"/>
        <v>0</v>
      </c>
      <c r="M230" s="468">
        <f t="shared" si="44"/>
        <v>0</v>
      </c>
      <c r="N230" s="468">
        <f t="shared" si="44"/>
        <v>0</v>
      </c>
      <c r="O230" s="468">
        <f t="shared" si="44"/>
        <v>0</v>
      </c>
      <c r="P230" s="468">
        <f t="shared" si="44"/>
        <v>0</v>
      </c>
      <c r="Q230" s="468">
        <f t="shared" si="44"/>
        <v>0</v>
      </c>
      <c r="R230" s="468">
        <f t="shared" si="44"/>
        <v>0</v>
      </c>
      <c r="S230" s="468">
        <f t="shared" si="44"/>
        <v>0</v>
      </c>
      <c r="T230" s="468">
        <f t="shared" si="44"/>
        <v>0</v>
      </c>
      <c r="U230" s="468">
        <f t="shared" si="44"/>
        <v>0</v>
      </c>
      <c r="V230" s="468">
        <f t="shared" si="44"/>
        <v>0</v>
      </c>
      <c r="W230" s="468">
        <f t="shared" si="44"/>
        <v>0</v>
      </c>
      <c r="X230" s="468">
        <f t="shared" si="44"/>
        <v>0</v>
      </c>
      <c r="Y230" s="468">
        <f t="shared" si="44"/>
        <v>0</v>
      </c>
      <c r="Z230" s="468">
        <f t="shared" si="44"/>
        <v>0</v>
      </c>
      <c r="AA230" s="468">
        <f t="shared" si="44"/>
        <v>0</v>
      </c>
      <c r="AB230" s="468">
        <f t="shared" si="44"/>
        <v>2744658.58</v>
      </c>
      <c r="AC230" s="468">
        <f>SUM(AC225:AC229)</f>
        <v>2744658.58</v>
      </c>
      <c r="AD230" s="468">
        <f>SUM(AD225:AD229)</f>
        <v>0</v>
      </c>
      <c r="AE230" s="468">
        <f>SUM(AE225:AE229)</f>
        <v>0</v>
      </c>
      <c r="AF230" s="468">
        <f t="shared" si="44"/>
        <v>0</v>
      </c>
      <c r="AG230" s="468">
        <f>SUM(AG225:AG229)</f>
        <v>0</v>
      </c>
      <c r="AH230" s="468">
        <f>SUM(AH225:AH229)</f>
        <v>0</v>
      </c>
      <c r="AI230" s="171"/>
      <c r="AJ230" s="171">
        <f>SUM(AJ225:AJ229)</f>
        <v>2744658.58</v>
      </c>
      <c r="AK230" s="62">
        <f t="shared" si="40"/>
        <v>2744658.58</v>
      </c>
      <c r="AL230" s="62">
        <f t="shared" si="43"/>
        <v>0</v>
      </c>
      <c r="AM230" s="62"/>
      <c r="AN230" s="62"/>
    </row>
    <row r="231" spans="1:40" x14ac:dyDescent="0.3">
      <c r="A231" s="461" t="s">
        <v>1208</v>
      </c>
      <c r="B231" s="474"/>
      <c r="C231" s="474"/>
      <c r="D231" s="468"/>
      <c r="E231" s="468"/>
      <c r="F231" s="630"/>
      <c r="G231" s="630"/>
      <c r="H231" s="630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Z231" s="468"/>
      <c r="AA231" s="468"/>
      <c r="AB231" s="468"/>
      <c r="AC231" s="468"/>
      <c r="AD231" s="468"/>
      <c r="AE231" s="468"/>
      <c r="AF231" s="468"/>
      <c r="AG231" s="468"/>
      <c r="AH231" s="468"/>
      <c r="AI231" s="62"/>
      <c r="AJ231" s="62"/>
      <c r="AK231" s="62"/>
      <c r="AL231" s="62"/>
      <c r="AM231" s="62"/>
      <c r="AN231" s="62"/>
    </row>
    <row r="232" spans="1:40" x14ac:dyDescent="0.3">
      <c r="A232" s="461"/>
      <c r="B232" s="483" t="s">
        <v>718</v>
      </c>
      <c r="C232" s="483"/>
      <c r="D232" s="468"/>
      <c r="E232" s="468"/>
      <c r="F232" s="630"/>
      <c r="G232" s="630"/>
      <c r="H232" s="630"/>
      <c r="I232" s="468"/>
      <c r="J232" s="468"/>
      <c r="K232" s="468"/>
      <c r="L232" s="468"/>
      <c r="M232" s="468"/>
      <c r="N232" s="468"/>
      <c r="O232" s="468"/>
      <c r="P232" s="468"/>
      <c r="Q232" s="468"/>
      <c r="R232" s="468"/>
      <c r="S232" s="468"/>
      <c r="T232" s="468"/>
      <c r="U232" s="468"/>
      <c r="V232" s="468"/>
      <c r="W232" s="468"/>
      <c r="X232" s="468"/>
      <c r="Y232" s="468"/>
      <c r="Z232" s="468"/>
      <c r="AA232" s="468"/>
      <c r="AB232" s="468"/>
      <c r="AC232" s="468"/>
      <c r="AD232" s="468"/>
      <c r="AE232" s="468"/>
      <c r="AF232" s="468"/>
      <c r="AG232" s="468"/>
      <c r="AH232" s="468"/>
      <c r="AI232" s="62"/>
      <c r="AJ232" s="62"/>
      <c r="AK232" s="62"/>
      <c r="AL232" s="62"/>
      <c r="AM232" s="62"/>
      <c r="AN232" s="62"/>
    </row>
    <row r="233" spans="1:40" x14ac:dyDescent="0.3">
      <c r="A233" s="461">
        <v>911</v>
      </c>
      <c r="B233" s="484" t="s">
        <v>1068</v>
      </c>
      <c r="C233" s="483"/>
      <c r="D233" s="468">
        <f>'4a. OM less M&amp;S'!J233</f>
        <v>0</v>
      </c>
      <c r="E233" s="468"/>
      <c r="F233" s="630"/>
      <c r="G233" s="630"/>
      <c r="H233" s="630"/>
      <c r="I233" s="468"/>
      <c r="J233" s="468"/>
      <c r="K233" s="468"/>
      <c r="L233" s="468">
        <f>'4a. OM less M&amp;S'!K233</f>
        <v>0</v>
      </c>
      <c r="M233" s="468">
        <f>'4a. OM less M&amp;S'!L233</f>
        <v>0</v>
      </c>
      <c r="N233" s="468"/>
      <c r="O233" s="468"/>
      <c r="P233" s="468"/>
      <c r="Q233" s="468"/>
      <c r="R233" s="468"/>
      <c r="S233" s="468"/>
      <c r="T233" s="468"/>
      <c r="U233" s="468"/>
      <c r="V233" s="468"/>
      <c r="W233" s="468"/>
      <c r="X233" s="468">
        <f>'4a. OM less M&amp;S'!M233</f>
        <v>0</v>
      </c>
      <c r="Y233" s="468"/>
      <c r="Z233" s="468"/>
      <c r="AA233" s="468">
        <f>'4a. OM less M&amp;S'!N233</f>
        <v>0</v>
      </c>
      <c r="AB233" s="468">
        <f>'4a. OM less M&amp;S'!O233</f>
        <v>0</v>
      </c>
      <c r="AC233" s="468"/>
      <c r="AD233" s="468"/>
      <c r="AE233" s="468"/>
      <c r="AF233" s="468">
        <f>'4a. OM less M&amp;S'!P233</f>
        <v>0</v>
      </c>
      <c r="AG233" s="468">
        <f>$AF233*'3c. OM_AG-sfaf'!AG233</f>
        <v>0</v>
      </c>
      <c r="AH233" s="468">
        <f>'4a. OM less M&amp;S'!Q233</f>
        <v>0</v>
      </c>
      <c r="AI233" s="62"/>
      <c r="AJ233" s="468">
        <f>'4a. OM less M&amp;S'!I233</f>
        <v>0</v>
      </c>
      <c r="AK233" s="62">
        <f t="shared" ref="AK233:AK240" si="45">SUM(F233:K233,L233,N233:W233,Y233:Z233,AA233:AA233,AC233:AE233,AG233:AH233)</f>
        <v>0</v>
      </c>
      <c r="AL233" s="62">
        <f t="shared" ref="AL233" si="46">AJ233-AK233</f>
        <v>0</v>
      </c>
      <c r="AM233" s="62"/>
      <c r="AN233" s="62"/>
    </row>
    <row r="234" spans="1:40" x14ac:dyDescent="0.3">
      <c r="A234" s="465">
        <v>912</v>
      </c>
      <c r="B234" s="485" t="s">
        <v>719</v>
      </c>
      <c r="C234" s="483"/>
      <c r="D234" s="468"/>
      <c r="E234" s="468"/>
      <c r="F234" s="630"/>
      <c r="G234" s="630"/>
      <c r="H234" s="630"/>
      <c r="I234" s="468"/>
      <c r="J234" s="468"/>
      <c r="K234" s="468"/>
      <c r="L234" s="468"/>
      <c r="M234" s="468"/>
      <c r="N234" s="468"/>
      <c r="O234" s="468"/>
      <c r="P234" s="468"/>
      <c r="Q234" s="468"/>
      <c r="R234" s="468"/>
      <c r="S234" s="468"/>
      <c r="T234" s="468"/>
      <c r="U234" s="468"/>
      <c r="V234" s="468"/>
      <c r="W234" s="468"/>
      <c r="X234" s="468"/>
      <c r="Y234" s="468"/>
      <c r="Z234" s="468"/>
      <c r="AA234" s="468"/>
      <c r="AB234" s="468"/>
      <c r="AC234" s="468"/>
      <c r="AD234" s="468"/>
      <c r="AE234" s="468"/>
      <c r="AF234" s="468"/>
      <c r="AG234" s="468"/>
      <c r="AH234" s="468"/>
      <c r="AI234" s="62"/>
      <c r="AJ234" s="468"/>
      <c r="AK234" s="62"/>
      <c r="AL234" s="62"/>
      <c r="AM234" s="62"/>
      <c r="AN234" s="62"/>
    </row>
    <row r="235" spans="1:40" x14ac:dyDescent="0.3">
      <c r="A235" s="461">
        <v>913</v>
      </c>
      <c r="B235" s="243" t="s">
        <v>1331</v>
      </c>
      <c r="C235" s="243"/>
      <c r="D235" s="468">
        <f>'4a. OM less M&amp;S'!J235</f>
        <v>0</v>
      </c>
      <c r="E235" s="468"/>
      <c r="F235" s="630"/>
      <c r="G235" s="630"/>
      <c r="H235" s="630"/>
      <c r="I235" s="468"/>
      <c r="J235" s="468"/>
      <c r="K235" s="468"/>
      <c r="L235" s="468">
        <f>'4a. OM less M&amp;S'!K235</f>
        <v>0</v>
      </c>
      <c r="M235" s="468">
        <f>'4a. OM less M&amp;S'!L235</f>
        <v>0</v>
      </c>
      <c r="N235" s="468"/>
      <c r="O235" s="468"/>
      <c r="P235" s="468"/>
      <c r="Q235" s="468"/>
      <c r="R235" s="468"/>
      <c r="S235" s="468"/>
      <c r="T235" s="468"/>
      <c r="U235" s="468"/>
      <c r="V235" s="468"/>
      <c r="W235" s="468"/>
      <c r="X235" s="468">
        <f>'4a. OM less M&amp;S'!M235</f>
        <v>0</v>
      </c>
      <c r="Y235" s="468"/>
      <c r="Z235" s="468"/>
      <c r="AA235" s="468">
        <f>'4a. OM less M&amp;S'!N235</f>
        <v>0</v>
      </c>
      <c r="AB235" s="468">
        <f>'4a. OM less M&amp;S'!O235</f>
        <v>0</v>
      </c>
      <c r="AC235" s="468"/>
      <c r="AD235" s="468"/>
      <c r="AE235" s="468"/>
      <c r="AF235" s="468">
        <f>'4a. OM less M&amp;S'!P235</f>
        <v>0</v>
      </c>
      <c r="AG235" s="468"/>
      <c r="AH235" s="468">
        <f>'4a. OM less M&amp;S'!Q235</f>
        <v>0</v>
      </c>
      <c r="AI235" s="62"/>
      <c r="AJ235" s="468">
        <f>'4a. OM less M&amp;S'!I235</f>
        <v>0</v>
      </c>
      <c r="AK235" s="62">
        <f t="shared" si="45"/>
        <v>0</v>
      </c>
      <c r="AL235" s="62">
        <f t="shared" ref="AL235:AL240" si="47">AJ235-AK235</f>
        <v>0</v>
      </c>
      <c r="AM235" s="62"/>
      <c r="AN235" s="62"/>
    </row>
    <row r="236" spans="1:40" x14ac:dyDescent="0.3">
      <c r="A236" s="461">
        <v>915</v>
      </c>
      <c r="B236" s="243" t="s">
        <v>892</v>
      </c>
      <c r="C236" s="243"/>
      <c r="D236" s="468">
        <f>'4a. OM less M&amp;S'!J236</f>
        <v>0</v>
      </c>
      <c r="E236" s="468"/>
      <c r="F236" s="630"/>
      <c r="G236" s="630"/>
      <c r="H236" s="630"/>
      <c r="I236" s="468"/>
      <c r="J236" s="468"/>
      <c r="K236" s="468"/>
      <c r="L236" s="468">
        <f>'4a. OM less M&amp;S'!K236</f>
        <v>0</v>
      </c>
      <c r="M236" s="468">
        <f>'4a. OM less M&amp;S'!L236</f>
        <v>0</v>
      </c>
      <c r="N236" s="468"/>
      <c r="O236" s="468"/>
      <c r="P236" s="468"/>
      <c r="Q236" s="468"/>
      <c r="R236" s="468"/>
      <c r="S236" s="468"/>
      <c r="T236" s="468"/>
      <c r="U236" s="468"/>
      <c r="V236" s="468"/>
      <c r="W236" s="468"/>
      <c r="X236" s="468">
        <f>'4a. OM less M&amp;S'!M236</f>
        <v>0</v>
      </c>
      <c r="Y236" s="468"/>
      <c r="Z236" s="468"/>
      <c r="AA236" s="468">
        <f>'4a. OM less M&amp;S'!N236</f>
        <v>0</v>
      </c>
      <c r="AB236" s="468">
        <f>'4a. OM less M&amp;S'!O236</f>
        <v>0</v>
      </c>
      <c r="AC236" s="468"/>
      <c r="AD236" s="468"/>
      <c r="AE236" s="468"/>
      <c r="AF236" s="468">
        <f>'4a. OM less M&amp;S'!P236</f>
        <v>156647.97</v>
      </c>
      <c r="AG236" s="468">
        <f>$AF236*'3c. OM_AG-sfaf'!AG236</f>
        <v>156647.97</v>
      </c>
      <c r="AH236" s="468">
        <f>'4a. OM less M&amp;S'!Q236</f>
        <v>0</v>
      </c>
      <c r="AI236" s="62"/>
      <c r="AJ236" s="468">
        <f>'4a. OM less M&amp;S'!I236</f>
        <v>156647.97</v>
      </c>
      <c r="AK236" s="62">
        <f t="shared" si="45"/>
        <v>156647.97</v>
      </c>
      <c r="AL236" s="62">
        <f t="shared" si="47"/>
        <v>0</v>
      </c>
      <c r="AM236" s="62"/>
      <c r="AN236" s="62"/>
    </row>
    <row r="237" spans="1:40" x14ac:dyDescent="0.3">
      <c r="A237" s="461">
        <v>916</v>
      </c>
      <c r="B237" s="243" t="s">
        <v>719</v>
      </c>
      <c r="C237" s="243"/>
      <c r="D237" s="468">
        <f>'4a. OM less M&amp;S'!J237</f>
        <v>0</v>
      </c>
      <c r="E237" s="468"/>
      <c r="F237" s="630"/>
      <c r="G237" s="630"/>
      <c r="H237" s="630"/>
      <c r="I237" s="468"/>
      <c r="J237" s="468"/>
      <c r="K237" s="468"/>
      <c r="L237" s="468">
        <f>'4a. OM less M&amp;S'!K237</f>
        <v>0</v>
      </c>
      <c r="M237" s="468">
        <f>'4a. OM less M&amp;S'!L237</f>
        <v>0</v>
      </c>
      <c r="N237" s="468"/>
      <c r="O237" s="468"/>
      <c r="P237" s="468"/>
      <c r="Q237" s="468"/>
      <c r="R237" s="468"/>
      <c r="S237" s="468"/>
      <c r="T237" s="468"/>
      <c r="U237" s="468"/>
      <c r="V237" s="468"/>
      <c r="W237" s="468"/>
      <c r="X237" s="468">
        <f>'4a. OM less M&amp;S'!M237</f>
        <v>0</v>
      </c>
      <c r="Y237" s="468"/>
      <c r="Z237" s="468"/>
      <c r="AA237" s="468">
        <f>'4a. OM less M&amp;S'!N237</f>
        <v>0</v>
      </c>
      <c r="AB237" s="468">
        <f>'4a. OM less M&amp;S'!O237</f>
        <v>0</v>
      </c>
      <c r="AC237" s="468"/>
      <c r="AD237" s="468"/>
      <c r="AE237" s="468"/>
      <c r="AF237" s="468">
        <f>'4a. OM less M&amp;S'!P237</f>
        <v>1528285.2</v>
      </c>
      <c r="AG237" s="468">
        <f>$AF237*'3c. OM_AG-sfaf'!AG237</f>
        <v>1528285.2</v>
      </c>
      <c r="AH237" s="468">
        <f>'4a. OM less M&amp;S'!Q237</f>
        <v>0</v>
      </c>
      <c r="AI237" s="62"/>
      <c r="AJ237" s="468">
        <f>'4a. OM less M&amp;S'!I237</f>
        <v>1528285.2</v>
      </c>
      <c r="AK237" s="62">
        <f t="shared" si="45"/>
        <v>1528285.2</v>
      </c>
      <c r="AL237" s="62">
        <f t="shared" si="47"/>
        <v>0</v>
      </c>
      <c r="AM237" s="62"/>
      <c r="AN237" s="62"/>
    </row>
    <row r="238" spans="1:40" x14ac:dyDescent="0.3">
      <c r="A238" s="461">
        <v>917</v>
      </c>
      <c r="B238" s="243" t="s">
        <v>1009</v>
      </c>
      <c r="C238" s="243"/>
      <c r="D238" s="468">
        <f>'4a. OM less M&amp;S'!J238</f>
        <v>0</v>
      </c>
      <c r="E238" s="468"/>
      <c r="F238" s="630"/>
      <c r="G238" s="630"/>
      <c r="H238" s="630"/>
      <c r="I238" s="468"/>
      <c r="J238" s="468"/>
      <c r="K238" s="468"/>
      <c r="L238" s="468">
        <f>'4a. OM less M&amp;S'!K238</f>
        <v>0</v>
      </c>
      <c r="M238" s="468">
        <f>'4a. OM less M&amp;S'!L238</f>
        <v>0</v>
      </c>
      <c r="N238" s="468"/>
      <c r="O238" s="468"/>
      <c r="P238" s="468"/>
      <c r="Q238" s="468"/>
      <c r="R238" s="468"/>
      <c r="S238" s="468"/>
      <c r="T238" s="468"/>
      <c r="U238" s="468"/>
      <c r="V238" s="468"/>
      <c r="W238" s="468"/>
      <c r="X238" s="468">
        <f>'4a. OM less M&amp;S'!M238</f>
        <v>0</v>
      </c>
      <c r="Y238" s="468"/>
      <c r="Z238" s="468"/>
      <c r="AA238" s="468">
        <f>'4a. OM less M&amp;S'!N238</f>
        <v>0</v>
      </c>
      <c r="AB238" s="468">
        <f>'4a. OM less M&amp;S'!O238</f>
        <v>0</v>
      </c>
      <c r="AC238" s="468"/>
      <c r="AD238" s="468"/>
      <c r="AE238" s="468"/>
      <c r="AF238" s="468">
        <f>'4a. OM less M&amp;S'!P238</f>
        <v>679724.69</v>
      </c>
      <c r="AG238" s="468">
        <f>$AF238*'3c. OM_AG-sfaf'!AG238</f>
        <v>679724.69</v>
      </c>
      <c r="AH238" s="468">
        <f>'4a. OM less M&amp;S'!Q238</f>
        <v>0</v>
      </c>
      <c r="AI238" s="62"/>
      <c r="AJ238" s="468">
        <f>'4a. OM less M&amp;S'!I238</f>
        <v>679724.69</v>
      </c>
      <c r="AK238" s="62">
        <f t="shared" si="45"/>
        <v>679724.69</v>
      </c>
      <c r="AL238" s="62">
        <f t="shared" si="47"/>
        <v>0</v>
      </c>
      <c r="AM238" s="62"/>
      <c r="AN238" s="62"/>
    </row>
    <row r="239" spans="1:40" x14ac:dyDescent="0.3">
      <c r="A239" s="461">
        <v>918</v>
      </c>
      <c r="B239" s="243" t="s">
        <v>722</v>
      </c>
      <c r="C239" s="243"/>
      <c r="D239" s="468">
        <f>'4a. OM less M&amp;S'!J239</f>
        <v>0</v>
      </c>
      <c r="E239" s="468"/>
      <c r="F239" s="630"/>
      <c r="G239" s="630"/>
      <c r="H239" s="630"/>
      <c r="I239" s="468"/>
      <c r="J239" s="468"/>
      <c r="K239" s="468"/>
      <c r="L239" s="468">
        <f>'4a. OM less M&amp;S'!K239</f>
        <v>0</v>
      </c>
      <c r="M239" s="468">
        <f>'4a. OM less M&amp;S'!L239</f>
        <v>0</v>
      </c>
      <c r="N239" s="468"/>
      <c r="O239" s="468"/>
      <c r="P239" s="468"/>
      <c r="Q239" s="468"/>
      <c r="R239" s="468"/>
      <c r="S239" s="468"/>
      <c r="T239" s="468"/>
      <c r="U239" s="468"/>
      <c r="V239" s="468"/>
      <c r="W239" s="468"/>
      <c r="X239" s="468">
        <f>'4a. OM less M&amp;S'!M239</f>
        <v>0</v>
      </c>
      <c r="Y239" s="468"/>
      <c r="Z239" s="468"/>
      <c r="AA239" s="468">
        <f>'4a. OM less M&amp;S'!N239</f>
        <v>0</v>
      </c>
      <c r="AB239" s="468">
        <f>'4a. OM less M&amp;S'!O239</f>
        <v>0</v>
      </c>
      <c r="AC239" s="468"/>
      <c r="AD239" s="468"/>
      <c r="AE239" s="468"/>
      <c r="AF239" s="468">
        <f>'4a. OM less M&amp;S'!P239</f>
        <v>8740183.8599999994</v>
      </c>
      <c r="AG239" s="468">
        <f>$AF239*'3c. OM_AG-sfaf'!AG239</f>
        <v>8740183.8599999994</v>
      </c>
      <c r="AH239" s="468">
        <f>'4a. OM less M&amp;S'!Q239</f>
        <v>0</v>
      </c>
      <c r="AI239" s="62"/>
      <c r="AJ239" s="468">
        <f>'4a. OM less M&amp;S'!I239</f>
        <v>8740183.8599999994</v>
      </c>
      <c r="AK239" s="62">
        <f t="shared" si="45"/>
        <v>8740183.8599999994</v>
      </c>
      <c r="AL239" s="62">
        <f t="shared" si="47"/>
        <v>0</v>
      </c>
      <c r="AM239" s="62"/>
      <c r="AN239" s="62"/>
    </row>
    <row r="240" spans="1:40" x14ac:dyDescent="0.3">
      <c r="A240" s="461"/>
      <c r="B240" s="486" t="s">
        <v>524</v>
      </c>
      <c r="C240" s="486"/>
      <c r="D240" s="468">
        <f>SUM(D233:D239)</f>
        <v>0</v>
      </c>
      <c r="E240" s="468">
        <f t="shared" ref="E240:AB240" si="48">SUM(E233:E239)</f>
        <v>0</v>
      </c>
      <c r="F240" s="630"/>
      <c r="G240" s="630"/>
      <c r="H240" s="630"/>
      <c r="I240" s="468">
        <f t="shared" si="48"/>
        <v>0</v>
      </c>
      <c r="J240" s="468">
        <f t="shared" si="48"/>
        <v>0</v>
      </c>
      <c r="K240" s="468">
        <f t="shared" si="48"/>
        <v>0</v>
      </c>
      <c r="L240" s="468">
        <f t="shared" si="48"/>
        <v>0</v>
      </c>
      <c r="M240" s="468">
        <f t="shared" si="48"/>
        <v>0</v>
      </c>
      <c r="N240" s="468">
        <f t="shared" si="48"/>
        <v>0</v>
      </c>
      <c r="O240" s="468">
        <f t="shared" si="48"/>
        <v>0</v>
      </c>
      <c r="P240" s="468">
        <f t="shared" si="48"/>
        <v>0</v>
      </c>
      <c r="Q240" s="468">
        <f t="shared" si="48"/>
        <v>0</v>
      </c>
      <c r="R240" s="468">
        <f t="shared" si="48"/>
        <v>0</v>
      </c>
      <c r="S240" s="468">
        <f t="shared" si="48"/>
        <v>0</v>
      </c>
      <c r="T240" s="468">
        <f t="shared" si="48"/>
        <v>0</v>
      </c>
      <c r="U240" s="468">
        <f t="shared" si="48"/>
        <v>0</v>
      </c>
      <c r="V240" s="468">
        <f t="shared" si="48"/>
        <v>0</v>
      </c>
      <c r="W240" s="468">
        <f t="shared" si="48"/>
        <v>0</v>
      </c>
      <c r="X240" s="468">
        <f t="shared" si="48"/>
        <v>0</v>
      </c>
      <c r="Y240" s="468">
        <f t="shared" si="48"/>
        <v>0</v>
      </c>
      <c r="Z240" s="468">
        <f t="shared" si="48"/>
        <v>0</v>
      </c>
      <c r="AA240" s="468">
        <f t="shared" si="48"/>
        <v>0</v>
      </c>
      <c r="AB240" s="468">
        <f t="shared" si="48"/>
        <v>0</v>
      </c>
      <c r="AC240" s="468"/>
      <c r="AD240" s="468"/>
      <c r="AE240" s="468"/>
      <c r="AF240" s="468">
        <f t="shared" ref="AF240:AH240" si="49">SUM(AF233:AF239)</f>
        <v>11104841.719999999</v>
      </c>
      <c r="AG240" s="468">
        <f t="shared" si="49"/>
        <v>11104841.719999999</v>
      </c>
      <c r="AH240" s="468">
        <f t="shared" si="49"/>
        <v>0</v>
      </c>
      <c r="AI240" s="62"/>
      <c r="AJ240" s="171">
        <f t="shared" ref="AJ240" si="50">SUM(AJ233:AJ239)</f>
        <v>11104841.719999999</v>
      </c>
      <c r="AK240" s="62">
        <f t="shared" si="45"/>
        <v>11104841.719999999</v>
      </c>
      <c r="AL240" s="62">
        <f t="shared" si="47"/>
        <v>0</v>
      </c>
      <c r="AM240" s="62"/>
      <c r="AN240" s="62"/>
    </row>
    <row r="241" spans="1:40" x14ac:dyDescent="0.3">
      <c r="A241" s="461">
        <v>912913917</v>
      </c>
      <c r="B241" s="474"/>
      <c r="C241" s="474"/>
      <c r="D241" s="468"/>
      <c r="E241" s="468"/>
      <c r="F241" s="630"/>
      <c r="G241" s="630"/>
      <c r="H241" s="630"/>
      <c r="I241" s="468"/>
      <c r="J241" s="468"/>
      <c r="K241" s="468"/>
      <c r="L241" s="468"/>
      <c r="M241" s="468">
        <f>SUM(M235,M238)</f>
        <v>0</v>
      </c>
      <c r="N241" s="468"/>
      <c r="O241" s="468"/>
      <c r="P241" s="468"/>
      <c r="Q241" s="468"/>
      <c r="R241" s="468"/>
      <c r="S241" s="468"/>
      <c r="T241" s="468"/>
      <c r="U241" s="468"/>
      <c r="V241" s="468"/>
      <c r="W241" s="468"/>
      <c r="X241" s="468"/>
      <c r="Y241" s="468"/>
      <c r="Z241" s="468"/>
      <c r="AA241" s="468"/>
      <c r="AB241" s="468"/>
      <c r="AC241" s="468"/>
      <c r="AD241" s="468"/>
      <c r="AE241" s="468"/>
      <c r="AF241" s="468"/>
      <c r="AG241" s="468"/>
      <c r="AH241" s="468"/>
      <c r="AI241" s="62"/>
      <c r="AJ241" s="62"/>
      <c r="AK241" s="62"/>
      <c r="AL241" s="62"/>
      <c r="AM241" s="62"/>
      <c r="AN241" s="62"/>
    </row>
    <row r="242" spans="1:40" x14ac:dyDescent="0.3">
      <c r="A242" s="461"/>
      <c r="B242" s="487" t="s">
        <v>940</v>
      </c>
      <c r="C242" s="487"/>
      <c r="D242" s="468">
        <f t="shared" ref="D242:AF242" si="51">D240+D230+D222</f>
        <v>0</v>
      </c>
      <c r="E242" s="468">
        <f t="shared" si="51"/>
        <v>0</v>
      </c>
      <c r="F242" s="630"/>
      <c r="G242" s="630"/>
      <c r="H242" s="630"/>
      <c r="I242" s="468">
        <f t="shared" si="51"/>
        <v>0</v>
      </c>
      <c r="J242" s="468">
        <f t="shared" si="51"/>
        <v>0</v>
      </c>
      <c r="K242" s="468">
        <f>K240+K230+K222</f>
        <v>0</v>
      </c>
      <c r="L242" s="468">
        <f t="shared" si="51"/>
        <v>0</v>
      </c>
      <c r="M242" s="468">
        <f t="shared" si="51"/>
        <v>0</v>
      </c>
      <c r="N242" s="468">
        <f t="shared" si="51"/>
        <v>0</v>
      </c>
      <c r="O242" s="468">
        <f t="shared" si="51"/>
        <v>0</v>
      </c>
      <c r="P242" s="468">
        <f t="shared" si="51"/>
        <v>0</v>
      </c>
      <c r="Q242" s="468">
        <f t="shared" si="51"/>
        <v>0</v>
      </c>
      <c r="R242" s="468">
        <f t="shared" si="51"/>
        <v>0</v>
      </c>
      <c r="S242" s="468">
        <f t="shared" si="51"/>
        <v>0</v>
      </c>
      <c r="T242" s="468">
        <f t="shared" si="51"/>
        <v>0</v>
      </c>
      <c r="U242" s="468">
        <f t="shared" si="51"/>
        <v>0</v>
      </c>
      <c r="V242" s="468">
        <f t="shared" si="51"/>
        <v>0</v>
      </c>
      <c r="W242" s="468">
        <f t="shared" si="51"/>
        <v>0</v>
      </c>
      <c r="X242" s="468">
        <f t="shared" si="51"/>
        <v>8730844.6111512706</v>
      </c>
      <c r="Y242" s="468">
        <f t="shared" si="51"/>
        <v>0</v>
      </c>
      <c r="Z242" s="468">
        <f t="shared" si="51"/>
        <v>8730844.6111512706</v>
      </c>
      <c r="AA242" s="468">
        <f t="shared" si="51"/>
        <v>5156971.9561113566</v>
      </c>
      <c r="AB242" s="468">
        <f t="shared" si="51"/>
        <v>18774708.679361157</v>
      </c>
      <c r="AC242" s="468">
        <f t="shared" si="51"/>
        <v>18774708.679361157</v>
      </c>
      <c r="AD242" s="468">
        <f t="shared" si="51"/>
        <v>0</v>
      </c>
      <c r="AE242" s="468">
        <f t="shared" si="51"/>
        <v>0</v>
      </c>
      <c r="AF242" s="468">
        <f t="shared" si="51"/>
        <v>11104841.719999999</v>
      </c>
      <c r="AG242" s="468">
        <f>AG240+AG230+AG222</f>
        <v>11104841.719999999</v>
      </c>
      <c r="AH242" s="468">
        <f>AH240+AH230+AH222</f>
        <v>0</v>
      </c>
      <c r="AI242" s="62"/>
      <c r="AJ242" s="171">
        <f>AJ240+AJ230+AJ222</f>
        <v>43767366.966623783</v>
      </c>
      <c r="AK242" s="62">
        <f t="shared" ref="AK242:AK244" si="52">SUM(F242:K242,L242,N242:W242,Y242:Z242,AA242:AA242,AC242:AE242,AG242:AH242)</f>
        <v>43767366.966623783</v>
      </c>
      <c r="AL242" s="62">
        <f>AJ242-AK242</f>
        <v>0</v>
      </c>
      <c r="AM242" s="62"/>
      <c r="AN242" s="62"/>
    </row>
    <row r="243" spans="1:40" x14ac:dyDescent="0.3">
      <c r="A243" s="461" t="s">
        <v>836</v>
      </c>
      <c r="B243" s="479" t="s">
        <v>884</v>
      </c>
      <c r="C243" s="461"/>
      <c r="D243" s="468">
        <f t="shared" ref="D243:AH243" si="53">D152+D211+D242</f>
        <v>213001170.19</v>
      </c>
      <c r="E243" s="468">
        <f t="shared" si="53"/>
        <v>163296827.6251086</v>
      </c>
      <c r="F243" s="630"/>
      <c r="G243" s="630"/>
      <c r="H243" s="630"/>
      <c r="I243" s="468">
        <f t="shared" si="53"/>
        <v>49704342.564891413</v>
      </c>
      <c r="J243" s="468">
        <f t="shared" si="53"/>
        <v>0</v>
      </c>
      <c r="K243" s="468">
        <f t="shared" si="53"/>
        <v>0</v>
      </c>
      <c r="L243" s="468">
        <f t="shared" si="53"/>
        <v>18822174.359999999</v>
      </c>
      <c r="M243" s="468">
        <f t="shared" si="53"/>
        <v>83409257.848725498</v>
      </c>
      <c r="N243" s="468">
        <f t="shared" si="53"/>
        <v>18079565.940039992</v>
      </c>
      <c r="O243" s="468">
        <f t="shared" si="53"/>
        <v>26435630.163846012</v>
      </c>
      <c r="P243" s="468">
        <f t="shared" si="53"/>
        <v>7264609.7839000179</v>
      </c>
      <c r="Q243" s="468">
        <f t="shared" si="53"/>
        <v>1069772.4244227617</v>
      </c>
      <c r="R243" s="468">
        <f t="shared" si="53"/>
        <v>18555492.086552326</v>
      </c>
      <c r="S243" s="468">
        <f t="shared" si="53"/>
        <v>4922820.6384585146</v>
      </c>
      <c r="T243" s="468">
        <f t="shared" si="53"/>
        <v>1169419.6248588965</v>
      </c>
      <c r="U243" s="468">
        <f t="shared" si="53"/>
        <v>0</v>
      </c>
      <c r="V243" s="468">
        <f t="shared" si="53"/>
        <v>4483672.5415905016</v>
      </c>
      <c r="W243" s="468">
        <f t="shared" si="53"/>
        <v>1428274.6450564705</v>
      </c>
      <c r="X243" s="468">
        <f t="shared" si="53"/>
        <v>19706104.882425778</v>
      </c>
      <c r="Y243" s="468">
        <f t="shared" si="53"/>
        <v>10975260.271274507</v>
      </c>
      <c r="Z243" s="468">
        <f t="shared" si="53"/>
        <v>8730844.6111512706</v>
      </c>
      <c r="AA243" s="468">
        <f t="shared" si="53"/>
        <v>5156971.9561113566</v>
      </c>
      <c r="AB243" s="468">
        <f t="shared" si="53"/>
        <v>18774708.679361157</v>
      </c>
      <c r="AC243" s="468">
        <f t="shared" si="53"/>
        <v>18774708.679361157</v>
      </c>
      <c r="AD243" s="468">
        <f t="shared" si="53"/>
        <v>0</v>
      </c>
      <c r="AE243" s="468">
        <f t="shared" si="53"/>
        <v>0</v>
      </c>
      <c r="AF243" s="468">
        <f t="shared" si="53"/>
        <v>11104841.719999999</v>
      </c>
      <c r="AG243" s="468">
        <f t="shared" si="53"/>
        <v>11104841.719999999</v>
      </c>
      <c r="AH243" s="468">
        <f t="shared" si="53"/>
        <v>0</v>
      </c>
      <c r="AI243" s="62"/>
      <c r="AJ243" s="468">
        <f>'4a. OM less M&amp;S'!I243</f>
        <v>369975229.6366238</v>
      </c>
      <c r="AK243" s="62">
        <f>SUM(E243,I243:K243,L243,N243:W243,Y243:Z243,AA243:AA243,AC243:AE243,AG243:AH243)</f>
        <v>369975229.63662386</v>
      </c>
      <c r="AL243" s="62">
        <f>AJ243-AK243</f>
        <v>0</v>
      </c>
      <c r="AM243" s="62"/>
      <c r="AN243" s="62"/>
    </row>
    <row r="244" spans="1:40" x14ac:dyDescent="0.3">
      <c r="A244" s="461" t="s">
        <v>919</v>
      </c>
      <c r="B244" s="479"/>
      <c r="C244" s="461"/>
      <c r="D244" s="468"/>
      <c r="E244" s="468"/>
      <c r="F244" s="630"/>
      <c r="G244" s="630"/>
      <c r="H244" s="630"/>
      <c r="I244" s="468"/>
      <c r="J244" s="468"/>
      <c r="K244" s="468"/>
      <c r="L244" s="468"/>
      <c r="M244" s="468"/>
      <c r="N244" s="468"/>
      <c r="O244" s="468"/>
      <c r="P244" s="468"/>
      <c r="Q244" s="468"/>
      <c r="R244" s="468"/>
      <c r="S244" s="468"/>
      <c r="T244" s="468"/>
      <c r="U244" s="468"/>
      <c r="V244" s="468"/>
      <c r="W244" s="468"/>
      <c r="X244" s="468"/>
      <c r="Y244" s="468"/>
      <c r="Z244" s="468"/>
      <c r="AA244" s="468"/>
      <c r="AB244" s="468"/>
      <c r="AC244" s="468"/>
      <c r="AD244" s="468"/>
      <c r="AE244" s="468"/>
      <c r="AF244" s="468"/>
      <c r="AG244" s="468"/>
      <c r="AH244" s="468"/>
      <c r="AI244" s="62"/>
      <c r="AJ244" s="171"/>
      <c r="AK244" s="62">
        <f t="shared" si="52"/>
        <v>0</v>
      </c>
      <c r="AL244" s="62"/>
      <c r="AM244" s="62"/>
      <c r="AN244" s="62"/>
    </row>
    <row r="245" spans="1:40" x14ac:dyDescent="0.3">
      <c r="A245" s="461"/>
      <c r="B245" s="479"/>
      <c r="C245" s="461"/>
      <c r="D245" s="468"/>
      <c r="E245" s="468"/>
      <c r="F245" s="630"/>
      <c r="G245" s="630"/>
      <c r="H245" s="630"/>
      <c r="I245" s="468"/>
      <c r="J245" s="468"/>
      <c r="K245" s="468"/>
      <c r="L245" s="468"/>
      <c r="M245" s="468"/>
      <c r="N245" s="468"/>
      <c r="O245" s="468"/>
      <c r="P245" s="468"/>
      <c r="Q245" s="468"/>
      <c r="R245" s="468"/>
      <c r="S245" s="468"/>
      <c r="T245" s="468"/>
      <c r="U245" s="468"/>
      <c r="V245" s="468"/>
      <c r="W245" s="468"/>
      <c r="X245" s="468"/>
      <c r="Y245" s="468"/>
      <c r="Z245" s="468"/>
      <c r="AA245" s="468"/>
      <c r="AB245" s="468"/>
      <c r="AC245" s="468"/>
      <c r="AD245" s="468"/>
      <c r="AE245" s="468"/>
      <c r="AF245" s="468"/>
      <c r="AG245" s="468"/>
      <c r="AH245" s="468"/>
      <c r="AI245" s="62"/>
      <c r="AJ245" s="171"/>
      <c r="AK245" s="62"/>
      <c r="AL245" s="62"/>
      <c r="AM245" s="62"/>
      <c r="AN245" s="62"/>
    </row>
    <row r="246" spans="1:40" x14ac:dyDescent="0.3">
      <c r="A246" s="461"/>
      <c r="B246" s="479"/>
      <c r="C246" s="461"/>
      <c r="D246" s="468"/>
      <c r="E246" s="468"/>
      <c r="F246" s="630"/>
      <c r="G246" s="630"/>
      <c r="H246" s="630"/>
      <c r="I246" s="468"/>
      <c r="J246" s="468"/>
      <c r="K246" s="468"/>
      <c r="L246" s="468"/>
      <c r="M246" s="468"/>
      <c r="N246" s="468"/>
      <c r="O246" s="468"/>
      <c r="P246" s="468"/>
      <c r="Q246" s="468"/>
      <c r="R246" s="468"/>
      <c r="S246" s="468"/>
      <c r="T246" s="468"/>
      <c r="U246" s="468"/>
      <c r="V246" s="468"/>
      <c r="W246" s="468"/>
      <c r="X246" s="468"/>
      <c r="Y246" s="468"/>
      <c r="Z246" s="468"/>
      <c r="AA246" s="468"/>
      <c r="AB246" s="468"/>
      <c r="AC246" s="468"/>
      <c r="AD246" s="468"/>
      <c r="AE246" s="468"/>
      <c r="AF246" s="468"/>
      <c r="AG246" s="468"/>
      <c r="AH246" s="468"/>
      <c r="AI246" s="62"/>
      <c r="AJ246" s="171"/>
      <c r="AK246" s="62"/>
      <c r="AL246" s="62"/>
      <c r="AM246" s="62"/>
      <c r="AN246" s="62"/>
    </row>
    <row r="247" spans="1:40" x14ac:dyDescent="0.3">
      <c r="A247" s="461"/>
      <c r="B247" s="479"/>
      <c r="C247" s="461"/>
      <c r="D247" s="468"/>
      <c r="E247" s="468"/>
      <c r="F247" s="630"/>
      <c r="G247" s="630"/>
      <c r="H247" s="630"/>
      <c r="I247" s="468"/>
      <c r="J247" s="468"/>
      <c r="K247" s="468"/>
      <c r="L247" s="468"/>
      <c r="M247" s="468"/>
      <c r="N247" s="468"/>
      <c r="O247" s="468"/>
      <c r="P247" s="468"/>
      <c r="Q247" s="468"/>
      <c r="R247" s="468"/>
      <c r="S247" s="468"/>
      <c r="T247" s="468"/>
      <c r="U247" s="468"/>
      <c r="V247" s="468"/>
      <c r="W247" s="468"/>
      <c r="X247" s="468"/>
      <c r="Y247" s="468"/>
      <c r="Z247" s="468"/>
      <c r="AA247" s="468"/>
      <c r="AB247" s="468"/>
      <c r="AC247" s="468"/>
      <c r="AD247" s="468"/>
      <c r="AE247" s="468"/>
      <c r="AF247" s="468"/>
      <c r="AG247" s="468"/>
      <c r="AH247" s="468"/>
      <c r="AI247" s="62"/>
      <c r="AJ247" s="171"/>
      <c r="AK247" s="62"/>
      <c r="AL247" s="62"/>
      <c r="AM247" s="62"/>
      <c r="AN247" s="62"/>
    </row>
    <row r="248" spans="1:40" x14ac:dyDescent="0.3">
      <c r="A248" s="479" t="s">
        <v>1332</v>
      </c>
      <c r="B248" s="461"/>
      <c r="C248" s="461"/>
      <c r="D248" s="468"/>
      <c r="E248" s="468"/>
      <c r="F248" s="630"/>
      <c r="G248" s="630"/>
      <c r="H248" s="630"/>
      <c r="I248" s="468"/>
      <c r="J248" s="468"/>
      <c r="K248" s="468"/>
      <c r="L248" s="468"/>
      <c r="M248" s="468"/>
      <c r="N248" s="468"/>
      <c r="O248" s="468"/>
      <c r="P248" s="468"/>
      <c r="Q248" s="468"/>
      <c r="R248" s="468"/>
      <c r="S248" s="468"/>
      <c r="T248" s="468"/>
      <c r="U248" s="468"/>
      <c r="V248" s="468"/>
      <c r="W248" s="468"/>
      <c r="X248" s="468"/>
      <c r="Y248" s="468"/>
      <c r="Z248" s="468"/>
      <c r="AA248" s="468"/>
      <c r="AB248" s="468"/>
      <c r="AC248" s="468"/>
      <c r="AD248" s="468"/>
      <c r="AE248" s="468"/>
      <c r="AF248" s="468"/>
      <c r="AG248" s="468"/>
      <c r="AH248" s="468"/>
      <c r="AI248" s="62"/>
      <c r="AJ248" s="62"/>
      <c r="AK248" s="62"/>
      <c r="AL248" s="62"/>
      <c r="AM248" s="62"/>
      <c r="AN248" s="62"/>
    </row>
    <row r="249" spans="1:40" x14ac:dyDescent="0.3">
      <c r="A249" s="461">
        <v>920</v>
      </c>
      <c r="B249" s="461" t="s">
        <v>725</v>
      </c>
      <c r="C249" s="461"/>
      <c r="D249" s="468">
        <f>+'4a. OM less M&amp;S'!J249</f>
        <v>8136724.4874162078</v>
      </c>
      <c r="E249" s="468">
        <f>$D249*'3c. OM_AG-sfaf'!E249/'3c. OM_AG-sfaf'!$D249</f>
        <v>5349213.9155345568</v>
      </c>
      <c r="F249" s="630"/>
      <c r="G249" s="630"/>
      <c r="H249" s="630"/>
      <c r="I249" s="468">
        <f>$D249*'3c. OM_AG-sfaf'!I249/'3c. OM_AG-sfaf'!$D249</f>
        <v>2787510.5718816509</v>
      </c>
      <c r="J249" s="468">
        <f>$D249*'3c. OM_AG-sfaf'!J249/'3c. OM_AG-sfaf'!$D249</f>
        <v>0</v>
      </c>
      <c r="K249" s="468">
        <f>$D249*'3c. OM_AG-sfaf'!K249/'3c. OM_AG-sfaf'!$D249</f>
        <v>0</v>
      </c>
      <c r="L249" s="468">
        <f>+'4a. OM less M&amp;S'!K249</f>
        <v>2772607.1197219491</v>
      </c>
      <c r="M249" s="468">
        <f>+'4a. OM less M&amp;S'!L249</f>
        <v>11426196.545812767</v>
      </c>
      <c r="N249" s="468">
        <f>$M249*'3c. OM_AG-sfaf'!N249/'3c. OM_AG-sfaf'!$M249</f>
        <v>3588651.6188960657</v>
      </c>
      <c r="O249" s="468">
        <f>$M249*'3c. OM_AG-sfaf'!O249/'3c. OM_AG-sfaf'!$M249</f>
        <v>3268032.814046389</v>
      </c>
      <c r="P249" s="468">
        <f>$M249*'3c. OM_AG-sfaf'!P249/'3c. OM_AG-sfaf'!$M249</f>
        <v>899519.82116756402</v>
      </c>
      <c r="Q249" s="468">
        <f>$M249*'3c. OM_AG-sfaf'!Q249/'3c. OM_AG-sfaf'!$M249</f>
        <v>176177.2564481154</v>
      </c>
      <c r="R249" s="468">
        <f>$M249*'3c. OM_AG-sfaf'!R249/'3c. OM_AG-sfaf'!$M249</f>
        <v>2322637.2838672283</v>
      </c>
      <c r="S249" s="468">
        <f>$M249*'3c. OM_AG-sfaf'!S249/'3c. OM_AG-sfaf'!$M249</f>
        <v>618153.68429701671</v>
      </c>
      <c r="T249" s="468">
        <f>$M249*'3c. OM_AG-sfaf'!T249/'3c. OM_AG-sfaf'!$M249</f>
        <v>192587.82189622594</v>
      </c>
      <c r="U249" s="468">
        <f>$M249*'3c. OM_AG-sfaf'!U249/'3c. OM_AG-sfaf'!$M249</f>
        <v>0</v>
      </c>
      <c r="V249" s="468">
        <f>$M249*'3c. OM_AG-sfaf'!V249/'3c. OM_AG-sfaf'!$M249</f>
        <v>324512.69424578553</v>
      </c>
      <c r="W249" s="468">
        <f>$M249*'3c. OM_AG-sfaf'!W249/'3c. OM_AG-sfaf'!$M249</f>
        <v>35923.550948377269</v>
      </c>
      <c r="X249" s="468">
        <f>+'4a. OM less M&amp;S'!M249</f>
        <v>994276.52614300488</v>
      </c>
      <c r="Y249" s="468">
        <f>$X249*'3c. OM_AG-sfaf'!Y249/'3c. OM_AG-sfaf'!$X249</f>
        <v>483336.76263031457</v>
      </c>
      <c r="Z249" s="468">
        <f>$X249*'3c. OM_AG-sfaf'!Z249/'3c. OM_AG-sfaf'!$X249</f>
        <v>510939.76351269038</v>
      </c>
      <c r="AA249" s="468">
        <f>+'4a. OM less M&amp;S'!N249</f>
        <v>377926.43644693447</v>
      </c>
      <c r="AB249" s="468">
        <f>+'4a. OM less M&amp;S'!O249</f>
        <v>1127081.7737361239</v>
      </c>
      <c r="AC249" s="468">
        <f>$AB249*'3c. OM_AG-sfaf'!AC249/'3c. OM_AG-sfaf'!$AB249</f>
        <v>1022725.2814838565</v>
      </c>
      <c r="AD249" s="468">
        <f>$AB249*'3c. OM_AG-sfaf'!AD249/'3c. OM_AG-sfaf'!$AB249</f>
        <v>104356.4922522673</v>
      </c>
      <c r="AE249" s="468">
        <f>$AB249*'3c. OM_AG-sfaf'!AE249/'3c. OM_AG-sfaf'!$AB249</f>
        <v>0</v>
      </c>
      <c r="AF249" s="468">
        <f>+'4a. OM less M&amp;S'!P249</f>
        <v>625076.52072301728</v>
      </c>
      <c r="AG249" s="468">
        <f>$AF249*'3c. OM_AG-sfaf'!AG249/'3c. OM_AG-sfaf'!$AF249</f>
        <v>625076.52072301728</v>
      </c>
      <c r="AH249" s="468">
        <f>'4a. OM less M&amp;S'!Q249</f>
        <v>0</v>
      </c>
      <c r="AI249" s="62"/>
      <c r="AJ249" s="468">
        <f>'4a. OM less M&amp;S'!I249</f>
        <v>25459889.41</v>
      </c>
      <c r="AK249" s="62">
        <f t="shared" ref="AK249:AK275" si="54">SUM(E249,I249:K249,L249,N249:W249,Y249:Z249,AA249:AA249,AC249:AE249,AG249:AH249)</f>
        <v>25459889.410000004</v>
      </c>
      <c r="AL249" s="62">
        <f t="shared" ref="AL249:AL275" si="55">AJ249-AK249</f>
        <v>0</v>
      </c>
      <c r="AM249" s="62"/>
      <c r="AN249" s="62"/>
    </row>
    <row r="250" spans="1:40" x14ac:dyDescent="0.3">
      <c r="A250" s="461" t="s">
        <v>1209</v>
      </c>
      <c r="B250" s="461" t="s">
        <v>58</v>
      </c>
      <c r="C250" s="461"/>
      <c r="D250" s="669"/>
      <c r="E250" s="669"/>
      <c r="F250" s="669"/>
      <c r="G250" s="669"/>
      <c r="H250" s="669"/>
      <c r="I250" s="669"/>
      <c r="J250" s="669"/>
      <c r="K250" s="669"/>
      <c r="L250" s="669"/>
      <c r="M250" s="669"/>
      <c r="N250" s="669"/>
      <c r="O250" s="669"/>
      <c r="P250" s="669"/>
      <c r="Q250" s="669"/>
      <c r="R250" s="669"/>
      <c r="S250" s="669"/>
      <c r="T250" s="669"/>
      <c r="U250" s="669"/>
      <c r="V250" s="669"/>
      <c r="W250" s="669"/>
      <c r="X250" s="669"/>
      <c r="Y250" s="669"/>
      <c r="Z250" s="669"/>
      <c r="AA250" s="669"/>
      <c r="AB250" s="669"/>
      <c r="AC250" s="669"/>
      <c r="AD250" s="669"/>
      <c r="AE250" s="669"/>
      <c r="AF250" s="669"/>
      <c r="AG250" s="669"/>
      <c r="AH250" s="669"/>
      <c r="AI250" s="62"/>
      <c r="AJ250" s="468">
        <f>'4a. OM less M&amp;S'!I250</f>
        <v>0</v>
      </c>
      <c r="AK250" s="62">
        <f t="shared" si="54"/>
        <v>0</v>
      </c>
      <c r="AL250" s="62">
        <f t="shared" si="55"/>
        <v>0</v>
      </c>
      <c r="AM250" s="62"/>
      <c r="AN250" s="62"/>
    </row>
    <row r="251" spans="1:40" x14ac:dyDescent="0.3">
      <c r="A251" s="461">
        <v>921</v>
      </c>
      <c r="B251" s="461" t="s">
        <v>727</v>
      </c>
      <c r="C251" s="461"/>
      <c r="D251" s="468">
        <f>'4a. OM less M&amp;S'!J251</f>
        <v>764608.90520668414</v>
      </c>
      <c r="E251" s="468">
        <f>$D251*'3c. OM_AG-sfaf'!E251/'3c. OM_AG-sfaf'!$D251</f>
        <v>502666.22668601904</v>
      </c>
      <c r="F251" s="630"/>
      <c r="G251" s="630"/>
      <c r="H251" s="630"/>
      <c r="I251" s="468">
        <f>$D251*'3c. OM_AG-sfaf'!I251/'3c. OM_AG-sfaf'!$D251</f>
        <v>261942.67852066507</v>
      </c>
      <c r="J251" s="468">
        <f>$D251*'3c. OM_AG-sfaf'!J251/'3c. OM_AG-sfaf'!$D251</f>
        <v>0</v>
      </c>
      <c r="K251" s="468">
        <f>$D251*'7c. LX_AG-sfaf'!K249/'7c. LX_AG-sfaf'!$D249</f>
        <v>0</v>
      </c>
      <c r="L251" s="468">
        <f>'4a. OM less M&amp;S'!K251</f>
        <v>260542.19946336714</v>
      </c>
      <c r="M251" s="468">
        <f>'4a. OM less M&amp;S'!L251</f>
        <v>1073720.9604530395</v>
      </c>
      <c r="N251" s="468">
        <f>$M251*'3c. OM_AG-sfaf'!N251/'3c. OM_AG-sfaf'!$M251</f>
        <v>337225.9918270426</v>
      </c>
      <c r="O251" s="468">
        <f>$M251*'3c. OM_AG-sfaf'!O251/'3c. OM_AG-sfaf'!$M251</f>
        <v>307097.40706988162</v>
      </c>
      <c r="P251" s="468">
        <f>$M251*'3c. OM_AG-sfaf'!P251/'3c. OM_AG-sfaf'!$M251</f>
        <v>84527.97765714275</v>
      </c>
      <c r="Q251" s="468">
        <f>$M251*'3c. OM_AG-sfaf'!Q251/'3c. OM_AG-sfaf'!$M251</f>
        <v>16555.396386278091</v>
      </c>
      <c r="R251" s="468">
        <f>$M251*'3c. OM_AG-sfaf'!R251/'3c. OM_AG-sfaf'!$M251</f>
        <v>218258.48393373369</v>
      </c>
      <c r="S251" s="468">
        <f>$M251*'3c. OM_AG-sfaf'!S251/'3c. OM_AG-sfaf'!$M251</f>
        <v>58087.970476422939</v>
      </c>
      <c r="T251" s="468">
        <f>$M251*'3c. OM_AG-sfaf'!T251/'3c. OM_AG-sfaf'!$M251</f>
        <v>18097.499046938159</v>
      </c>
      <c r="U251" s="468">
        <f>$M251*'3c. OM_AG-sfaf'!U251/'3c. OM_AG-sfaf'!$M251</f>
        <v>0</v>
      </c>
      <c r="V251" s="468">
        <f>$M251*'3c. OM_AG-sfaf'!V251/'3c. OM_AG-sfaf'!$M251</f>
        <v>30494.493976867216</v>
      </c>
      <c r="W251" s="468">
        <f>$M251*'3c. OM_AG-sfaf'!W251/'3c. OM_AG-sfaf'!$M251</f>
        <v>3375.7400787325291</v>
      </c>
      <c r="X251" s="468">
        <f>'4a. OM less M&amp;S'!M251</f>
        <v>93432.275764361999</v>
      </c>
      <c r="Y251" s="468">
        <f>$X251*'3c. OM_AG-sfaf'!Y251/'3c. OM_AG-sfaf'!$X251</f>
        <v>45419.209350452227</v>
      </c>
      <c r="Z251" s="468">
        <f>$X251*'3c. OM_AG-sfaf'!Z251/'3c. OM_AG-sfaf'!$X251</f>
        <v>48013.066413909772</v>
      </c>
      <c r="AA251" s="468">
        <f>'4a. OM less M&amp;S'!N251</f>
        <v>35513.789273220718</v>
      </c>
      <c r="AB251" s="468">
        <f>'4a. OM less M&amp;S'!O251</f>
        <v>105911.99965386071</v>
      </c>
      <c r="AC251" s="468">
        <f>$AB251*'3c. OM_AG-sfaf'!AC251/'3c. OM_AG-sfaf'!$AB251</f>
        <v>96105.608468363702</v>
      </c>
      <c r="AD251" s="468">
        <f>$AB251*'3c. OM_AG-sfaf'!AD251/'3c. OM_AG-sfaf'!$AB251</f>
        <v>9806.3911854970029</v>
      </c>
      <c r="AE251" s="468">
        <f>$AB251*'3c. OM_AG-sfaf'!AE251/'3c. OM_AG-sfaf'!$AB251</f>
        <v>0</v>
      </c>
      <c r="AF251" s="468">
        <f>'4a. OM less M&amp;S'!P251</f>
        <v>58738.510185466243</v>
      </c>
      <c r="AG251" s="468">
        <f>$AF251*'3c. OM_AG-sfaf'!AG251/'3c. OM_AG-sfaf'!$AF251</f>
        <v>58738.510185466243</v>
      </c>
      <c r="AH251" s="468">
        <f>'4a. OM less M&amp;S'!Q251</f>
        <v>0</v>
      </c>
      <c r="AI251" s="62"/>
      <c r="AJ251" s="468">
        <f>'4a. OM less M&amp;S'!I251</f>
        <v>2392468.64</v>
      </c>
      <c r="AK251" s="62">
        <f t="shared" si="54"/>
        <v>2392468.64</v>
      </c>
      <c r="AL251" s="62">
        <f t="shared" si="55"/>
        <v>0</v>
      </c>
      <c r="AM251" s="62"/>
      <c r="AN251" s="62"/>
    </row>
    <row r="252" spans="1:40" x14ac:dyDescent="0.3">
      <c r="A252" s="461" t="s">
        <v>1210</v>
      </c>
      <c r="B252" s="461" t="s">
        <v>60</v>
      </c>
      <c r="C252" s="461"/>
      <c r="D252" s="669"/>
      <c r="E252" s="669"/>
      <c r="F252" s="669"/>
      <c r="G252" s="669"/>
      <c r="H252" s="669"/>
      <c r="I252" s="669"/>
      <c r="J252" s="669"/>
      <c r="K252" s="669"/>
      <c r="L252" s="669"/>
      <c r="M252" s="669"/>
      <c r="N252" s="669"/>
      <c r="O252" s="669"/>
      <c r="P252" s="669"/>
      <c r="Q252" s="669"/>
      <c r="R252" s="669"/>
      <c r="S252" s="669"/>
      <c r="T252" s="669"/>
      <c r="U252" s="669"/>
      <c r="V252" s="669"/>
      <c r="W252" s="669"/>
      <c r="X252" s="669"/>
      <c r="Y252" s="669"/>
      <c r="Z252" s="669"/>
      <c r="AA252" s="669"/>
      <c r="AB252" s="669"/>
      <c r="AC252" s="669"/>
      <c r="AD252" s="669"/>
      <c r="AE252" s="669"/>
      <c r="AF252" s="669"/>
      <c r="AG252" s="669"/>
      <c r="AH252" s="669"/>
      <c r="AI252" s="62"/>
      <c r="AJ252" s="468">
        <f>'4a. OM less M&amp;S'!I252</f>
        <v>0</v>
      </c>
      <c r="AK252" s="62">
        <f t="shared" si="54"/>
        <v>0</v>
      </c>
      <c r="AL252" s="62">
        <f t="shared" si="55"/>
        <v>0</v>
      </c>
      <c r="AM252" s="62"/>
      <c r="AN252" s="62"/>
    </row>
    <row r="253" spans="1:40" x14ac:dyDescent="0.3">
      <c r="A253" s="461">
        <v>922</v>
      </c>
      <c r="B253" s="461" t="s">
        <v>729</v>
      </c>
      <c r="C253" s="461"/>
      <c r="D253" s="468">
        <f>'4a. OM less M&amp;S'!J253</f>
        <v>0</v>
      </c>
      <c r="E253" s="468">
        <f>$D253*'3c. OM_AG-sfaf'!E253/'3c. OM_AG-sfaf'!$D253</f>
        <v>0</v>
      </c>
      <c r="F253" s="630"/>
      <c r="G253" s="630"/>
      <c r="H253" s="630"/>
      <c r="I253" s="468">
        <f>$D253*'3c. OM_AG-sfaf'!I253/'3c. OM_AG-sfaf'!$D253</f>
        <v>0</v>
      </c>
      <c r="J253" s="468">
        <f>$D253*'3c. OM_AG-sfaf'!J253/'3c. OM_AG-sfaf'!$D253</f>
        <v>0</v>
      </c>
      <c r="K253" s="468">
        <f>$D253*'3c. OM_AG-sfaf'!K253/'3c. OM_AG-sfaf'!$D253</f>
        <v>0</v>
      </c>
      <c r="L253" s="468">
        <f>'4a. OM less M&amp;S'!K253</f>
        <v>0</v>
      </c>
      <c r="M253" s="468">
        <f>'4a. OM less M&amp;S'!L253</f>
        <v>0</v>
      </c>
      <c r="N253" s="468">
        <f>$M253*'3c. OM_AG-sfaf'!N253/'3c. OM_AG-sfaf'!$M253</f>
        <v>0</v>
      </c>
      <c r="O253" s="468">
        <f>$M253*'3c. OM_AG-sfaf'!O253/'3c. OM_AG-sfaf'!$M253</f>
        <v>0</v>
      </c>
      <c r="P253" s="468">
        <f>$M253*'3c. OM_AG-sfaf'!P253/'3c. OM_AG-sfaf'!$M253</f>
        <v>0</v>
      </c>
      <c r="Q253" s="468">
        <f>$M253*'3c. OM_AG-sfaf'!Q253/'3c. OM_AG-sfaf'!$M253</f>
        <v>0</v>
      </c>
      <c r="R253" s="468">
        <f>$M253*'3c. OM_AG-sfaf'!R253/'3c. OM_AG-sfaf'!$M253</f>
        <v>0</v>
      </c>
      <c r="S253" s="468">
        <f>$M253*'3c. OM_AG-sfaf'!S253/'3c. OM_AG-sfaf'!$M253</f>
        <v>0</v>
      </c>
      <c r="T253" s="468">
        <f>$M253*'3c. OM_AG-sfaf'!T253/'3c. OM_AG-sfaf'!$M253</f>
        <v>0</v>
      </c>
      <c r="U253" s="468">
        <f>$M253*'3c. OM_AG-sfaf'!U253/'3c. OM_AG-sfaf'!$M253</f>
        <v>0</v>
      </c>
      <c r="V253" s="468">
        <f>$M253*'3c. OM_AG-sfaf'!V253/'3c. OM_AG-sfaf'!$M253</f>
        <v>0</v>
      </c>
      <c r="W253" s="468">
        <f>$M253*'3c. OM_AG-sfaf'!W253/'3c. OM_AG-sfaf'!$M253</f>
        <v>0</v>
      </c>
      <c r="X253" s="468">
        <f>'4a. OM less M&amp;S'!M253</f>
        <v>0</v>
      </c>
      <c r="Y253" s="468">
        <f>$X253*'3c. OM_AG-sfaf'!Y253/'3c. OM_AG-sfaf'!$X253</f>
        <v>0</v>
      </c>
      <c r="Z253" s="468">
        <f>$X253*'3c. OM_AG-sfaf'!Z253/'3c. OM_AG-sfaf'!$X253</f>
        <v>0</v>
      </c>
      <c r="AA253" s="468">
        <f>'4a. OM less M&amp;S'!N253</f>
        <v>0</v>
      </c>
      <c r="AB253" s="468">
        <f>'4a. OM less M&amp;S'!O253</f>
        <v>0</v>
      </c>
      <c r="AC253" s="468">
        <f>$AB253*'3c. OM_AG-sfaf'!AC253/'3c. OM_AG-sfaf'!$AB253</f>
        <v>0</v>
      </c>
      <c r="AD253" s="468">
        <f>$AB253*'3c. OM_AG-sfaf'!AD253/'3c. OM_AG-sfaf'!$AB253</f>
        <v>0</v>
      </c>
      <c r="AE253" s="468">
        <f>$AB253*'3c. OM_AG-sfaf'!AE253/'3c. OM_AG-sfaf'!$AB253</f>
        <v>0</v>
      </c>
      <c r="AF253" s="468">
        <f>'4a. OM less M&amp;S'!P253</f>
        <v>0</v>
      </c>
      <c r="AG253" s="468">
        <f>$AF253*'3c. OM_AG-sfaf'!AG253/'3c. OM_AG-sfaf'!$AF253</f>
        <v>0</v>
      </c>
      <c r="AH253" s="468">
        <f>'4a. OM less M&amp;S'!Q253</f>
        <v>0</v>
      </c>
      <c r="AI253" s="62"/>
      <c r="AJ253" s="468">
        <f>'4a. OM less M&amp;S'!I253</f>
        <v>0</v>
      </c>
      <c r="AK253" s="62">
        <f t="shared" si="54"/>
        <v>0</v>
      </c>
      <c r="AL253" s="62">
        <f t="shared" si="55"/>
        <v>0</v>
      </c>
      <c r="AM253" s="62"/>
      <c r="AN253" s="62"/>
    </row>
    <row r="254" spans="1:40" x14ac:dyDescent="0.3">
      <c r="A254" s="461">
        <v>923</v>
      </c>
      <c r="B254" s="466" t="s">
        <v>731</v>
      </c>
      <c r="C254" s="466"/>
      <c r="D254" s="468">
        <f>'4a. OM less M&amp;S'!J254</f>
        <v>22998296.078654788</v>
      </c>
      <c r="E254" s="468">
        <f>$D254*'3c. OM_AG-sfaf'!E254/'3c. OM_AG-sfaf'!$D254</f>
        <v>15119450.782410545</v>
      </c>
      <c r="F254" s="630"/>
      <c r="G254" s="630"/>
      <c r="H254" s="630"/>
      <c r="I254" s="468">
        <f>$D254*'3c. OM_AG-sfaf'!I254/'3c. OM_AG-sfaf'!$D254</f>
        <v>7878845.2962442441</v>
      </c>
      <c r="J254" s="468">
        <f>$D254*'3c. OM_AG-sfaf'!J254/'3c. OM_AG-sfaf'!$D254</f>
        <v>0</v>
      </c>
      <c r="K254" s="468">
        <f>$D254*'3c. OM_AG-sfaf'!K254/'3c. OM_AG-sfaf'!$D254</f>
        <v>0</v>
      </c>
      <c r="L254" s="468">
        <f>'4a. OM less M&amp;S'!K254</f>
        <v>2032279.6273335568</v>
      </c>
      <c r="M254" s="468">
        <f>'4a. OM less M&amp;S'!L254</f>
        <v>9005916.7562071402</v>
      </c>
      <c r="N254" s="468">
        <f>$M254*'3c. OM_AG-sfaf'!N254/'3c. OM_AG-sfaf'!$M254</f>
        <v>2828508.8233187781</v>
      </c>
      <c r="O254" s="468">
        <f>$M254*'3c. OM_AG-sfaf'!O254/'3c. OM_AG-sfaf'!$M254</f>
        <v>2575803.0121266064</v>
      </c>
      <c r="P254" s="468">
        <f>$M254*'3c. OM_AG-sfaf'!P254/'3c. OM_AG-sfaf'!$M254</f>
        <v>708984.88377237832</v>
      </c>
      <c r="Q254" s="468">
        <f>$M254*'3c. OM_AG-sfaf'!Q254/'3c. OM_AG-sfaf'!$M254</f>
        <v>138859.65461447646</v>
      </c>
      <c r="R254" s="468">
        <f>$M254*'3c. OM_AG-sfaf'!R254/'3c. OM_AG-sfaf'!$M254</f>
        <v>1830659.7431178191</v>
      </c>
      <c r="S254" s="468">
        <f>$M254*'3c. OM_AG-sfaf'!S254/'3c. OM_AG-sfaf'!$M254</f>
        <v>487217.29938750039</v>
      </c>
      <c r="T254" s="468">
        <f>$M254*'3c. OM_AG-sfaf'!T254/'3c. OM_AG-sfaf'!$M254</f>
        <v>151794.15873887233</v>
      </c>
      <c r="U254" s="468">
        <f>$M254*'3c. OM_AG-sfaf'!U254/'3c. OM_AG-sfaf'!$M254</f>
        <v>0</v>
      </c>
      <c r="V254" s="468">
        <f>$M254*'3c. OM_AG-sfaf'!V254/'3c. OM_AG-sfaf'!$M254</f>
        <v>255774.90278521716</v>
      </c>
      <c r="W254" s="468">
        <f>$M254*'3c. OM_AG-sfaf'!W254/'3c. OM_AG-sfaf'!$M254</f>
        <v>28314.278345492865</v>
      </c>
      <c r="X254" s="468">
        <f>'4a. OM less M&amp;S'!M254</f>
        <v>2127719.9286688706</v>
      </c>
      <c r="Y254" s="468">
        <f>$X254*'3c. OM_AG-sfaf'!Y254/'3c. OM_AG-sfaf'!$X254</f>
        <v>1034325.1953218718</v>
      </c>
      <c r="Z254" s="468">
        <f>$X254*'3c. OM_AG-sfaf'!Z254/'3c. OM_AG-sfaf'!$X254</f>
        <v>1093394.7333469989</v>
      </c>
      <c r="AA254" s="468">
        <f>'4a. OM less M&amp;S'!N254</f>
        <v>556811.81380447012</v>
      </c>
      <c r="AB254" s="468">
        <f>'4a. OM less M&amp;S'!O254</f>
        <v>2027154.6330627121</v>
      </c>
      <c r="AC254" s="468">
        <f>$AB254*'3c. OM_AG-sfaf'!AC254/'3c. OM_AG-sfaf'!$AB254</f>
        <v>1839460.4020947958</v>
      </c>
      <c r="AD254" s="468">
        <f>$AB254*'3c. OM_AG-sfaf'!AD254/'3c. OM_AG-sfaf'!$AB254</f>
        <v>187694.23096791617</v>
      </c>
      <c r="AE254" s="468">
        <f>$AB254*'3c. OM_AG-sfaf'!AE254/'3c. OM_AG-sfaf'!$AB254</f>
        <v>0</v>
      </c>
      <c r="AF254" s="468">
        <f>'4a. OM less M&amp;S'!P254</f>
        <v>1199018.9422684603</v>
      </c>
      <c r="AG254" s="468">
        <f>$AF254*'3c. OM_AG-sfaf'!AG254/'3c. OM_AG-sfaf'!$AF254</f>
        <v>1199018.9422684603</v>
      </c>
      <c r="AH254" s="468">
        <f>'4a. OM less M&amp;S'!Q254</f>
        <v>0</v>
      </c>
      <c r="AI254" s="62"/>
      <c r="AJ254" s="468">
        <f>'4a. OM less M&amp;S'!I254</f>
        <v>39947197.780000001</v>
      </c>
      <c r="AK254" s="62">
        <f t="shared" si="54"/>
        <v>39947197.780000009</v>
      </c>
      <c r="AL254" s="62">
        <f t="shared" si="55"/>
        <v>0</v>
      </c>
      <c r="AM254" s="62"/>
      <c r="AN254" s="62"/>
    </row>
    <row r="255" spans="1:40" x14ac:dyDescent="0.3">
      <c r="A255" s="461" t="s">
        <v>1211</v>
      </c>
      <c r="B255" s="466" t="s">
        <v>62</v>
      </c>
      <c r="C255" s="466"/>
      <c r="D255" s="669"/>
      <c r="E255" s="669"/>
      <c r="F255" s="669"/>
      <c r="G255" s="669"/>
      <c r="H255" s="669"/>
      <c r="I255" s="669"/>
      <c r="J255" s="669"/>
      <c r="K255" s="669"/>
      <c r="L255" s="669"/>
      <c r="M255" s="669"/>
      <c r="N255" s="669"/>
      <c r="O255" s="669"/>
      <c r="P255" s="669"/>
      <c r="Q255" s="669"/>
      <c r="R255" s="669"/>
      <c r="S255" s="669"/>
      <c r="T255" s="669"/>
      <c r="U255" s="669"/>
      <c r="V255" s="669"/>
      <c r="W255" s="669"/>
      <c r="X255" s="669"/>
      <c r="Y255" s="669"/>
      <c r="Z255" s="669"/>
      <c r="AA255" s="669"/>
      <c r="AB255" s="669"/>
      <c r="AC255" s="669"/>
      <c r="AD255" s="669"/>
      <c r="AE255" s="669"/>
      <c r="AF255" s="669"/>
      <c r="AG255" s="669"/>
      <c r="AH255" s="669"/>
      <c r="AI255" s="62"/>
      <c r="AJ255" s="468">
        <f>'4a. OM less M&amp;S'!I255</f>
        <v>0</v>
      </c>
      <c r="AK255" s="62">
        <f t="shared" si="54"/>
        <v>0</v>
      </c>
      <c r="AL255" s="62">
        <f t="shared" si="55"/>
        <v>0</v>
      </c>
      <c r="AM255" s="62"/>
      <c r="AN255" s="62"/>
    </row>
    <row r="256" spans="1:40" x14ac:dyDescent="0.3">
      <c r="A256" s="461">
        <v>924</v>
      </c>
      <c r="B256" s="461" t="s">
        <v>1204</v>
      </c>
      <c r="C256" s="461"/>
      <c r="D256" s="669"/>
      <c r="E256" s="669"/>
      <c r="F256" s="669"/>
      <c r="G256" s="669"/>
      <c r="H256" s="669"/>
      <c r="I256" s="669"/>
      <c r="J256" s="669"/>
      <c r="K256" s="669"/>
      <c r="L256" s="669"/>
      <c r="M256" s="669"/>
      <c r="N256" s="669"/>
      <c r="O256" s="669"/>
      <c r="P256" s="669"/>
      <c r="Q256" s="669"/>
      <c r="R256" s="669"/>
      <c r="S256" s="669"/>
      <c r="T256" s="669"/>
      <c r="U256" s="669"/>
      <c r="V256" s="669"/>
      <c r="W256" s="669"/>
      <c r="X256" s="669"/>
      <c r="Y256" s="669"/>
      <c r="Z256" s="669"/>
      <c r="AA256" s="669"/>
      <c r="AB256" s="669"/>
      <c r="AC256" s="669"/>
      <c r="AD256" s="669"/>
      <c r="AE256" s="669"/>
      <c r="AF256" s="669"/>
      <c r="AG256" s="669"/>
      <c r="AH256" s="669"/>
      <c r="AI256" s="62"/>
      <c r="AJ256" s="468">
        <f>'4a. OM less M&amp;S'!I256</f>
        <v>0</v>
      </c>
      <c r="AK256" s="62">
        <f t="shared" si="54"/>
        <v>0</v>
      </c>
      <c r="AL256" s="62">
        <f t="shared" si="55"/>
        <v>0</v>
      </c>
      <c r="AM256" s="62"/>
      <c r="AN256" s="62"/>
    </row>
    <row r="257" spans="1:40" x14ac:dyDescent="0.3">
      <c r="A257" s="461"/>
      <c r="B257" s="461" t="s">
        <v>1203</v>
      </c>
      <c r="C257" s="461"/>
      <c r="D257" s="669"/>
      <c r="E257" s="669"/>
      <c r="F257" s="669"/>
      <c r="G257" s="669"/>
      <c r="H257" s="669"/>
      <c r="I257" s="669"/>
      <c r="J257" s="669"/>
      <c r="K257" s="669"/>
      <c r="L257" s="669"/>
      <c r="M257" s="669"/>
      <c r="N257" s="669"/>
      <c r="O257" s="669"/>
      <c r="P257" s="669"/>
      <c r="Q257" s="669"/>
      <c r="R257" s="669"/>
      <c r="S257" s="669"/>
      <c r="T257" s="669"/>
      <c r="U257" s="669"/>
      <c r="V257" s="669"/>
      <c r="W257" s="669"/>
      <c r="X257" s="669"/>
      <c r="Y257" s="669"/>
      <c r="Z257" s="669"/>
      <c r="AA257" s="669"/>
      <c r="AB257" s="669"/>
      <c r="AC257" s="669"/>
      <c r="AD257" s="669"/>
      <c r="AE257" s="669"/>
      <c r="AF257" s="669"/>
      <c r="AG257" s="669"/>
      <c r="AH257" s="669"/>
      <c r="AI257" s="62"/>
      <c r="AJ257" s="468">
        <f>'4a. OM less M&amp;S'!I257</f>
        <v>0</v>
      </c>
      <c r="AK257" s="62">
        <f t="shared" si="54"/>
        <v>0</v>
      </c>
      <c r="AL257" s="62">
        <f t="shared" si="55"/>
        <v>0</v>
      </c>
      <c r="AM257" s="62"/>
      <c r="AN257" s="62"/>
    </row>
    <row r="258" spans="1:40" x14ac:dyDescent="0.3">
      <c r="A258" s="461"/>
      <c r="B258" s="461" t="s">
        <v>735</v>
      </c>
      <c r="C258" s="461"/>
      <c r="D258" s="669"/>
      <c r="E258" s="669"/>
      <c r="F258" s="669"/>
      <c r="G258" s="669"/>
      <c r="H258" s="669"/>
      <c r="I258" s="669"/>
      <c r="J258" s="669"/>
      <c r="K258" s="669"/>
      <c r="L258" s="669"/>
      <c r="M258" s="669"/>
      <c r="N258" s="669"/>
      <c r="O258" s="669"/>
      <c r="P258" s="669"/>
      <c r="Q258" s="669"/>
      <c r="R258" s="669"/>
      <c r="S258" s="669"/>
      <c r="T258" s="669"/>
      <c r="U258" s="669"/>
      <c r="V258" s="669"/>
      <c r="W258" s="669"/>
      <c r="X258" s="669"/>
      <c r="Y258" s="669"/>
      <c r="Z258" s="669"/>
      <c r="AA258" s="669"/>
      <c r="AB258" s="669"/>
      <c r="AC258" s="669"/>
      <c r="AD258" s="669"/>
      <c r="AE258" s="669"/>
      <c r="AF258" s="669"/>
      <c r="AG258" s="669"/>
      <c r="AH258" s="669"/>
      <c r="AI258" s="62"/>
      <c r="AJ258" s="468">
        <f>'4a. OM less M&amp;S'!I258</f>
        <v>0</v>
      </c>
      <c r="AK258" s="62">
        <f t="shared" si="54"/>
        <v>0</v>
      </c>
      <c r="AL258" s="62">
        <f t="shared" si="55"/>
        <v>0</v>
      </c>
      <c r="AM258" s="62"/>
      <c r="AN258" s="62"/>
    </row>
    <row r="259" spans="1:40" x14ac:dyDescent="0.3">
      <c r="A259" s="461"/>
      <c r="B259" s="461" t="s">
        <v>736</v>
      </c>
      <c r="C259" s="461"/>
      <c r="D259" s="669"/>
      <c r="E259" s="669"/>
      <c r="F259" s="669"/>
      <c r="G259" s="669"/>
      <c r="H259" s="669"/>
      <c r="I259" s="669"/>
      <c r="J259" s="669"/>
      <c r="K259" s="669"/>
      <c r="L259" s="669"/>
      <c r="M259" s="669"/>
      <c r="N259" s="669"/>
      <c r="O259" s="669"/>
      <c r="P259" s="669"/>
      <c r="Q259" s="669"/>
      <c r="R259" s="669"/>
      <c r="S259" s="669"/>
      <c r="T259" s="669"/>
      <c r="U259" s="669"/>
      <c r="V259" s="669"/>
      <c r="W259" s="669"/>
      <c r="X259" s="669"/>
      <c r="Y259" s="669"/>
      <c r="Z259" s="669"/>
      <c r="AA259" s="669"/>
      <c r="AB259" s="669"/>
      <c r="AC259" s="669"/>
      <c r="AD259" s="669"/>
      <c r="AE259" s="669"/>
      <c r="AF259" s="669"/>
      <c r="AG259" s="669"/>
      <c r="AH259" s="669"/>
      <c r="AI259" s="62"/>
      <c r="AJ259" s="468">
        <f>'4a. OM less M&amp;S'!I259</f>
        <v>0</v>
      </c>
      <c r="AK259" s="62">
        <f t="shared" si="54"/>
        <v>0</v>
      </c>
      <c r="AL259" s="62">
        <f t="shared" si="55"/>
        <v>0</v>
      </c>
      <c r="AM259" s="62"/>
      <c r="AN259" s="62"/>
    </row>
    <row r="260" spans="1:40" x14ac:dyDescent="0.3">
      <c r="A260" s="461"/>
      <c r="B260" s="461" t="s">
        <v>156</v>
      </c>
      <c r="C260" s="461"/>
      <c r="D260" s="669"/>
      <c r="E260" s="669"/>
      <c r="F260" s="669"/>
      <c r="G260" s="669"/>
      <c r="H260" s="669"/>
      <c r="I260" s="669"/>
      <c r="J260" s="669"/>
      <c r="K260" s="669"/>
      <c r="L260" s="669"/>
      <c r="M260" s="669"/>
      <c r="N260" s="669"/>
      <c r="O260" s="669"/>
      <c r="P260" s="669"/>
      <c r="Q260" s="669"/>
      <c r="R260" s="669"/>
      <c r="S260" s="669"/>
      <c r="T260" s="669"/>
      <c r="U260" s="669"/>
      <c r="V260" s="669"/>
      <c r="W260" s="669"/>
      <c r="X260" s="669"/>
      <c r="Y260" s="669"/>
      <c r="Z260" s="669"/>
      <c r="AA260" s="669"/>
      <c r="AB260" s="669"/>
      <c r="AC260" s="669"/>
      <c r="AD260" s="669"/>
      <c r="AE260" s="669"/>
      <c r="AF260" s="669"/>
      <c r="AG260" s="669"/>
      <c r="AH260" s="669"/>
      <c r="AI260" s="62"/>
      <c r="AJ260" s="468">
        <f>'4a. OM less M&amp;S'!I260</f>
        <v>0</v>
      </c>
      <c r="AK260" s="62">
        <f t="shared" si="54"/>
        <v>0</v>
      </c>
      <c r="AL260" s="62">
        <f t="shared" si="55"/>
        <v>0</v>
      </c>
      <c r="AM260" s="62"/>
      <c r="AN260" s="62"/>
    </row>
    <row r="261" spans="1:40" x14ac:dyDescent="0.3">
      <c r="A261" s="461"/>
      <c r="B261" s="461" t="s">
        <v>737</v>
      </c>
      <c r="C261" s="461"/>
      <c r="D261" s="669"/>
      <c r="E261" s="669"/>
      <c r="F261" s="669"/>
      <c r="G261" s="669"/>
      <c r="H261" s="669"/>
      <c r="I261" s="669"/>
      <c r="J261" s="669"/>
      <c r="K261" s="669"/>
      <c r="L261" s="669"/>
      <c r="M261" s="669"/>
      <c r="N261" s="669"/>
      <c r="O261" s="669"/>
      <c r="P261" s="669"/>
      <c r="Q261" s="669"/>
      <c r="R261" s="669"/>
      <c r="S261" s="669"/>
      <c r="T261" s="669"/>
      <c r="U261" s="669"/>
      <c r="V261" s="669"/>
      <c r="W261" s="669"/>
      <c r="X261" s="669"/>
      <c r="Y261" s="669"/>
      <c r="Z261" s="669"/>
      <c r="AA261" s="669"/>
      <c r="AB261" s="669"/>
      <c r="AC261" s="669"/>
      <c r="AD261" s="669"/>
      <c r="AE261" s="669"/>
      <c r="AF261" s="669"/>
      <c r="AG261" s="669"/>
      <c r="AH261" s="669"/>
      <c r="AI261" s="62"/>
      <c r="AJ261" s="468">
        <f>'4a. OM less M&amp;S'!I261</f>
        <v>0</v>
      </c>
      <c r="AK261" s="62">
        <f t="shared" si="54"/>
        <v>0</v>
      </c>
      <c r="AL261" s="62">
        <f t="shared" si="55"/>
        <v>0</v>
      </c>
      <c r="AM261" s="62"/>
      <c r="AN261" s="62"/>
    </row>
    <row r="262" spans="1:40" x14ac:dyDescent="0.3">
      <c r="A262" s="461"/>
      <c r="B262" s="474" t="s">
        <v>738</v>
      </c>
      <c r="C262" s="474"/>
      <c r="D262" s="695">
        <v>4009443.61</v>
      </c>
      <c r="E262" s="695">
        <v>4009443.61</v>
      </c>
      <c r="F262" s="695">
        <v>213765.93717765936</v>
      </c>
      <c r="G262" s="695">
        <v>3321162.0000207629</v>
      </c>
      <c r="H262" s="695">
        <v>474515.67280157754</v>
      </c>
      <c r="I262" s="695">
        <v>0</v>
      </c>
      <c r="J262" s="695">
        <v>0</v>
      </c>
      <c r="K262" s="695">
        <v>0</v>
      </c>
      <c r="L262" s="695">
        <v>200970.12</v>
      </c>
      <c r="M262" s="695">
        <v>289559.2</v>
      </c>
      <c r="N262" s="695">
        <v>45871.848337197203</v>
      </c>
      <c r="O262" s="695">
        <v>82422.008750893539</v>
      </c>
      <c r="P262" s="695">
        <v>22009.679031724372</v>
      </c>
      <c r="Q262" s="695">
        <v>24064.045700665509</v>
      </c>
      <c r="R262" s="695">
        <v>45172.156822558165</v>
      </c>
      <c r="S262" s="695">
        <v>11123.798299882268</v>
      </c>
      <c r="T262" s="695">
        <v>26305.564298915426</v>
      </c>
      <c r="U262" s="695">
        <v>17788.083004328451</v>
      </c>
      <c r="V262" s="695">
        <v>14802.015753835072</v>
      </c>
      <c r="W262" s="695">
        <v>0</v>
      </c>
      <c r="X262" s="695">
        <v>0</v>
      </c>
      <c r="Y262" s="695">
        <v>0</v>
      </c>
      <c r="Z262" s="695">
        <v>0</v>
      </c>
      <c r="AA262" s="695">
        <v>0</v>
      </c>
      <c r="AB262" s="695">
        <v>0</v>
      </c>
      <c r="AC262" s="695">
        <v>0</v>
      </c>
      <c r="AD262" s="695">
        <v>0</v>
      </c>
      <c r="AE262" s="695">
        <v>0</v>
      </c>
      <c r="AF262" s="695">
        <v>8142.72</v>
      </c>
      <c r="AG262" s="695">
        <v>8142.72</v>
      </c>
      <c r="AH262" s="695">
        <v>0</v>
      </c>
      <c r="AI262" s="62"/>
      <c r="AJ262" s="468">
        <f>'4a. OM less M&amp;S'!I262</f>
        <v>4508115.6500000004</v>
      </c>
      <c r="AK262" s="62">
        <f>SUM(E262,I262:K262,L262,N262:W262,Y262:Z262,AA262:AA262,AC262:AE262,AG262:AH262)</f>
        <v>4508115.6499999994</v>
      </c>
      <c r="AL262" s="62">
        <f t="shared" si="55"/>
        <v>0</v>
      </c>
      <c r="AM262" s="62"/>
      <c r="AN262" s="62"/>
    </row>
    <row r="263" spans="1:40" x14ac:dyDescent="0.3">
      <c r="A263" s="461">
        <v>925</v>
      </c>
      <c r="B263" s="461" t="s">
        <v>740</v>
      </c>
      <c r="C263" s="461"/>
      <c r="D263" s="468">
        <f>'4a. OM less M&amp;S'!J263</f>
        <v>1471702.95</v>
      </c>
      <c r="E263" s="468">
        <f>$D263*'3c. OM_AG-sfaf'!E263/'3c. OM_AG-sfaf'!$D263</f>
        <v>967521.25647714187</v>
      </c>
      <c r="F263" s="630"/>
      <c r="G263" s="630"/>
      <c r="H263" s="630"/>
      <c r="I263" s="468">
        <f>$D263*'3c. OM_AG-sfaf'!I263/'3c. OM_AG-sfaf'!$D263</f>
        <v>504181.69352285803</v>
      </c>
      <c r="J263" s="468">
        <f>$D263*'3c. OM_AG-sfaf'!J263/'3c. OM_AG-sfaf'!$D263</f>
        <v>0</v>
      </c>
      <c r="K263" s="468">
        <f>$D263*'3c. OM_AG-sfaf'!K263/'3c. OM_AG-sfaf'!$D263</f>
        <v>0</v>
      </c>
      <c r="L263" s="468">
        <f>'4a. OM less M&amp;S'!K263</f>
        <v>1067641.1599999999</v>
      </c>
      <c r="M263" s="468">
        <f>'4a. OM less M&amp;S'!L263</f>
        <v>3399583.25</v>
      </c>
      <c r="N263" s="468">
        <f>$M263*'3c. OM_AG-sfaf'!N263/'3c. OM_AG-sfaf'!$M263</f>
        <v>1067714.8677400635</v>
      </c>
      <c r="O263" s="468">
        <f>$M263*'3c. OM_AG-sfaf'!O263/'3c. OM_AG-sfaf'!$M263</f>
        <v>972322.64214410086</v>
      </c>
      <c r="P263" s="468">
        <f>$M263*'3c. OM_AG-sfaf'!P263/'3c. OM_AG-sfaf'!$M263</f>
        <v>267629.9593502857</v>
      </c>
      <c r="Q263" s="468">
        <f>$M263*'3c. OM_AG-sfaf'!Q263/'3c. OM_AG-sfaf'!$M263</f>
        <v>52417.201791566462</v>
      </c>
      <c r="R263" s="468">
        <f>$M263*'3c. OM_AG-sfaf'!R263/'3c. OM_AG-sfaf'!$M263</f>
        <v>691043.49591764063</v>
      </c>
      <c r="S263" s="468">
        <f>$M263*'3c. OM_AG-sfaf'!S263/'3c. OM_AG-sfaf'!$M263</f>
        <v>183916.39795764122</v>
      </c>
      <c r="T263" s="468">
        <f>$M263*'3c. OM_AG-sfaf'!T263/'3c. OM_AG-sfaf'!$M263</f>
        <v>57299.761197641965</v>
      </c>
      <c r="U263" s="468">
        <f>$M263*'3c. OM_AG-sfaf'!U263/'3c. OM_AG-sfaf'!$M263</f>
        <v>0</v>
      </c>
      <c r="V263" s="468">
        <f>$M263*'3c. OM_AG-sfaf'!V263/'3c. OM_AG-sfaf'!$M263</f>
        <v>96550.756443501275</v>
      </c>
      <c r="W263" s="468">
        <f>$M263*'3c. OM_AG-sfaf'!W263/'3c. OM_AG-sfaf'!$M263</f>
        <v>10688.167457558642</v>
      </c>
      <c r="X263" s="468">
        <f>'4a. OM less M&amp;S'!M263</f>
        <v>0</v>
      </c>
      <c r="Y263" s="468">
        <f>$X263*'3c. OM_AG-sfaf'!Y263/'3c. OM_AG-sfaf'!$X263</f>
        <v>0</v>
      </c>
      <c r="Z263" s="468">
        <f>$X263*'3c. OM_AG-sfaf'!Z263/'3c. OM_AG-sfaf'!$X263</f>
        <v>0</v>
      </c>
      <c r="AA263" s="468">
        <f>'4a. OM less M&amp;S'!N263</f>
        <v>0</v>
      </c>
      <c r="AB263" s="468">
        <f>'4a. OM less M&amp;S'!O263</f>
        <v>0</v>
      </c>
      <c r="AC263" s="468">
        <f>$AB263*'3c. OM_AG-sfaf'!AC263/'3c. OM_AG-sfaf'!$AB263</f>
        <v>0</v>
      </c>
      <c r="AD263" s="468">
        <f>$AB263*'3c. OM_AG-sfaf'!AD263/'3c. OM_AG-sfaf'!$AB263</f>
        <v>0</v>
      </c>
      <c r="AE263" s="468">
        <f>$AB263*'3c. OM_AG-sfaf'!AE263/'3c. OM_AG-sfaf'!$AB263</f>
        <v>0</v>
      </c>
      <c r="AF263" s="468">
        <f>'4a. OM less M&amp;S'!P263</f>
        <v>208433.8</v>
      </c>
      <c r="AG263" s="468">
        <f>$AF263*'3c. OM_AG-sfaf'!AG263/'3c. OM_AG-sfaf'!$AF263</f>
        <v>208433.8</v>
      </c>
      <c r="AH263" s="468">
        <f>'4a. OM less M&amp;S'!Q263</f>
        <v>0</v>
      </c>
      <c r="AI263" s="62"/>
      <c r="AJ263" s="468">
        <f>'4a. OM less M&amp;S'!I263</f>
        <v>6147361.1599999983</v>
      </c>
      <c r="AK263" s="62">
        <f t="shared" si="54"/>
        <v>6147361.1600000011</v>
      </c>
      <c r="AL263" s="62">
        <f t="shared" si="55"/>
        <v>0</v>
      </c>
      <c r="AM263" s="62"/>
      <c r="AN263" s="62"/>
    </row>
    <row r="264" spans="1:40" x14ac:dyDescent="0.3">
      <c r="A264" s="461" t="s">
        <v>1212</v>
      </c>
      <c r="B264" s="461" t="s">
        <v>64</v>
      </c>
      <c r="C264" s="461"/>
      <c r="D264" s="669"/>
      <c r="E264" s="669"/>
      <c r="F264" s="669"/>
      <c r="G264" s="669"/>
      <c r="H264" s="669"/>
      <c r="I264" s="669"/>
      <c r="J264" s="669"/>
      <c r="K264" s="669"/>
      <c r="L264" s="669"/>
      <c r="M264" s="669"/>
      <c r="N264" s="669"/>
      <c r="O264" s="669"/>
      <c r="P264" s="669"/>
      <c r="Q264" s="669"/>
      <c r="R264" s="669"/>
      <c r="S264" s="669"/>
      <c r="T264" s="669"/>
      <c r="U264" s="669"/>
      <c r="V264" s="669"/>
      <c r="W264" s="669"/>
      <c r="X264" s="669"/>
      <c r="Y264" s="669"/>
      <c r="Z264" s="669"/>
      <c r="AA264" s="669"/>
      <c r="AB264" s="669"/>
      <c r="AC264" s="669"/>
      <c r="AD264" s="669"/>
      <c r="AE264" s="669"/>
      <c r="AF264" s="669"/>
      <c r="AG264" s="669"/>
      <c r="AH264" s="669"/>
      <c r="AI264" s="62"/>
      <c r="AJ264" s="468">
        <f>'4a. OM less M&amp;S'!I264</f>
        <v>0</v>
      </c>
      <c r="AK264" s="62">
        <f t="shared" si="54"/>
        <v>0</v>
      </c>
      <c r="AL264" s="62">
        <f t="shared" si="55"/>
        <v>0</v>
      </c>
      <c r="AM264" s="62"/>
      <c r="AN264" s="62"/>
    </row>
    <row r="265" spans="1:40" x14ac:dyDescent="0.3">
      <c r="A265" s="461">
        <v>926</v>
      </c>
      <c r="B265" s="461" t="s">
        <v>742</v>
      </c>
      <c r="C265" s="461"/>
      <c r="D265" s="468">
        <f>'4a. OM less M&amp;S'!J265</f>
        <v>9362850.0600000024</v>
      </c>
      <c r="E265" s="468">
        <f>$D265*'3c. OM_AG-sfaf'!E265/'3c. OM_AG-sfaf'!$D265</f>
        <v>6155288.6431723777</v>
      </c>
      <c r="F265" s="630"/>
      <c r="G265" s="630"/>
      <c r="H265" s="630"/>
      <c r="I265" s="468">
        <f>$D265*'3c. OM_AG-sfaf'!I265/'3c. OM_AG-sfaf'!$D265</f>
        <v>3207561.4168276242</v>
      </c>
      <c r="J265" s="468">
        <f>$D265*'3c. OM_AG-sfaf'!J265/'3c. OM_AG-sfaf'!$D265</f>
        <v>0</v>
      </c>
      <c r="K265" s="468">
        <f>$D265*'3c. OM_AG-sfaf'!K265/'3c. OM_AG-sfaf'!$D265</f>
        <v>0</v>
      </c>
      <c r="L265" s="468">
        <f>'4a. OM less M&amp;S'!K265</f>
        <v>1565138.75</v>
      </c>
      <c r="M265" s="468">
        <f>'4a. OM less M&amp;S'!L265</f>
        <v>10868845.789999999</v>
      </c>
      <c r="N265" s="468">
        <f>$M265*'3c. OM_AG-sfaf'!N265/'3c. OM_AG-sfaf'!$M265</f>
        <v>3413603.1953790202</v>
      </c>
      <c r="O265" s="468">
        <f>$M265*'3c. OM_AG-sfaf'!O265/'3c. OM_AG-sfaf'!$M265</f>
        <v>3108623.6395562859</v>
      </c>
      <c r="P265" s="468">
        <f>$M265*'3c. OM_AG-sfaf'!P265/'3c. OM_AG-sfaf'!$M265</f>
        <v>855642.74884641333</v>
      </c>
      <c r="Q265" s="468">
        <f>$M265*'3c. OM_AG-sfaf'!Q265/'3c. OM_AG-sfaf'!$M265</f>
        <v>167583.62455628865</v>
      </c>
      <c r="R265" s="468">
        <f>$M265*'3c. OM_AG-sfaf'!R265/'3c. OM_AG-sfaf'!$M265</f>
        <v>2209342.9220512044</v>
      </c>
      <c r="S265" s="468">
        <f>$M265*'3c. OM_AG-sfaf'!S265/'3c. OM_AG-sfaf'!$M265</f>
        <v>588001.18151360843</v>
      </c>
      <c r="T265" s="468">
        <f>$M265*'3c. OM_AG-sfaf'!T265/'3c. OM_AG-sfaf'!$M265</f>
        <v>183193.7100704906</v>
      </c>
      <c r="U265" s="468">
        <f>$M265*'3c. OM_AG-sfaf'!U265/'3c. OM_AG-sfaf'!$M265</f>
        <v>0</v>
      </c>
      <c r="V265" s="468">
        <f>$M265*'3c. OM_AG-sfaf'!V265/'3c. OM_AG-sfaf'!$M265</f>
        <v>308683.50780710077</v>
      </c>
      <c r="W265" s="468">
        <f>$M265*'3c. OM_AG-sfaf'!W265/'3c. OM_AG-sfaf'!$M265</f>
        <v>34171.260219587573</v>
      </c>
      <c r="X265" s="468">
        <f>'4a. OM less M&amp;S'!M265</f>
        <v>0</v>
      </c>
      <c r="Y265" s="468">
        <f>$X265*'3c. OM_AG-sfaf'!Y265/'3c. OM_AG-sfaf'!$X265</f>
        <v>0</v>
      </c>
      <c r="Z265" s="468">
        <f>$X265*'3c. OM_AG-sfaf'!Z265/'3c. OM_AG-sfaf'!$X265</f>
        <v>0</v>
      </c>
      <c r="AA265" s="468">
        <f>'4a. OM less M&amp;S'!N265</f>
        <v>0</v>
      </c>
      <c r="AB265" s="468">
        <f>'4a. OM less M&amp;S'!O265</f>
        <v>0</v>
      </c>
      <c r="AC265" s="468">
        <f>$AB265*'3c. OM_AG-sfaf'!AC265/'3c. OM_AG-sfaf'!$AB265</f>
        <v>0</v>
      </c>
      <c r="AD265" s="468">
        <f>$AB265*'3c. OM_AG-sfaf'!AD265/'3c. OM_AG-sfaf'!$AB265</f>
        <v>0</v>
      </c>
      <c r="AE265" s="468">
        <f>$AB265*'3c. OM_AG-sfaf'!AE265/'3c. OM_AG-sfaf'!$AB265</f>
        <v>0</v>
      </c>
      <c r="AF265" s="468">
        <f>'4a. OM less M&amp;S'!P265</f>
        <v>946252.07</v>
      </c>
      <c r="AG265" s="468">
        <f>$AF265*'3c. OM_AG-sfaf'!AG265/'3c. OM_AG-sfaf'!$AF265</f>
        <v>946252.07</v>
      </c>
      <c r="AH265" s="468">
        <f>'4a. OM less M&amp;S'!Q265</f>
        <v>-7486.1</v>
      </c>
      <c r="AI265" s="62"/>
      <c r="AJ265" s="468">
        <f>'4a. OM less M&amp;S'!I265</f>
        <v>22735600.57</v>
      </c>
      <c r="AK265" s="62">
        <f t="shared" si="54"/>
        <v>22735600.570000004</v>
      </c>
      <c r="AL265" s="62">
        <f t="shared" si="55"/>
        <v>0</v>
      </c>
      <c r="AM265" s="62"/>
      <c r="AN265" s="62"/>
    </row>
    <row r="266" spans="1:40" x14ac:dyDescent="0.3">
      <c r="A266" s="461" t="s">
        <v>1213</v>
      </c>
      <c r="B266" s="461" t="s">
        <v>66</v>
      </c>
      <c r="C266" s="461"/>
      <c r="D266" s="669"/>
      <c r="E266" s="669"/>
      <c r="F266" s="669"/>
      <c r="G266" s="669"/>
      <c r="H266" s="669"/>
      <c r="I266" s="669"/>
      <c r="J266" s="669"/>
      <c r="K266" s="669"/>
      <c r="L266" s="669"/>
      <c r="M266" s="669"/>
      <c r="N266" s="669"/>
      <c r="O266" s="669"/>
      <c r="P266" s="669"/>
      <c r="Q266" s="669"/>
      <c r="R266" s="669"/>
      <c r="S266" s="669"/>
      <c r="T266" s="669"/>
      <c r="U266" s="669"/>
      <c r="V266" s="669"/>
      <c r="W266" s="669"/>
      <c r="X266" s="669"/>
      <c r="Y266" s="669"/>
      <c r="Z266" s="669"/>
      <c r="AA266" s="669"/>
      <c r="AB266" s="669"/>
      <c r="AC266" s="669"/>
      <c r="AD266" s="669"/>
      <c r="AE266" s="669"/>
      <c r="AF266" s="669"/>
      <c r="AG266" s="669"/>
      <c r="AH266" s="669"/>
      <c r="AI266" s="62"/>
      <c r="AJ266" s="468">
        <f>'4a. OM less M&amp;S'!I266</f>
        <v>0</v>
      </c>
      <c r="AK266" s="62">
        <f t="shared" si="54"/>
        <v>0</v>
      </c>
      <c r="AL266" s="62">
        <f t="shared" si="55"/>
        <v>0</v>
      </c>
      <c r="AM266" s="62"/>
      <c r="AN266" s="62"/>
    </row>
    <row r="267" spans="1:40" x14ac:dyDescent="0.3">
      <c r="A267" s="461">
        <v>927</v>
      </c>
      <c r="B267" s="461" t="s">
        <v>744</v>
      </c>
      <c r="C267" s="461"/>
      <c r="D267" s="468">
        <f>'4a. OM less M&amp;S'!J267</f>
        <v>0</v>
      </c>
      <c r="E267" s="468"/>
      <c r="F267" s="630"/>
      <c r="G267" s="630"/>
      <c r="H267" s="630"/>
      <c r="I267" s="468"/>
      <c r="J267" s="468"/>
      <c r="K267" s="468"/>
      <c r="L267" s="468">
        <f>'4a. OM less M&amp;S'!K267</f>
        <v>0</v>
      </c>
      <c r="M267" s="468">
        <f>'4a. OM less M&amp;S'!L267</f>
        <v>8684832.5800000001</v>
      </c>
      <c r="N267" s="468">
        <f>$M267*'3c. OM_AG-sfaf'!N267/'3c. OM_AG-sfaf'!$M267</f>
        <v>2727665.1835189783</v>
      </c>
      <c r="O267" s="468">
        <f>$M267*'3c. OM_AG-sfaf'!O267/'3c. OM_AG-sfaf'!$M267</f>
        <v>2483968.9867176423</v>
      </c>
      <c r="P267" s="468">
        <f>$M267*'3c. OM_AG-sfaf'!P267/'3c. OM_AG-sfaf'!$M267</f>
        <v>683707.74280919204</v>
      </c>
      <c r="Q267" s="468">
        <f>$M267*'3c. OM_AG-sfaf'!Q267/'3c. OM_AG-sfaf'!$M267</f>
        <v>133908.94953722073</v>
      </c>
      <c r="R267" s="468">
        <f>$M267*'3c. OM_AG-sfaf'!R267/'3c. OM_AG-sfaf'!$M267</f>
        <v>1765391.9984288139</v>
      </c>
      <c r="S267" s="468">
        <f>$M267*'3c. OM_AG-sfaf'!S267/'3c. OM_AG-sfaf'!$M267</f>
        <v>469846.74517935916</v>
      </c>
      <c r="T267" s="468">
        <f>$M267*'3c. OM_AG-sfaf'!T267/'3c. OM_AG-sfaf'!$M267</f>
        <v>146382.30520623396</v>
      </c>
      <c r="U267" s="468">
        <f>$M267*'3c. OM_AG-sfaf'!U267/'3c. OM_AG-sfaf'!$M267</f>
        <v>0</v>
      </c>
      <c r="V267" s="468">
        <f>$M267*'3c. OM_AG-sfaf'!V267/'3c. OM_AG-sfaf'!$M267</f>
        <v>246655.8673579077</v>
      </c>
      <c r="W267" s="468">
        <f>$M267*'3c. OM_AG-sfaf'!W267/'3c. OM_AG-sfaf'!$M267</f>
        <v>27304.801244652877</v>
      </c>
      <c r="X267" s="468">
        <f>'4a. OM less M&amp;S'!M267</f>
        <v>0</v>
      </c>
      <c r="Y267" s="468">
        <f>$X267*'3c. OM_AG-sfaf'!Y267/'3c. OM_AG-sfaf'!$X267</f>
        <v>0</v>
      </c>
      <c r="Z267" s="468">
        <f>$X267*'3c. OM_AG-sfaf'!Z267/'3c. OM_AG-sfaf'!$X267</f>
        <v>0</v>
      </c>
      <c r="AA267" s="468">
        <f>'4a. OM less M&amp;S'!N267</f>
        <v>0</v>
      </c>
      <c r="AB267" s="468">
        <f>'4a. OM less M&amp;S'!O267</f>
        <v>0</v>
      </c>
      <c r="AC267" s="468"/>
      <c r="AD267" s="468"/>
      <c r="AE267" s="468"/>
      <c r="AF267" s="468">
        <f>'4a. OM less M&amp;S'!P267</f>
        <v>0</v>
      </c>
      <c r="AG267" s="468">
        <f>$AF267*'3c. OM_AG-sfaf'!AG267/'3c. OM_AG-sfaf'!$AF267</f>
        <v>0</v>
      </c>
      <c r="AH267" s="468">
        <f>'4a. OM less M&amp;S'!Q267</f>
        <v>0</v>
      </c>
      <c r="AI267" s="62"/>
      <c r="AJ267" s="468">
        <f>'4a. OM less M&amp;S'!I267</f>
        <v>8684832.5800000001</v>
      </c>
      <c r="AK267" s="62">
        <f t="shared" si="54"/>
        <v>8684832.5800000019</v>
      </c>
      <c r="AL267" s="62">
        <f t="shared" si="55"/>
        <v>0</v>
      </c>
      <c r="AM267" s="62"/>
      <c r="AN267" s="62"/>
    </row>
    <row r="268" spans="1:40" x14ac:dyDescent="0.3">
      <c r="A268" s="461">
        <v>928</v>
      </c>
      <c r="B268" s="466" t="s">
        <v>746</v>
      </c>
      <c r="C268" s="466"/>
      <c r="D268" s="468">
        <f>'4a. OM less M&amp;S'!J268</f>
        <v>0</v>
      </c>
      <c r="E268" s="468"/>
      <c r="F268" s="630"/>
      <c r="G268" s="630"/>
      <c r="H268" s="630"/>
      <c r="I268" s="468"/>
      <c r="J268" s="468"/>
      <c r="K268" s="468"/>
      <c r="L268" s="468">
        <f>'4a. OM less M&amp;S'!K268</f>
        <v>0</v>
      </c>
      <c r="M268" s="468">
        <f>'4a. OM less M&amp;S'!L268</f>
        <v>0</v>
      </c>
      <c r="N268" s="468"/>
      <c r="O268" s="468"/>
      <c r="P268" s="468"/>
      <c r="Q268" s="468"/>
      <c r="R268" s="468"/>
      <c r="S268" s="468"/>
      <c r="T268" s="468"/>
      <c r="U268" s="468"/>
      <c r="V268" s="468"/>
      <c r="W268" s="468"/>
      <c r="X268" s="468">
        <f>'4a. OM less M&amp;S'!M268</f>
        <v>0</v>
      </c>
      <c r="Y268" s="468">
        <f>$X268*'3c. OM_AG-sfaf'!Y268/'3c. OM_AG-sfaf'!$X268</f>
        <v>0</v>
      </c>
      <c r="Z268" s="468">
        <f>$X268*'3c. OM_AG-sfaf'!Z268/'3c. OM_AG-sfaf'!$X268</f>
        <v>0</v>
      </c>
      <c r="AA268" s="468">
        <f>'4a. OM less M&amp;S'!N268</f>
        <v>0</v>
      </c>
      <c r="AB268" s="468">
        <f>'4a. OM less M&amp;S'!O268</f>
        <v>0</v>
      </c>
      <c r="AC268" s="468"/>
      <c r="AD268" s="468"/>
      <c r="AE268" s="468"/>
      <c r="AF268" s="468">
        <f>'4a. OM less M&amp;S'!P268</f>
        <v>0</v>
      </c>
      <c r="AG268" s="468">
        <f>$AF268*'3c. OM_AG-sfaf'!AG268/'3c. OM_AG-sfaf'!$AF268</f>
        <v>0</v>
      </c>
      <c r="AH268" s="468">
        <f>'4a. OM less M&amp;S'!Q268</f>
        <v>0</v>
      </c>
      <c r="AI268" s="62"/>
      <c r="AJ268" s="468">
        <f>'4a. OM less M&amp;S'!I268</f>
        <v>0</v>
      </c>
      <c r="AK268" s="62">
        <f t="shared" si="54"/>
        <v>0</v>
      </c>
      <c r="AL268" s="62">
        <f t="shared" si="55"/>
        <v>0</v>
      </c>
      <c r="AM268" s="62"/>
      <c r="AN268" s="62"/>
    </row>
    <row r="269" spans="1:40" x14ac:dyDescent="0.3">
      <c r="A269" s="461">
        <v>929</v>
      </c>
      <c r="B269" s="484" t="s">
        <v>1194</v>
      </c>
      <c r="C269" s="484"/>
      <c r="D269" s="468">
        <f>'4a. OM less M&amp;S'!J269</f>
        <v>-2456869.41</v>
      </c>
      <c r="E269" s="468">
        <f>$D269*'3c. OM_AG-sfaf'!E269/'3c. OM_AG-sfaf'!$D269</f>
        <v>-1615185.5770646206</v>
      </c>
      <c r="F269" s="630"/>
      <c r="G269" s="630"/>
      <c r="H269" s="630"/>
      <c r="I269" s="468">
        <f>$D269*'3c. OM_AG-sfaf'!I269/'3c. OM_AG-sfaf'!$D269</f>
        <v>-841683.83293537959</v>
      </c>
      <c r="J269" s="468">
        <f>$D269*'3c. OM_AG-sfaf'!J269/'3c. OM_AG-sfaf'!$D269</f>
        <v>0</v>
      </c>
      <c r="K269" s="468">
        <f>$D269*'3c. OM_AG-sfaf'!K269/'3c. OM_AG-sfaf'!$D269</f>
        <v>0</v>
      </c>
      <c r="L269" s="468">
        <f>'4a. OM less M&amp;S'!K269</f>
        <v>0</v>
      </c>
      <c r="M269" s="468">
        <f>'4a. OM less M&amp;S'!L269</f>
        <v>-494341.27</v>
      </c>
      <c r="N269" s="468">
        <f>$M269*'3c. OM_AG-sfaf'!N269/'3c. OM_AG-sfaf'!$M269</f>
        <v>-155258.89054680601</v>
      </c>
      <c r="O269" s="468">
        <f>$M269*'3c. OM_AG-sfaf'!O269/'3c. OM_AG-sfaf'!$M269</f>
        <v>-141387.68620161616</v>
      </c>
      <c r="P269" s="468">
        <f>$M269*'3c. OM_AG-sfaf'!P269/'3c. OM_AG-sfaf'!$M269</f>
        <v>-38916.691919595913</v>
      </c>
      <c r="Q269" s="468">
        <f>$M269*'3c. OM_AG-sfaf'!Q269/'3c. OM_AG-sfaf'!$M269</f>
        <v>-7622.1066518930638</v>
      </c>
      <c r="R269" s="468">
        <f>$M269*'3c. OM_AG-sfaf'!R269/'3c. OM_AG-sfaf'!$M269</f>
        <v>-100486.23442216522</v>
      </c>
      <c r="S269" s="468">
        <f>$M269*'3c. OM_AG-sfaf'!S269/'3c. OM_AG-sfaf'!$M269</f>
        <v>-26743.709170883154</v>
      </c>
      <c r="T269" s="468">
        <f>$M269*'3c. OM_AG-sfaf'!T269/'3c. OM_AG-sfaf'!$M269</f>
        <v>-8332.0909176555833</v>
      </c>
      <c r="U269" s="468">
        <f>$M269*'3c. OM_AG-sfaf'!U269/'3c. OM_AG-sfaf'!$M269</f>
        <v>0</v>
      </c>
      <c r="V269" s="468">
        <f>$M269*'3c. OM_AG-sfaf'!V269/'3c. OM_AG-sfaf'!$M269</f>
        <v>-14039.668997587012</v>
      </c>
      <c r="W269" s="468">
        <f>$M269*'3c. OM_AG-sfaf'!W269/'3c. OM_AG-sfaf'!$M269</f>
        <v>-1554.1911717979581</v>
      </c>
      <c r="X269" s="468">
        <f>'4a. OM less M&amp;S'!M269</f>
        <v>0</v>
      </c>
      <c r="Y269" s="468">
        <f>$X269*'3c. OM_AG-sfaf'!Y269/'3c. OM_AG-sfaf'!$X269</f>
        <v>0</v>
      </c>
      <c r="Z269" s="468">
        <f>$X269*'3c. OM_AG-sfaf'!Z269/'3c. OM_AG-sfaf'!$X269</f>
        <v>0</v>
      </c>
      <c r="AA269" s="468">
        <f>'4a. OM less M&amp;S'!N269</f>
        <v>0</v>
      </c>
      <c r="AB269" s="468">
        <f>'4a. OM less M&amp;S'!O269</f>
        <v>0</v>
      </c>
      <c r="AC269" s="468"/>
      <c r="AD269" s="468"/>
      <c r="AE269" s="468"/>
      <c r="AF269" s="468">
        <f>'4a. OM less M&amp;S'!P269</f>
        <v>-190070.77</v>
      </c>
      <c r="AG269" s="468">
        <f>$AF269*'3c. OM_AG-sfaf'!AG269/'3c. OM_AG-sfaf'!$AF269</f>
        <v>-190070.77</v>
      </c>
      <c r="AH269" s="468">
        <f>'4a. OM less M&amp;S'!Q269</f>
        <v>0</v>
      </c>
      <c r="AI269" s="62"/>
      <c r="AJ269" s="468">
        <f>'4a. OM less M&amp;S'!I269</f>
        <v>-3141281.45</v>
      </c>
      <c r="AK269" s="62">
        <f t="shared" si="54"/>
        <v>-3141281.4500000007</v>
      </c>
      <c r="AL269" s="62">
        <f t="shared" si="55"/>
        <v>0</v>
      </c>
      <c r="AM269" s="62"/>
      <c r="AN269" s="62"/>
    </row>
    <row r="270" spans="1:40" x14ac:dyDescent="0.3">
      <c r="A270" s="466">
        <v>930</v>
      </c>
      <c r="B270" s="461" t="s">
        <v>750</v>
      </c>
      <c r="C270" s="461"/>
      <c r="D270" s="468">
        <f>'4a. OM less M&amp;S'!J270</f>
        <v>4207816.7498720661</v>
      </c>
      <c r="E270" s="468">
        <f>$D270*'3c. OM_AG-sfaf'!E270/'3c. OM_AG-sfaf'!$D270</f>
        <v>2766286.5993859596</v>
      </c>
      <c r="F270" s="630"/>
      <c r="G270" s="630"/>
      <c r="H270" s="630"/>
      <c r="I270" s="468">
        <f>$D270*'3c. OM_AG-sfaf'!I270/'3c. OM_AG-sfaf'!$D270</f>
        <v>1441530.1504861065</v>
      </c>
      <c r="J270" s="468">
        <f>$D270*'3c. OM_AG-sfaf'!J270/'3c. OM_AG-sfaf'!$D270</f>
        <v>0</v>
      </c>
      <c r="K270" s="468">
        <f>$D270*'3c. OM_AG-sfaf'!K270/'3c. OM_AG-sfaf'!$D270</f>
        <v>0</v>
      </c>
      <c r="L270" s="468">
        <f>'4a. OM less M&amp;S'!K270</f>
        <v>1433822.9956321481</v>
      </c>
      <c r="M270" s="468">
        <f>'4a. OM less M&amp;S'!L270</f>
        <v>5908930.7112657018</v>
      </c>
      <c r="N270" s="468">
        <f>$M270*'3c. OM_AG-sfaf'!N270/'3c. OM_AG-sfaf'!$M270</f>
        <v>1855831.3501704237</v>
      </c>
      <c r="O270" s="468">
        <f>$M270*'3c. OM_AG-sfaf'!O270/'3c. OM_AG-sfaf'!$M270</f>
        <v>1690026.8941565966</v>
      </c>
      <c r="P270" s="468">
        <f>$M270*'3c. OM_AG-sfaf'!P270/'3c. OM_AG-sfaf'!$M270</f>
        <v>465176.69071927998</v>
      </c>
      <c r="Q270" s="468">
        <f>$M270*'3c. OM_AG-sfaf'!Q270/'3c. OM_AG-sfaf'!$M270</f>
        <v>91108.112579622408</v>
      </c>
      <c r="R270" s="468">
        <f>$M270*'3c. OM_AG-sfaf'!R270/'3c. OM_AG-sfaf'!$M270</f>
        <v>1201126.0897488424</v>
      </c>
      <c r="S270" s="468">
        <f>$M270*'3c. OM_AG-sfaf'!S270/'3c. OM_AG-sfaf'!$M270</f>
        <v>319671.31624068058</v>
      </c>
      <c r="T270" s="468">
        <f>$M270*'3c. OM_AG-sfaf'!T270/'3c. OM_AG-sfaf'!$M270</f>
        <v>99594.65434151006</v>
      </c>
      <c r="U270" s="468">
        <f>$M270*'3c. OM_AG-sfaf'!U270/'3c. OM_AG-sfaf'!$M270</f>
        <v>0</v>
      </c>
      <c r="V270" s="468">
        <f>$M270*'3c. OM_AG-sfaf'!V270/'3c. OM_AG-sfaf'!$M270</f>
        <v>167818.13769230081</v>
      </c>
      <c r="W270" s="468">
        <f>$M270*'3c. OM_AG-sfaf'!W270/'3c. OM_AG-sfaf'!$M270</f>
        <v>18577.465616445465</v>
      </c>
      <c r="X270" s="468">
        <f>'4a. OM less M&amp;S'!M270</f>
        <v>514179.0688844719</v>
      </c>
      <c r="Y270" s="468">
        <f>$X270*'3c. OM_AG-sfaf'!Y270/'3c. OM_AG-sfaf'!$X270</f>
        <v>249952.24168768691</v>
      </c>
      <c r="Z270" s="468">
        <f>$X270*'3c. OM_AG-sfaf'!Z270/'3c. OM_AG-sfaf'!$X270</f>
        <v>264226.82719678496</v>
      </c>
      <c r="AA270" s="468">
        <f>'4a. OM less M&amp;S'!N270</f>
        <v>195440.46157151493</v>
      </c>
      <c r="AB270" s="468">
        <f>'4a. OM less M&amp;S'!O270</f>
        <v>582857.82852017926</v>
      </c>
      <c r="AC270" s="468">
        <f>$AB270*'3c. OM_AG-sfaf'!AC270/'3c. OM_AG-sfaf'!$AB270</f>
        <v>528891.02692377614</v>
      </c>
      <c r="AD270" s="468">
        <f>$AB270*'3c. OM_AG-sfaf'!AD270/'3c. OM_AG-sfaf'!$AB270</f>
        <v>53966.801596403042</v>
      </c>
      <c r="AE270" s="468">
        <f>$AB270*'3c. OM_AG-sfaf'!AE270/'3c. OM_AG-sfaf'!$AB270</f>
        <v>0</v>
      </c>
      <c r="AF270" s="468">
        <f>'4a. OM less M&amp;S'!P270</f>
        <v>323251.3842539211</v>
      </c>
      <c r="AG270" s="468">
        <f>$AF270*'3c. OM_AG-sfaf'!AG270/'3c. OM_AG-sfaf'!$AF270</f>
        <v>323251.3842539211</v>
      </c>
      <c r="AH270" s="468">
        <f>'4a. OM less M&amp;S'!Q270</f>
        <v>0</v>
      </c>
      <c r="AI270" s="62"/>
      <c r="AJ270" s="468">
        <f>'4a. OM less M&amp;S'!I270</f>
        <v>13166299.200000001</v>
      </c>
      <c r="AK270" s="62">
        <f t="shared" si="54"/>
        <v>13166299.200000005</v>
      </c>
      <c r="AL270" s="62">
        <f t="shared" si="55"/>
        <v>0</v>
      </c>
      <c r="AM270" s="62"/>
      <c r="AN270" s="62"/>
    </row>
    <row r="271" spans="1:40" x14ac:dyDescent="0.3">
      <c r="A271" s="484" t="s">
        <v>1214</v>
      </c>
      <c r="B271" s="461" t="s">
        <v>68</v>
      </c>
      <c r="C271" s="461"/>
      <c r="D271" s="669"/>
      <c r="E271" s="669"/>
      <c r="F271" s="669"/>
      <c r="G271" s="669"/>
      <c r="H271" s="669"/>
      <c r="I271" s="669"/>
      <c r="J271" s="669"/>
      <c r="K271" s="669"/>
      <c r="L271" s="669"/>
      <c r="M271" s="669"/>
      <c r="N271" s="669"/>
      <c r="O271" s="669"/>
      <c r="P271" s="669"/>
      <c r="Q271" s="669"/>
      <c r="R271" s="669"/>
      <c r="S271" s="669"/>
      <c r="T271" s="669"/>
      <c r="U271" s="669"/>
      <c r="V271" s="669"/>
      <c r="W271" s="669"/>
      <c r="X271" s="669"/>
      <c r="Y271" s="669"/>
      <c r="Z271" s="669"/>
      <c r="AA271" s="669"/>
      <c r="AB271" s="669"/>
      <c r="AC271" s="669"/>
      <c r="AD271" s="669"/>
      <c r="AE271" s="669"/>
      <c r="AF271" s="669"/>
      <c r="AG271" s="669"/>
      <c r="AH271" s="669"/>
      <c r="AI271" s="62"/>
      <c r="AJ271" s="468">
        <f>'4a. OM less M&amp;S'!I271</f>
        <v>0</v>
      </c>
      <c r="AK271" s="62">
        <f t="shared" si="54"/>
        <v>0</v>
      </c>
      <c r="AL271" s="62">
        <f t="shared" si="55"/>
        <v>0</v>
      </c>
      <c r="AM271" s="62"/>
      <c r="AN271" s="62"/>
    </row>
    <row r="272" spans="1:40" x14ac:dyDescent="0.3">
      <c r="A272" s="461">
        <v>931</v>
      </c>
      <c r="B272" s="461" t="s">
        <v>564</v>
      </c>
      <c r="C272" s="461"/>
      <c r="D272" s="468">
        <f>'4a. OM less M&amp;S'!J272</f>
        <v>0</v>
      </c>
      <c r="E272" s="468">
        <f>$D272*'3c. OM_AG-sfaf'!E272/'3c. OM_AG-sfaf'!$D272</f>
        <v>0</v>
      </c>
      <c r="F272" s="630"/>
      <c r="G272" s="630"/>
      <c r="H272" s="630"/>
      <c r="I272" s="468">
        <f>$D272*'3c. OM_AG-sfaf'!I272/'3c. OM_AG-sfaf'!$D272</f>
        <v>0</v>
      </c>
      <c r="J272" s="468">
        <f>$D272*'3c. OM_AG-sfaf'!J272/'3c. OM_AG-sfaf'!$D272</f>
        <v>0</v>
      </c>
      <c r="K272" s="468">
        <f>$D272*'3c. OM_AG-sfaf'!K272/'3c. OM_AG-sfaf'!$D272</f>
        <v>0</v>
      </c>
      <c r="L272" s="468">
        <f>'4a. OM less M&amp;S'!K272</f>
        <v>0</v>
      </c>
      <c r="M272" s="468">
        <f>'4a. OM less M&amp;S'!L272</f>
        <v>0</v>
      </c>
      <c r="N272" s="468">
        <f>$M272*'3c. OM_AG-sfaf'!N272/'3c. OM_AG-sfaf'!$M272</f>
        <v>0</v>
      </c>
      <c r="O272" s="468">
        <f>$M272*'3c. OM_AG-sfaf'!O272/'3c. OM_AG-sfaf'!$M272</f>
        <v>0</v>
      </c>
      <c r="P272" s="468">
        <f>$M272*'3c. OM_AG-sfaf'!P272/'3c. OM_AG-sfaf'!$M272</f>
        <v>0</v>
      </c>
      <c r="Q272" s="468">
        <f>$M272*'3c. OM_AG-sfaf'!Q272/'3c. OM_AG-sfaf'!$M272</f>
        <v>0</v>
      </c>
      <c r="R272" s="468">
        <f>$M272*'3c. OM_AG-sfaf'!R272/'3c. OM_AG-sfaf'!$M272</f>
        <v>0</v>
      </c>
      <c r="S272" s="468">
        <f>$M272*'3c. OM_AG-sfaf'!S272/'3c. OM_AG-sfaf'!$M272</f>
        <v>0</v>
      </c>
      <c r="T272" s="468">
        <f>$M272*'3c. OM_AG-sfaf'!T272/'3c. OM_AG-sfaf'!$M272</f>
        <v>0</v>
      </c>
      <c r="U272" s="468">
        <f>$M272*'3c. OM_AG-sfaf'!U272/'3c. OM_AG-sfaf'!$M272</f>
        <v>0</v>
      </c>
      <c r="V272" s="468">
        <f>$M272*'3c. OM_AG-sfaf'!V272/'3c. OM_AG-sfaf'!$M272</f>
        <v>0</v>
      </c>
      <c r="W272" s="468">
        <f>$M272*'3c. OM_AG-sfaf'!W272/'3c. OM_AG-sfaf'!$M272</f>
        <v>0</v>
      </c>
      <c r="X272" s="468">
        <f>'4a. OM less M&amp;S'!M272</f>
        <v>0</v>
      </c>
      <c r="Y272" s="468">
        <f>$X272*'3c. OM_AG-sfaf'!Y272/'3c. OM_AG-sfaf'!$X272</f>
        <v>0</v>
      </c>
      <c r="Z272" s="468">
        <f>$X272*'3c. OM_AG-sfaf'!Z272/'3c. OM_AG-sfaf'!$X272</f>
        <v>0</v>
      </c>
      <c r="AA272" s="468">
        <f>'4a. OM less M&amp;S'!N272</f>
        <v>0</v>
      </c>
      <c r="AB272" s="468">
        <f>'4a. OM less M&amp;S'!O272</f>
        <v>0</v>
      </c>
      <c r="AC272" s="468">
        <f>$AB272*'3c. OM_AG-sfaf'!AC272/'3c. OM_AG-sfaf'!$AB272</f>
        <v>0</v>
      </c>
      <c r="AD272" s="468">
        <f>$AB272*'3c. OM_AG-sfaf'!AD272/'3c. OM_AG-sfaf'!$AB272</f>
        <v>0</v>
      </c>
      <c r="AE272" s="468">
        <f>$AB272*'3c. OM_AG-sfaf'!AE272/'3c. OM_AG-sfaf'!$AB272</f>
        <v>0</v>
      </c>
      <c r="AF272" s="468">
        <f>'4a. OM less M&amp;S'!P272</f>
        <v>0</v>
      </c>
      <c r="AG272" s="468">
        <f>$AF272*'3c. OM_AG-sfaf'!AG272/'3c. OM_AG-sfaf'!$AF272</f>
        <v>0</v>
      </c>
      <c r="AH272" s="468">
        <f>'4a. OM less M&amp;S'!Q272</f>
        <v>0</v>
      </c>
      <c r="AI272" s="62"/>
      <c r="AJ272" s="468">
        <f>'4a. OM less M&amp;S'!I272</f>
        <v>0</v>
      </c>
      <c r="AK272" s="62">
        <f t="shared" si="54"/>
        <v>0</v>
      </c>
      <c r="AL272" s="62">
        <f t="shared" si="55"/>
        <v>0</v>
      </c>
      <c r="AM272" s="62"/>
      <c r="AN272" s="62"/>
    </row>
    <row r="273" spans="1:40" x14ac:dyDescent="0.3">
      <c r="A273" s="461">
        <v>932</v>
      </c>
      <c r="B273" s="461" t="s">
        <v>753</v>
      </c>
      <c r="C273" s="461"/>
      <c r="D273" s="468">
        <f>'4a. OM less M&amp;S'!J273</f>
        <v>6760382.4700000007</v>
      </c>
      <c r="E273" s="468">
        <f>$D273*'3c. OM_AG-sfaf'!E273/'3c. OM_AG-sfaf'!$D273</f>
        <v>4637161.0088289687</v>
      </c>
      <c r="F273" s="630"/>
      <c r="G273" s="630"/>
      <c r="H273" s="630"/>
      <c r="I273" s="468">
        <f>$D273*'3c. OM_AG-sfaf'!I273/'3c. OM_AG-sfaf'!$D273</f>
        <v>2123221.4611710319</v>
      </c>
      <c r="J273" s="468">
        <f>$D273*'3c. OM_AG-sfaf'!J273/'3c. OM_AG-sfaf'!$D273</f>
        <v>0</v>
      </c>
      <c r="K273" s="468">
        <f>$D273*'3c. OM_AG-sfaf'!K273/'3c. OM_AG-sfaf'!$D273</f>
        <v>0</v>
      </c>
      <c r="L273" s="468">
        <f>'4a. OM less M&amp;S'!K273</f>
        <v>1163430.52</v>
      </c>
      <c r="M273" s="468">
        <f>'4a. OM less M&amp;S'!L273</f>
        <v>4598456.04</v>
      </c>
      <c r="N273" s="468">
        <f>$M273*'3c. OM_AG-sfaf'!N273/'3c. OM_AG-sfaf'!$M273</f>
        <v>1296682.1592957266</v>
      </c>
      <c r="O273" s="468">
        <f>$M273*'3c. OM_AG-sfaf'!O273/'3c. OM_AG-sfaf'!$M273</f>
        <v>1312669.9141161712</v>
      </c>
      <c r="P273" s="468">
        <f>$M273*'3c. OM_AG-sfaf'!P273/'3c. OM_AG-sfaf'!$M273</f>
        <v>359049.82382795273</v>
      </c>
      <c r="Q273" s="468">
        <f>$M273*'3c. OM_AG-sfaf'!Q273/'3c. OM_AG-sfaf'!$M273</f>
        <v>136283.5183560031</v>
      </c>
      <c r="R273" s="468">
        <f>$M273*'3c. OM_AG-sfaf'!R273/'3c. OM_AG-sfaf'!$M273</f>
        <v>888166.09559765994</v>
      </c>
      <c r="S273" s="468">
        <f>$M273*'3c. OM_AG-sfaf'!S273/'3c. OM_AG-sfaf'!$M273</f>
        <v>233379.03706157493</v>
      </c>
      <c r="T273" s="468">
        <f>$M273*'3c. OM_AG-sfaf'!T273/'3c. OM_AG-sfaf'!$M273</f>
        <v>148978.06044713067</v>
      </c>
      <c r="U273" s="468">
        <f>$M273*'3c. OM_AG-sfaf'!U273/'3c. OM_AG-sfaf'!$M273</f>
        <v>59398.768337303329</v>
      </c>
      <c r="V273" s="468">
        <f>$M273*'3c. OM_AG-sfaf'!V273/'3c. OM_AG-sfaf'!$M273</f>
        <v>152444.67002731923</v>
      </c>
      <c r="W273" s="468">
        <f>$M273*'3c. OM_AG-sfaf'!W273/'3c. OM_AG-sfaf'!$M273</f>
        <v>11403.992933157308</v>
      </c>
      <c r="X273" s="468">
        <f>'4a. OM less M&amp;S'!M273</f>
        <v>0</v>
      </c>
      <c r="Y273" s="468">
        <f>IF($X273=0,0,$X273*'3c. OM_AG-sfaf'!Y273/'3c. OM_AG-sfaf'!$X273)</f>
        <v>0</v>
      </c>
      <c r="Z273" s="468">
        <f>IF($X273=0,0,$X273*'3c. OM_AG-sfaf'!Z273/'3c. OM_AG-sfaf'!$X273)</f>
        <v>0</v>
      </c>
      <c r="AA273" s="468">
        <f>'4a. OM less M&amp;S'!N273</f>
        <v>0</v>
      </c>
      <c r="AB273" s="468">
        <f>'4a. OM less M&amp;S'!O273</f>
        <v>0</v>
      </c>
      <c r="AC273" s="468">
        <f>IF($AB273=0,0,$AB273*'3c. OM_AG-sfaf'!AC273/'3c. OM_AG-sfaf'!$AB273)</f>
        <v>0</v>
      </c>
      <c r="AD273" s="468">
        <f>IF($AB273=0,0,$AB273*'3c. OM_AG-sfaf'!AD273/'3c. OM_AG-sfaf'!$AB273)</f>
        <v>0</v>
      </c>
      <c r="AE273" s="468">
        <f>IF($AB273=0,0,$AB273*'3c. OM_AG-sfaf'!AE273/'3c. OM_AG-sfaf'!$AB273)</f>
        <v>0</v>
      </c>
      <c r="AF273" s="468">
        <f>'4a. OM less M&amp;S'!P273</f>
        <v>688705.75</v>
      </c>
      <c r="AG273" s="468">
        <f>$AF273*'3c. OM_AG-sfaf'!AG273/'3c. OM_AG-sfaf'!$AF273</f>
        <v>688705.75</v>
      </c>
      <c r="AH273" s="468">
        <f>'4a. OM less M&amp;S'!Q273</f>
        <v>0</v>
      </c>
      <c r="AI273" s="62"/>
      <c r="AJ273" s="468">
        <f>'4a. OM less M&amp;S'!I273</f>
        <v>13210974.780000001</v>
      </c>
      <c r="AK273" s="62">
        <f t="shared" si="54"/>
        <v>13210974.780000001</v>
      </c>
      <c r="AL273" s="62">
        <f t="shared" si="55"/>
        <v>0</v>
      </c>
      <c r="AM273" s="62"/>
      <c r="AN273" s="62"/>
    </row>
    <row r="274" spans="1:40" x14ac:dyDescent="0.3">
      <c r="A274" s="461" t="s">
        <v>1215</v>
      </c>
      <c r="B274" s="461" t="s">
        <v>70</v>
      </c>
      <c r="C274" s="461"/>
      <c r="D274" s="669"/>
      <c r="E274" s="669"/>
      <c r="F274" s="669"/>
      <c r="G274" s="669"/>
      <c r="H274" s="669"/>
      <c r="I274" s="669"/>
      <c r="J274" s="669"/>
      <c r="K274" s="669"/>
      <c r="L274" s="669"/>
      <c r="M274" s="669"/>
      <c r="N274" s="669"/>
      <c r="O274" s="669"/>
      <c r="P274" s="669"/>
      <c r="Q274" s="669"/>
      <c r="R274" s="669"/>
      <c r="S274" s="669"/>
      <c r="T274" s="669"/>
      <c r="U274" s="669"/>
      <c r="V274" s="669"/>
      <c r="W274" s="669"/>
      <c r="X274" s="669"/>
      <c r="Y274" s="669"/>
      <c r="Z274" s="669"/>
      <c r="AA274" s="669"/>
      <c r="AB274" s="669"/>
      <c r="AC274" s="669"/>
      <c r="AD274" s="669"/>
      <c r="AE274" s="669"/>
      <c r="AF274" s="669"/>
      <c r="AG274" s="669"/>
      <c r="AH274" s="669"/>
      <c r="AI274" s="62"/>
      <c r="AJ274" s="468">
        <f>'4a. OM less M&amp;S'!I274</f>
        <v>0</v>
      </c>
      <c r="AK274" s="62">
        <f>SUM(E274,I274:K274,L274,N274:W274,Y274:Z274,AA274:AA274,AC274:AE274,AG274:AH274)</f>
        <v>0</v>
      </c>
      <c r="AL274" s="62">
        <f t="shared" si="55"/>
        <v>0</v>
      </c>
      <c r="AM274" s="62"/>
      <c r="AN274" s="62"/>
    </row>
    <row r="275" spans="1:40" x14ac:dyDescent="0.3">
      <c r="A275" s="461"/>
      <c r="B275" s="487" t="s">
        <v>754</v>
      </c>
      <c r="C275" s="487"/>
      <c r="D275" s="695">
        <v>82177711.671149746</v>
      </c>
      <c r="E275" s="695">
        <v>48660948.773430951</v>
      </c>
      <c r="F275" s="695"/>
      <c r="G275" s="695"/>
      <c r="H275" s="695"/>
      <c r="I275" s="695">
        <v>33516762.897718798</v>
      </c>
      <c r="J275" s="695">
        <v>0</v>
      </c>
      <c r="K275" s="695">
        <v>0</v>
      </c>
      <c r="L275" s="695">
        <v>10496432.492151022</v>
      </c>
      <c r="M275" s="695">
        <v>54761700.563738652</v>
      </c>
      <c r="N275" s="695">
        <v>17006496.147936489</v>
      </c>
      <c r="O275" s="695">
        <v>15659579.63248295</v>
      </c>
      <c r="P275" s="695">
        <v>4307332.6352623366</v>
      </c>
      <c r="Q275" s="695">
        <v>929335.65331834392</v>
      </c>
      <c r="R275" s="695">
        <v>11071312.035063336</v>
      </c>
      <c r="S275" s="695">
        <v>2942653.7212428031</v>
      </c>
      <c r="T275" s="695">
        <v>1015901.4443263037</v>
      </c>
      <c r="U275" s="695">
        <v>77186.851341631787</v>
      </c>
      <c r="V275" s="695">
        <v>1583697.3770922478</v>
      </c>
      <c r="W275" s="695">
        <v>168205.06567220658</v>
      </c>
      <c r="X275" s="695">
        <v>3729607.7994607091</v>
      </c>
      <c r="Y275" s="695">
        <v>1813033.4089903254</v>
      </c>
      <c r="Z275" s="695">
        <v>1916574.3904703842</v>
      </c>
      <c r="AA275" s="695">
        <v>1165692.5010961401</v>
      </c>
      <c r="AB275" s="695">
        <v>3843006.234972876</v>
      </c>
      <c r="AC275" s="695">
        <v>3487182.318970792</v>
      </c>
      <c r="AD275" s="695">
        <v>355823.91600208351</v>
      </c>
      <c r="AE275" s="695">
        <v>0</v>
      </c>
      <c r="AF275" s="695">
        <v>3867548.9274308644</v>
      </c>
      <c r="AG275" s="695">
        <v>3867548.9274308644</v>
      </c>
      <c r="AH275" s="695">
        <v>-7486.1</v>
      </c>
      <c r="AI275" s="62"/>
      <c r="AJ275" s="468">
        <f>'4a. OM less M&amp;S'!I275</f>
        <v>160034214.08999997</v>
      </c>
      <c r="AK275" s="62">
        <f t="shared" si="54"/>
        <v>160034214.09000006</v>
      </c>
      <c r="AL275" s="62">
        <f t="shared" si="55"/>
        <v>0</v>
      </c>
      <c r="AM275" s="62"/>
      <c r="AN275" s="62"/>
    </row>
    <row r="276" spans="1:40" x14ac:dyDescent="0.3">
      <c r="A276" s="462"/>
      <c r="B276" s="461"/>
      <c r="C276" s="461"/>
      <c r="D276" s="468"/>
      <c r="E276" s="468"/>
      <c r="F276" s="630"/>
      <c r="G276" s="630"/>
      <c r="H276" s="630"/>
      <c r="I276" s="468"/>
      <c r="J276" s="468"/>
      <c r="K276" s="468"/>
      <c r="L276" s="468"/>
      <c r="M276" s="468"/>
      <c r="N276" s="468"/>
      <c r="O276" s="468"/>
      <c r="P276" s="468"/>
      <c r="Q276" s="468"/>
      <c r="R276" s="468"/>
      <c r="S276" s="468"/>
      <c r="T276" s="468"/>
      <c r="U276" s="468"/>
      <c r="V276" s="468"/>
      <c r="W276" s="468"/>
      <c r="X276" s="468"/>
      <c r="Y276" s="468"/>
      <c r="Z276" s="468"/>
      <c r="AA276" s="468"/>
      <c r="AB276" s="468"/>
      <c r="AC276" s="468"/>
      <c r="AD276" s="468"/>
      <c r="AE276" s="468"/>
      <c r="AF276" s="468"/>
      <c r="AG276" s="468"/>
      <c r="AH276" s="468"/>
      <c r="AI276" s="62"/>
      <c r="AJ276" s="468"/>
      <c r="AK276" s="62"/>
      <c r="AL276" s="62"/>
      <c r="AM276" s="62"/>
      <c r="AN276" s="62"/>
    </row>
    <row r="277" spans="1:40" x14ac:dyDescent="0.3">
      <c r="A277" s="460" t="s">
        <v>755</v>
      </c>
      <c r="B277" s="461"/>
      <c r="C277" s="461"/>
      <c r="D277" s="468">
        <f>D275+D242</f>
        <v>82177711.671149746</v>
      </c>
      <c r="E277" s="468">
        <f>E275+E242</f>
        <v>48660948.773430951</v>
      </c>
      <c r="F277" s="630"/>
      <c r="G277" s="630"/>
      <c r="H277" s="630"/>
      <c r="I277" s="468">
        <f>I275+I242</f>
        <v>33516762.897718798</v>
      </c>
      <c r="J277" s="468">
        <f>J275+J242</f>
        <v>0</v>
      </c>
      <c r="K277" s="468">
        <f>K275+K242</f>
        <v>0</v>
      </c>
      <c r="L277" s="468">
        <f t="shared" ref="L277:AH277" si="56">L275+L242</f>
        <v>10496432.492151022</v>
      </c>
      <c r="M277" s="468">
        <f t="shared" si="56"/>
        <v>54761700.563738652</v>
      </c>
      <c r="N277" s="468">
        <f t="shared" si="56"/>
        <v>17006496.147936489</v>
      </c>
      <c r="O277" s="468">
        <f t="shared" si="56"/>
        <v>15659579.63248295</v>
      </c>
      <c r="P277" s="468">
        <f t="shared" si="56"/>
        <v>4307332.6352623366</v>
      </c>
      <c r="Q277" s="468">
        <f t="shared" si="56"/>
        <v>929335.65331834392</v>
      </c>
      <c r="R277" s="468">
        <f t="shared" si="56"/>
        <v>11071312.035063336</v>
      </c>
      <c r="S277" s="468">
        <f t="shared" si="56"/>
        <v>2942653.7212428031</v>
      </c>
      <c r="T277" s="468">
        <f t="shared" si="56"/>
        <v>1015901.4443263037</v>
      </c>
      <c r="U277" s="468">
        <f t="shared" si="56"/>
        <v>77186.851341631787</v>
      </c>
      <c r="V277" s="468">
        <f t="shared" si="56"/>
        <v>1583697.3770922478</v>
      </c>
      <c r="W277" s="468">
        <f t="shared" si="56"/>
        <v>168205.06567220658</v>
      </c>
      <c r="X277" s="468">
        <f t="shared" si="56"/>
        <v>12460452.41061198</v>
      </c>
      <c r="Y277" s="468">
        <f t="shared" si="56"/>
        <v>1813033.4089903254</v>
      </c>
      <c r="Z277" s="468">
        <f t="shared" si="56"/>
        <v>10647419.001621654</v>
      </c>
      <c r="AA277" s="468">
        <f t="shared" si="56"/>
        <v>6322664.4572074972</v>
      </c>
      <c r="AB277" s="468">
        <f t="shared" si="56"/>
        <v>22617714.914334033</v>
      </c>
      <c r="AC277" s="468">
        <f t="shared" si="56"/>
        <v>22261890.998331949</v>
      </c>
      <c r="AD277" s="468">
        <f t="shared" si="56"/>
        <v>355823.91600208351</v>
      </c>
      <c r="AE277" s="468">
        <f t="shared" si="56"/>
        <v>0</v>
      </c>
      <c r="AF277" s="468">
        <f t="shared" si="56"/>
        <v>14972390.647430863</v>
      </c>
      <c r="AG277" s="468">
        <f t="shared" si="56"/>
        <v>14972390.647430863</v>
      </c>
      <c r="AH277" s="468">
        <f t="shared" si="56"/>
        <v>-7486.1</v>
      </c>
      <c r="AI277" s="62"/>
      <c r="AJ277" s="171">
        <f>AJ275+AJ242</f>
        <v>203801581.05662376</v>
      </c>
      <c r="AK277" s="62">
        <f>SUM(E277,I277:K277,L277,N277:W277,Y277:Z277,AA277:AA277,AC277:AE277,AG277:AH277)</f>
        <v>203801581.05662388</v>
      </c>
      <c r="AL277" s="62">
        <f>AJ277-AK277</f>
        <v>0</v>
      </c>
      <c r="AM277" s="62"/>
      <c r="AN277" s="62"/>
    </row>
    <row r="278" spans="1:40" x14ac:dyDescent="0.3">
      <c r="A278" s="462"/>
      <c r="B278" s="461"/>
      <c r="C278" s="461"/>
      <c r="D278" s="468"/>
      <c r="E278" s="468"/>
      <c r="F278" s="630"/>
      <c r="G278" s="630"/>
      <c r="H278" s="630"/>
      <c r="I278" s="468"/>
      <c r="J278" s="468"/>
      <c r="K278" s="468"/>
      <c r="L278" s="468"/>
      <c r="M278" s="468"/>
      <c r="N278" s="468"/>
      <c r="O278" s="468"/>
      <c r="P278" s="468"/>
      <c r="Q278" s="468"/>
      <c r="R278" s="468"/>
      <c r="S278" s="468"/>
      <c r="T278" s="468"/>
      <c r="U278" s="468"/>
      <c r="V278" s="468"/>
      <c r="W278" s="468"/>
      <c r="X278" s="468"/>
      <c r="Y278" s="468"/>
      <c r="Z278" s="468"/>
      <c r="AA278" s="468"/>
      <c r="AB278" s="468"/>
      <c r="AC278" s="468"/>
      <c r="AD278" s="468"/>
      <c r="AE278" s="468"/>
      <c r="AF278" s="468"/>
      <c r="AG278" s="468"/>
      <c r="AH278" s="468"/>
      <c r="AI278" s="62"/>
      <c r="AJ278" s="62"/>
      <c r="AK278" s="62"/>
      <c r="AL278" s="62"/>
      <c r="AM278" s="62"/>
      <c r="AN278" s="62"/>
    </row>
    <row r="279" spans="1:40" x14ac:dyDescent="0.3">
      <c r="A279" s="463" t="s">
        <v>756</v>
      </c>
      <c r="B279" s="62"/>
      <c r="C279" s="62"/>
      <c r="D279" s="468">
        <f t="shared" ref="D279:AH279" si="57">D277+D152</f>
        <v>295178881.86114973</v>
      </c>
      <c r="E279" s="468">
        <f t="shared" si="57"/>
        <v>211957776.39853954</v>
      </c>
      <c r="F279" s="630"/>
      <c r="G279" s="630"/>
      <c r="H279" s="630"/>
      <c r="I279" s="468">
        <f t="shared" si="57"/>
        <v>83221105.462610215</v>
      </c>
      <c r="J279" s="468">
        <f t="shared" si="57"/>
        <v>0</v>
      </c>
      <c r="K279" s="468">
        <f t="shared" si="57"/>
        <v>0</v>
      </c>
      <c r="L279" s="468">
        <f t="shared" si="57"/>
        <v>29318606.852151021</v>
      </c>
      <c r="M279" s="468">
        <f t="shared" si="57"/>
        <v>138170958.41246414</v>
      </c>
      <c r="N279" s="468">
        <f t="shared" si="57"/>
        <v>35086062.087976485</v>
      </c>
      <c r="O279" s="468">
        <f t="shared" si="57"/>
        <v>42095209.796328962</v>
      </c>
      <c r="P279" s="468">
        <f t="shared" si="57"/>
        <v>11571942.419162355</v>
      </c>
      <c r="Q279" s="468">
        <f t="shared" si="57"/>
        <v>1999108.0777411056</v>
      </c>
      <c r="R279" s="468">
        <f t="shared" si="57"/>
        <v>29626804.121615663</v>
      </c>
      <c r="S279" s="468">
        <f t="shared" si="57"/>
        <v>7865474.3597013177</v>
      </c>
      <c r="T279" s="468">
        <f t="shared" si="57"/>
        <v>2185321.0691852001</v>
      </c>
      <c r="U279" s="468">
        <f t="shared" si="57"/>
        <v>77186.851341631787</v>
      </c>
      <c r="V279" s="468">
        <f t="shared" si="57"/>
        <v>6067369.9186827494</v>
      </c>
      <c r="W279" s="468">
        <f t="shared" si="57"/>
        <v>1596479.710728677</v>
      </c>
      <c r="X279" s="468">
        <f t="shared" si="57"/>
        <v>23435712.681886487</v>
      </c>
      <c r="Y279" s="468">
        <f t="shared" si="57"/>
        <v>12788293.680264832</v>
      </c>
      <c r="Z279" s="468">
        <f t="shared" si="57"/>
        <v>10647419.001621654</v>
      </c>
      <c r="AA279" s="468">
        <f t="shared" si="57"/>
        <v>6322664.4572074972</v>
      </c>
      <c r="AB279" s="468">
        <f t="shared" si="57"/>
        <v>22617714.914334033</v>
      </c>
      <c r="AC279" s="468">
        <f t="shared" si="57"/>
        <v>22261890.998331949</v>
      </c>
      <c r="AD279" s="468">
        <f t="shared" si="57"/>
        <v>355823.91600208351</v>
      </c>
      <c r="AE279" s="468">
        <f t="shared" si="57"/>
        <v>0</v>
      </c>
      <c r="AF279" s="468">
        <f t="shared" si="57"/>
        <v>14972390.647430863</v>
      </c>
      <c r="AG279" s="468">
        <f t="shared" si="57"/>
        <v>14972390.647430863</v>
      </c>
      <c r="AH279" s="468">
        <f t="shared" si="57"/>
        <v>-7486.1</v>
      </c>
      <c r="AI279" s="62"/>
      <c r="AJ279" s="171">
        <f>AJ277+AJ152</f>
        <v>530009443.72662377</v>
      </c>
      <c r="AK279" s="62">
        <f>SUM(E279,I279:K279,L279,N279:W279,Y279:Z279,AA279:AA279,AC279:AE279,AG279:AH279)</f>
        <v>530009443.72662377</v>
      </c>
      <c r="AL279" s="62">
        <f>AJ279-AK279</f>
        <v>0</v>
      </c>
      <c r="AM279" s="62"/>
      <c r="AN279" s="62"/>
    </row>
    <row r="280" spans="1:40" x14ac:dyDescent="0.3">
      <c r="A280" s="62"/>
      <c r="B280" s="62"/>
      <c r="C280" s="62"/>
      <c r="D280" s="468"/>
      <c r="E280" s="468"/>
      <c r="F280" s="630"/>
      <c r="G280" s="630"/>
      <c r="H280" s="630"/>
      <c r="I280" s="468"/>
      <c r="J280" s="468"/>
      <c r="K280" s="468"/>
      <c r="L280" s="468"/>
      <c r="M280" s="468"/>
      <c r="N280" s="468"/>
      <c r="O280" s="468"/>
      <c r="P280" s="468"/>
      <c r="Q280" s="468"/>
      <c r="R280" s="468"/>
      <c r="S280" s="468"/>
      <c r="T280" s="468"/>
      <c r="U280" s="468"/>
      <c r="V280" s="468"/>
      <c r="W280" s="468"/>
      <c r="X280" s="468"/>
      <c r="Y280" s="468"/>
      <c r="Z280" s="468"/>
      <c r="AA280" s="468"/>
      <c r="AB280" s="468"/>
      <c r="AC280" s="468"/>
      <c r="AD280" s="468"/>
      <c r="AE280" s="468"/>
      <c r="AF280" s="468"/>
      <c r="AG280" s="468"/>
      <c r="AH280" s="468"/>
      <c r="AI280" s="62"/>
      <c r="AJ280" s="62"/>
      <c r="AK280" s="62"/>
      <c r="AL280" s="62"/>
      <c r="AM280" s="62"/>
      <c r="AN280" s="62"/>
    </row>
    <row r="281" spans="1:40" x14ac:dyDescent="0.3">
      <c r="A281" s="463" t="s">
        <v>898</v>
      </c>
      <c r="B281" s="62"/>
      <c r="C281" s="489" t="s">
        <v>899</v>
      </c>
      <c r="D281" s="468">
        <f>'4a. OM less M&amp;S'!J281</f>
        <v>32893758.539220218</v>
      </c>
      <c r="E281" s="468">
        <f>$D281*E279/$D279</f>
        <v>23619873.730137698</v>
      </c>
      <c r="F281" s="630"/>
      <c r="G281" s="630"/>
      <c r="H281" s="630"/>
      <c r="I281" s="468">
        <f>$D281*I279/$D279</f>
        <v>9273884.809082523</v>
      </c>
      <c r="J281" s="468">
        <f>$D281*J279/$D279</f>
        <v>0</v>
      </c>
      <c r="K281" s="468">
        <f>$D281*K279/$D279</f>
        <v>0</v>
      </c>
      <c r="L281" s="468">
        <f>'4a. OM less M&amp;S'!K281</f>
        <v>138618.23852046242</v>
      </c>
      <c r="M281" s="468">
        <f>'4a. OM less M&amp;S'!L281</f>
        <v>4111253.2622524542</v>
      </c>
      <c r="N281" s="468">
        <f>$M281*N279/$M279</f>
        <v>1043979.7832781997</v>
      </c>
      <c r="O281" s="468">
        <f t="shared" ref="O281:W281" si="58">$M281*O279/$M279</f>
        <v>1252535.7758881054</v>
      </c>
      <c r="P281" s="468">
        <f t="shared" si="58"/>
        <v>344321.16971613275</v>
      </c>
      <c r="Q281" s="468">
        <f t="shared" si="58"/>
        <v>59483.119322902137</v>
      </c>
      <c r="R281" s="468">
        <f t="shared" si="58"/>
        <v>881540.49515602982</v>
      </c>
      <c r="S281" s="468">
        <f t="shared" si="58"/>
        <v>234035.84582480552</v>
      </c>
      <c r="T281" s="468">
        <f t="shared" si="58"/>
        <v>65023.855070445898</v>
      </c>
      <c r="U281" s="468">
        <f t="shared" si="58"/>
        <v>2296.6815749658485</v>
      </c>
      <c r="V281" s="468">
        <f t="shared" si="58"/>
        <v>180533.55537285368</v>
      </c>
      <c r="W281" s="468">
        <f t="shared" si="58"/>
        <v>47502.981048013375</v>
      </c>
      <c r="X281" s="468">
        <f>'4a. OM less M&amp;S'!M281</f>
        <v>2056626.6772564026</v>
      </c>
      <c r="Y281" s="468">
        <f>$X281*Y279/$X279</f>
        <v>1122250.7416960278</v>
      </c>
      <c r="Z281" s="468">
        <f>$X281*Z279/$X279</f>
        <v>934375.93556037475</v>
      </c>
      <c r="AA281" s="468">
        <f>'4a. OM less M&amp;S'!N281</f>
        <v>549308.46099777764</v>
      </c>
      <c r="AB281" s="468">
        <f>'4a. OM less M&amp;S'!O281</f>
        <v>2805499.6632766193</v>
      </c>
      <c r="AC281" s="468">
        <f>$AB281*AC279/$AB279</f>
        <v>2761363.2913968517</v>
      </c>
      <c r="AD281" s="468">
        <f>$AB281*AD279/$AB279</f>
        <v>44136.371879767627</v>
      </c>
      <c r="AE281" s="468">
        <f>$AB281*AE279/$AB279</f>
        <v>0</v>
      </c>
      <c r="AF281" s="468">
        <f>'4a. OM less M&amp;S'!P281</f>
        <v>608829.40932712401</v>
      </c>
      <c r="AG281" s="468">
        <f>$AF281*AG279/$AF279</f>
        <v>608829.40932712401</v>
      </c>
      <c r="AH281" s="468">
        <f>'4a. OM less M&amp;S'!Q281</f>
        <v>0</v>
      </c>
      <c r="AI281" s="62"/>
      <c r="AJ281" s="171">
        <f>'4a. OM less M&amp;S'!S281</f>
        <v>43163894.250851065</v>
      </c>
      <c r="AK281" s="62">
        <f>SUM(E281,I281:K281,L281,N281:W281,Y281:Z281,AA281:AA281,AC281:AE281,AG281:AH281)</f>
        <v>43163894.250851072</v>
      </c>
      <c r="AL281" s="62">
        <f>AJ281-AK281</f>
        <v>0</v>
      </c>
      <c r="AM281" s="62"/>
      <c r="AN281" s="62"/>
    </row>
    <row r="282" spans="1:40" x14ac:dyDescent="0.3">
      <c r="A282" s="62"/>
      <c r="B282" s="62"/>
      <c r="C282" s="62"/>
      <c r="D282" s="468"/>
      <c r="E282" s="468"/>
      <c r="F282" s="630"/>
      <c r="G282" s="630"/>
      <c r="H282" s="630"/>
      <c r="I282" s="468"/>
      <c r="J282" s="468"/>
      <c r="K282" s="468"/>
      <c r="L282" s="468"/>
      <c r="M282" s="468"/>
      <c r="N282" s="468"/>
      <c r="O282" s="468"/>
      <c r="P282" s="468"/>
      <c r="Q282" s="468"/>
      <c r="R282" s="468"/>
      <c r="S282" s="468"/>
      <c r="T282" s="468"/>
      <c r="U282" s="468"/>
      <c r="V282" s="468"/>
      <c r="W282" s="468"/>
      <c r="X282" s="468"/>
      <c r="Y282" s="468"/>
      <c r="Z282" s="468"/>
      <c r="AA282" s="468"/>
      <c r="AB282" s="468"/>
      <c r="AC282" s="468"/>
      <c r="AD282" s="468"/>
      <c r="AE282" s="468"/>
      <c r="AF282" s="468"/>
      <c r="AG282" s="468"/>
      <c r="AH282" s="468"/>
      <c r="AI282" s="62"/>
      <c r="AJ282" s="62"/>
      <c r="AK282" s="62"/>
      <c r="AL282" s="62"/>
      <c r="AM282" s="62"/>
      <c r="AN282" s="62"/>
    </row>
    <row r="283" spans="1:40" x14ac:dyDescent="0.3">
      <c r="A283" s="463" t="s">
        <v>355</v>
      </c>
      <c r="B283" s="62"/>
      <c r="C283" s="62"/>
      <c r="D283" s="468">
        <f>D279-D281</f>
        <v>262285123.32192951</v>
      </c>
      <c r="E283" s="468">
        <f t="shared" ref="E283:V283" si="59">E279-E281</f>
        <v>188337902.66840184</v>
      </c>
      <c r="F283" s="630"/>
      <c r="G283" s="630"/>
      <c r="H283" s="630"/>
      <c r="I283" s="468">
        <f t="shared" si="59"/>
        <v>73947220.653527692</v>
      </c>
      <c r="J283" s="468">
        <f t="shared" si="59"/>
        <v>0</v>
      </c>
      <c r="K283" s="468">
        <f>K279-K281</f>
        <v>0</v>
      </c>
      <c r="L283" s="468">
        <f t="shared" si="59"/>
        <v>29179988.613630559</v>
      </c>
      <c r="M283" s="468">
        <f t="shared" si="59"/>
        <v>134059705.15021169</v>
      </c>
      <c r="N283" s="468">
        <f t="shared" si="59"/>
        <v>34042082.304698288</v>
      </c>
      <c r="O283" s="468">
        <f t="shared" si="59"/>
        <v>40842674.020440854</v>
      </c>
      <c r="P283" s="468">
        <f t="shared" si="59"/>
        <v>11227621.249446223</v>
      </c>
      <c r="Q283" s="468">
        <f t="shared" si="59"/>
        <v>1939624.9584182035</v>
      </c>
      <c r="R283" s="468">
        <f t="shared" si="59"/>
        <v>28745263.626459632</v>
      </c>
      <c r="S283" s="468">
        <f t="shared" si="59"/>
        <v>7631438.5138765126</v>
      </c>
      <c r="T283" s="468">
        <f t="shared" si="59"/>
        <v>2120297.2141147545</v>
      </c>
      <c r="U283" s="468">
        <f t="shared" si="59"/>
        <v>74890.169766665946</v>
      </c>
      <c r="V283" s="468">
        <f t="shared" si="59"/>
        <v>5886836.3633098956</v>
      </c>
      <c r="W283" s="468">
        <f t="shared" ref="W283:AH283" si="60">W279-W281</f>
        <v>1548976.7296806637</v>
      </c>
      <c r="X283" s="468">
        <f t="shared" si="60"/>
        <v>21379086.004630085</v>
      </c>
      <c r="Y283" s="468">
        <f t="shared" si="60"/>
        <v>11666042.938568804</v>
      </c>
      <c r="Z283" s="468">
        <f t="shared" si="60"/>
        <v>9713043.0660612788</v>
      </c>
      <c r="AA283" s="468">
        <f t="shared" si="60"/>
        <v>5773355.9962097192</v>
      </c>
      <c r="AB283" s="468">
        <f t="shared" si="60"/>
        <v>19812215.251057412</v>
      </c>
      <c r="AC283" s="468">
        <f>AC279-AC281</f>
        <v>19500527.706935097</v>
      </c>
      <c r="AD283" s="468">
        <f>AD279-AD281</f>
        <v>311687.54412231589</v>
      </c>
      <c r="AE283" s="468">
        <f>AE279-AE281</f>
        <v>0</v>
      </c>
      <c r="AF283" s="468">
        <f t="shared" si="60"/>
        <v>14363561.23810374</v>
      </c>
      <c r="AG283" s="468">
        <f t="shared" si="60"/>
        <v>14363561.23810374</v>
      </c>
      <c r="AH283" s="468">
        <f t="shared" si="60"/>
        <v>-7486.1</v>
      </c>
      <c r="AI283" s="62"/>
      <c r="AJ283" s="171">
        <f>'4a. OM less M&amp;S'!S283</f>
        <v>486845549.47577268</v>
      </c>
      <c r="AK283" s="62">
        <f>SUM(E283,I283:K283,L283,N283:W283,Y283:Z283,AA283:AA283,AC283:AE283,AG283:AH283)</f>
        <v>486845549.47577274</v>
      </c>
      <c r="AL283" s="62">
        <f>AJ283-AK283</f>
        <v>0</v>
      </c>
      <c r="AM283" s="62"/>
      <c r="AN283" s="62"/>
    </row>
    <row r="284" spans="1:40" x14ac:dyDescent="0.3">
      <c r="A284" s="62"/>
      <c r="B284" s="62"/>
      <c r="C284" s="62"/>
      <c r="D284" s="468"/>
      <c r="E284" s="468"/>
      <c r="F284" s="630"/>
      <c r="G284" s="630"/>
      <c r="H284" s="630"/>
      <c r="I284" s="468"/>
      <c r="J284" s="468"/>
      <c r="K284" s="468"/>
      <c r="L284" s="468"/>
      <c r="M284" s="468"/>
      <c r="N284" s="468"/>
      <c r="O284" s="468"/>
      <c r="P284" s="468"/>
      <c r="Q284" s="468"/>
      <c r="R284" s="468"/>
      <c r="S284" s="468"/>
      <c r="T284" s="468"/>
      <c r="U284" s="468"/>
      <c r="V284" s="468"/>
      <c r="W284" s="468"/>
      <c r="X284" s="468"/>
      <c r="Y284" s="468"/>
      <c r="Z284" s="468"/>
      <c r="AA284" s="468"/>
      <c r="AB284" s="468"/>
      <c r="AC284" s="468"/>
      <c r="AD284" s="468"/>
      <c r="AE284" s="468"/>
      <c r="AF284" s="468"/>
      <c r="AG284" s="468"/>
      <c r="AH284" s="468"/>
      <c r="AI284" s="62"/>
      <c r="AJ284" s="62"/>
      <c r="AK284" s="62"/>
      <c r="AL284" s="62"/>
      <c r="AM284" s="62"/>
      <c r="AN284" s="62"/>
    </row>
    <row r="285" spans="1:40" x14ac:dyDescent="0.3">
      <c r="A285" s="463" t="s">
        <v>900</v>
      </c>
      <c r="B285" s="62"/>
      <c r="C285" s="489" t="s">
        <v>901</v>
      </c>
      <c r="D285" s="468">
        <f>D283/8</f>
        <v>32785640.415241189</v>
      </c>
      <c r="E285" s="468">
        <f t="shared" ref="E285:V285" si="61">E283/8</f>
        <v>23542237.83355023</v>
      </c>
      <c r="F285" s="630"/>
      <c r="G285" s="630"/>
      <c r="H285" s="630"/>
      <c r="I285" s="468">
        <f t="shared" si="61"/>
        <v>9243402.5816909615</v>
      </c>
      <c r="J285" s="468">
        <f t="shared" si="61"/>
        <v>0</v>
      </c>
      <c r="K285" s="468">
        <f>K283/8</f>
        <v>0</v>
      </c>
      <c r="L285" s="468">
        <f t="shared" si="61"/>
        <v>3647498.5767038199</v>
      </c>
      <c r="M285" s="468">
        <f t="shared" si="61"/>
        <v>16757463.143776461</v>
      </c>
      <c r="N285" s="468">
        <f t="shared" si="61"/>
        <v>4255260.2880872861</v>
      </c>
      <c r="O285" s="468">
        <f t="shared" si="61"/>
        <v>5105334.2525551068</v>
      </c>
      <c r="P285" s="468">
        <f t="shared" si="61"/>
        <v>1403452.6561807778</v>
      </c>
      <c r="Q285" s="468">
        <f t="shared" si="61"/>
        <v>242453.11980227544</v>
      </c>
      <c r="R285" s="468">
        <f t="shared" si="61"/>
        <v>3593157.953307454</v>
      </c>
      <c r="S285" s="468">
        <f t="shared" si="61"/>
        <v>953929.81423456408</v>
      </c>
      <c r="T285" s="468">
        <f t="shared" si="61"/>
        <v>265037.15176434431</v>
      </c>
      <c r="U285" s="468">
        <f t="shared" si="61"/>
        <v>9361.2712208332432</v>
      </c>
      <c r="V285" s="468">
        <f t="shared" si="61"/>
        <v>735854.54541373695</v>
      </c>
      <c r="W285" s="468">
        <f t="shared" ref="W285:AH285" si="62">W283/8</f>
        <v>193622.09121008296</v>
      </c>
      <c r="X285" s="468">
        <f t="shared" si="62"/>
        <v>2672385.7505787606</v>
      </c>
      <c r="Y285" s="468">
        <f t="shared" si="62"/>
        <v>1458255.3673211006</v>
      </c>
      <c r="Z285" s="468">
        <f t="shared" si="62"/>
        <v>1214130.3832576599</v>
      </c>
      <c r="AA285" s="468">
        <f t="shared" si="62"/>
        <v>721669.4995262149</v>
      </c>
      <c r="AB285" s="468">
        <f t="shared" si="62"/>
        <v>2476526.9063821766</v>
      </c>
      <c r="AC285" s="468">
        <f>AC283/8</f>
        <v>2437565.9633668871</v>
      </c>
      <c r="AD285" s="468">
        <f>AD283/8</f>
        <v>38960.943015289486</v>
      </c>
      <c r="AE285" s="468">
        <f>AE283/8</f>
        <v>0</v>
      </c>
      <c r="AF285" s="468">
        <f t="shared" si="62"/>
        <v>1795445.1547629675</v>
      </c>
      <c r="AG285" s="468">
        <f t="shared" si="62"/>
        <v>1795445.1547629675</v>
      </c>
      <c r="AH285" s="468">
        <f t="shared" si="62"/>
        <v>-935.76250000000005</v>
      </c>
      <c r="AI285" s="62"/>
      <c r="AJ285" s="171">
        <f>'4a. OM less M&amp;S'!S285</f>
        <v>60855693.684471585</v>
      </c>
      <c r="AK285" s="62">
        <f>SUM(E285,I285:K285,L285,N285:W285,Y285:Z285,AA285:AA285,AC285:AE285,AG285:AH285)</f>
        <v>60855693.684471592</v>
      </c>
      <c r="AL285" s="62">
        <f>AJ285-AK285</f>
        <v>0</v>
      </c>
      <c r="AM285" s="62"/>
      <c r="AN285" s="62"/>
    </row>
    <row r="286" spans="1:40" x14ac:dyDescent="0.3">
      <c r="A286" s="62"/>
      <c r="B286" s="62"/>
      <c r="C286" s="62"/>
      <c r="D286" s="171"/>
      <c r="E286" s="481"/>
      <c r="F286" s="481"/>
      <c r="G286" s="481"/>
      <c r="H286" s="481"/>
      <c r="I286" s="481"/>
      <c r="J286" s="481"/>
      <c r="K286" s="481"/>
      <c r="L286" s="171"/>
      <c r="M286" s="171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171"/>
      <c r="Y286" s="171"/>
      <c r="Z286" s="171"/>
      <c r="AA286" s="171"/>
      <c r="AB286" s="171"/>
      <c r="AC286" s="171"/>
      <c r="AD286" s="171"/>
      <c r="AE286" s="171"/>
      <c r="AF286" s="171"/>
      <c r="AG286" s="171"/>
      <c r="AH286" s="171"/>
      <c r="AI286" s="62"/>
      <c r="AJ286" s="62"/>
      <c r="AK286" s="62"/>
      <c r="AL286" s="62"/>
      <c r="AM286" s="62"/>
      <c r="AN286" s="62"/>
    </row>
    <row r="287" spans="1:40" x14ac:dyDescent="0.3">
      <c r="A287" s="62"/>
      <c r="B287" s="62"/>
      <c r="C287" s="62"/>
      <c r="D287" s="171"/>
      <c r="E287" s="481"/>
      <c r="F287" s="481"/>
      <c r="G287" s="481"/>
      <c r="H287" s="481"/>
      <c r="I287" s="481"/>
      <c r="J287" s="481"/>
      <c r="K287" s="481"/>
      <c r="L287" s="171"/>
      <c r="M287" s="171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171"/>
      <c r="Y287" s="171"/>
      <c r="Z287" s="171"/>
      <c r="AA287" s="171"/>
      <c r="AB287" s="171"/>
      <c r="AC287" s="171"/>
      <c r="AD287" s="171"/>
      <c r="AE287" s="171"/>
      <c r="AF287" s="171"/>
      <c r="AG287" s="171"/>
      <c r="AH287" s="171"/>
      <c r="AI287" s="62"/>
      <c r="AJ287" s="62"/>
      <c r="AK287" s="62"/>
      <c r="AL287" s="62"/>
      <c r="AM287" s="62"/>
      <c r="AN287" s="62"/>
    </row>
    <row r="288" spans="1:40" x14ac:dyDescent="0.3">
      <c r="A288" s="62"/>
      <c r="B288" s="62"/>
      <c r="C288" s="62"/>
      <c r="D288" s="171"/>
      <c r="E288" s="481"/>
      <c r="F288" s="481"/>
      <c r="G288" s="481"/>
      <c r="H288" s="481"/>
      <c r="I288" s="481"/>
      <c r="J288" s="481"/>
      <c r="K288" s="481"/>
      <c r="L288" s="171"/>
      <c r="M288" s="171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171"/>
      <c r="Y288" s="171"/>
      <c r="Z288" s="171"/>
      <c r="AA288" s="171"/>
      <c r="AB288" s="171"/>
      <c r="AC288" s="171"/>
      <c r="AD288" s="171"/>
      <c r="AE288" s="171"/>
      <c r="AF288" s="171"/>
      <c r="AG288" s="171"/>
      <c r="AH288" s="171"/>
      <c r="AI288" s="62"/>
      <c r="AJ288" s="62"/>
      <c r="AK288" s="62"/>
      <c r="AL288" s="62"/>
      <c r="AM288" s="62"/>
      <c r="AN288" s="62"/>
    </row>
    <row r="289" spans="1:40" x14ac:dyDescent="0.3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171"/>
      <c r="Y289" s="171"/>
      <c r="Z289" s="171"/>
      <c r="AA289" s="171"/>
      <c r="AB289" s="171"/>
      <c r="AC289" s="171"/>
      <c r="AD289" s="171"/>
      <c r="AE289" s="171"/>
      <c r="AF289" s="171"/>
      <c r="AG289" s="171"/>
      <c r="AH289" s="171"/>
      <c r="AI289" s="62"/>
      <c r="AJ289" s="62"/>
      <c r="AK289" s="62"/>
      <c r="AL289" s="62"/>
      <c r="AM289" s="62"/>
      <c r="AN289" s="62"/>
    </row>
    <row r="290" spans="1:40" x14ac:dyDescent="0.3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171"/>
      <c r="Y290" s="171"/>
      <c r="Z290" s="171"/>
      <c r="AA290" s="171"/>
      <c r="AB290" s="171"/>
      <c r="AC290" s="171"/>
      <c r="AD290" s="171"/>
      <c r="AE290" s="171"/>
      <c r="AF290" s="171"/>
      <c r="AG290" s="171"/>
      <c r="AH290" s="171"/>
      <c r="AI290" s="62"/>
      <c r="AJ290" s="62"/>
      <c r="AK290" s="62"/>
      <c r="AL290" s="62"/>
      <c r="AM290" s="62"/>
      <c r="AN290" s="62"/>
    </row>
    <row r="291" spans="1:40" x14ac:dyDescent="0.3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171"/>
      <c r="Y291" s="171"/>
      <c r="Z291" s="171"/>
      <c r="AA291" s="171"/>
      <c r="AB291" s="171"/>
      <c r="AC291" s="171"/>
      <c r="AD291" s="171"/>
      <c r="AE291" s="171"/>
      <c r="AF291" s="171"/>
      <c r="AG291" s="171"/>
      <c r="AH291" s="171"/>
      <c r="AI291" s="62"/>
      <c r="AJ291" s="62"/>
      <c r="AK291" s="62"/>
      <c r="AL291" s="62"/>
      <c r="AM291" s="62"/>
      <c r="AN291" s="62"/>
    </row>
    <row r="292" spans="1:40" x14ac:dyDescent="0.3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171"/>
      <c r="Y292" s="171"/>
      <c r="Z292" s="171"/>
      <c r="AA292" s="171"/>
      <c r="AB292" s="171"/>
      <c r="AC292" s="171"/>
      <c r="AD292" s="171"/>
      <c r="AE292" s="171"/>
      <c r="AF292" s="171"/>
      <c r="AG292" s="171"/>
      <c r="AH292" s="171"/>
      <c r="AI292" s="62"/>
      <c r="AJ292" s="62"/>
      <c r="AK292" s="62"/>
      <c r="AL292" s="62"/>
      <c r="AM292" s="62"/>
      <c r="AN292" s="62"/>
    </row>
    <row r="293" spans="1:40" x14ac:dyDescent="0.3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171"/>
      <c r="Y293" s="171"/>
      <c r="Z293" s="171"/>
      <c r="AA293" s="171"/>
      <c r="AB293" s="171"/>
      <c r="AC293" s="171"/>
      <c r="AD293" s="171"/>
      <c r="AE293" s="171"/>
      <c r="AF293" s="171"/>
      <c r="AG293" s="171"/>
      <c r="AH293" s="171"/>
      <c r="AI293" s="62"/>
      <c r="AJ293" s="62"/>
      <c r="AK293" s="62"/>
      <c r="AL293" s="62"/>
      <c r="AM293" s="62"/>
      <c r="AN293" s="62"/>
    </row>
    <row r="294" spans="1:40" x14ac:dyDescent="0.3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171"/>
      <c r="Y294" s="171"/>
      <c r="Z294" s="171"/>
      <c r="AA294" s="171"/>
      <c r="AB294" s="171"/>
      <c r="AC294" s="171"/>
      <c r="AD294" s="171"/>
      <c r="AE294" s="171"/>
      <c r="AF294" s="171"/>
      <c r="AG294" s="171"/>
      <c r="AH294" s="171"/>
      <c r="AI294" s="62"/>
      <c r="AJ294" s="62"/>
      <c r="AK294" s="62"/>
      <c r="AL294" s="62"/>
      <c r="AM294" s="62"/>
      <c r="AN294" s="62"/>
    </row>
    <row r="295" spans="1:40" x14ac:dyDescent="0.3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171"/>
      <c r="Y295" s="171"/>
      <c r="Z295" s="171"/>
      <c r="AA295" s="171"/>
      <c r="AB295" s="171"/>
      <c r="AC295" s="171"/>
      <c r="AD295" s="171"/>
      <c r="AE295" s="171"/>
      <c r="AF295" s="171"/>
      <c r="AG295" s="171"/>
      <c r="AH295" s="171"/>
      <c r="AI295" s="62"/>
      <c r="AJ295" s="62"/>
      <c r="AK295" s="62"/>
      <c r="AL295" s="62"/>
      <c r="AM295" s="62"/>
      <c r="AN295" s="62"/>
    </row>
    <row r="296" spans="1:40" x14ac:dyDescent="0.3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171"/>
      <c r="Y296" s="171"/>
      <c r="Z296" s="171"/>
      <c r="AA296" s="171"/>
      <c r="AB296" s="171"/>
      <c r="AC296" s="171"/>
      <c r="AD296" s="171"/>
      <c r="AE296" s="171"/>
      <c r="AF296" s="171"/>
      <c r="AG296" s="171"/>
      <c r="AH296" s="171"/>
      <c r="AI296" s="62"/>
      <c r="AJ296" s="62"/>
      <c r="AK296" s="62"/>
      <c r="AL296" s="62"/>
      <c r="AM296" s="62"/>
      <c r="AN296" s="62"/>
    </row>
    <row r="297" spans="1:40" x14ac:dyDescent="0.3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171"/>
      <c r="Y297" s="171"/>
      <c r="Z297" s="171"/>
      <c r="AA297" s="171"/>
      <c r="AB297" s="171"/>
      <c r="AC297" s="171"/>
      <c r="AD297" s="171"/>
      <c r="AE297" s="171"/>
      <c r="AF297" s="171"/>
      <c r="AG297" s="171"/>
      <c r="AH297" s="171"/>
      <c r="AI297" s="62"/>
      <c r="AJ297" s="62"/>
      <c r="AK297" s="62"/>
      <c r="AL297" s="62"/>
      <c r="AM297" s="62"/>
      <c r="AN297" s="62"/>
    </row>
    <row r="298" spans="1:40" x14ac:dyDescent="0.3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171"/>
      <c r="Y298" s="171"/>
      <c r="Z298" s="171"/>
      <c r="AA298" s="171"/>
      <c r="AB298" s="171"/>
      <c r="AC298" s="171"/>
      <c r="AD298" s="171"/>
      <c r="AE298" s="171"/>
      <c r="AF298" s="171"/>
      <c r="AG298" s="171"/>
      <c r="AH298" s="171"/>
      <c r="AI298" s="62"/>
      <c r="AJ298" s="62"/>
      <c r="AK298" s="62"/>
      <c r="AL298" s="62"/>
      <c r="AM298" s="62"/>
      <c r="AN298" s="62"/>
    </row>
    <row r="299" spans="1:40" x14ac:dyDescent="0.3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171"/>
      <c r="Y299" s="171"/>
      <c r="Z299" s="171"/>
      <c r="AA299" s="171"/>
      <c r="AB299" s="171"/>
      <c r="AC299" s="171"/>
      <c r="AD299" s="171"/>
      <c r="AE299" s="171"/>
      <c r="AF299" s="171"/>
      <c r="AG299" s="171"/>
      <c r="AH299" s="171"/>
      <c r="AI299" s="62"/>
      <c r="AJ299" s="62"/>
      <c r="AK299" s="62"/>
      <c r="AL299" s="62"/>
      <c r="AM299" s="62"/>
      <c r="AN299" s="62"/>
    </row>
    <row r="300" spans="1:40" x14ac:dyDescent="0.3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171"/>
      <c r="Y300" s="171"/>
      <c r="Z300" s="171"/>
      <c r="AA300" s="171"/>
      <c r="AB300" s="171"/>
      <c r="AC300" s="171"/>
      <c r="AD300" s="171"/>
      <c r="AE300" s="171"/>
      <c r="AF300" s="171"/>
      <c r="AG300" s="171"/>
      <c r="AH300" s="171"/>
      <c r="AI300" s="62"/>
      <c r="AJ300" s="62"/>
      <c r="AK300" s="62"/>
      <c r="AL300" s="62"/>
      <c r="AM300" s="62"/>
      <c r="AN300" s="62"/>
    </row>
    <row r="301" spans="1:40" x14ac:dyDescent="0.3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171"/>
      <c r="Y301" s="171"/>
      <c r="Z301" s="171"/>
      <c r="AA301" s="171"/>
      <c r="AB301" s="171"/>
      <c r="AC301" s="171"/>
      <c r="AD301" s="171"/>
      <c r="AE301" s="171"/>
      <c r="AF301" s="171"/>
      <c r="AG301" s="171"/>
      <c r="AH301" s="171"/>
      <c r="AI301" s="62"/>
      <c r="AJ301" s="62"/>
      <c r="AK301" s="62"/>
      <c r="AL301" s="62"/>
      <c r="AM301" s="62"/>
      <c r="AN301" s="62"/>
    </row>
    <row r="302" spans="1:40" x14ac:dyDescent="0.3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171"/>
      <c r="Y302" s="171"/>
      <c r="Z302" s="171"/>
      <c r="AA302" s="171"/>
      <c r="AB302" s="171"/>
      <c r="AC302" s="171"/>
      <c r="AD302" s="171"/>
      <c r="AE302" s="171"/>
      <c r="AF302" s="171"/>
      <c r="AG302" s="171"/>
      <c r="AH302" s="171"/>
      <c r="AI302" s="62"/>
      <c r="AJ302" s="62"/>
      <c r="AK302" s="62"/>
      <c r="AL302" s="62"/>
      <c r="AM302" s="62"/>
      <c r="AN302" s="62"/>
    </row>
    <row r="303" spans="1:40" x14ac:dyDescent="0.3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171"/>
      <c r="Y303" s="171"/>
      <c r="Z303" s="171"/>
      <c r="AA303" s="171"/>
      <c r="AB303" s="171"/>
      <c r="AC303" s="171"/>
      <c r="AD303" s="171"/>
      <c r="AE303" s="171"/>
      <c r="AF303" s="171"/>
      <c r="AG303" s="171"/>
      <c r="AH303" s="171"/>
      <c r="AI303" s="62"/>
      <c r="AJ303" s="62"/>
      <c r="AK303" s="62"/>
      <c r="AL303" s="62"/>
      <c r="AM303" s="62"/>
      <c r="AN303" s="62"/>
    </row>
    <row r="304" spans="1:40" x14ac:dyDescent="0.3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171"/>
      <c r="Y304" s="171"/>
      <c r="Z304" s="171"/>
      <c r="AA304" s="171"/>
      <c r="AB304" s="171"/>
      <c r="AC304" s="171"/>
      <c r="AD304" s="171"/>
      <c r="AE304" s="171"/>
      <c r="AF304" s="171"/>
      <c r="AG304" s="171"/>
      <c r="AH304" s="171"/>
      <c r="AI304" s="62"/>
      <c r="AJ304" s="62"/>
      <c r="AK304" s="62"/>
      <c r="AL304" s="62"/>
      <c r="AM304" s="62"/>
      <c r="AN304" s="62"/>
    </row>
    <row r="305" spans="1:40" x14ac:dyDescent="0.3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171"/>
      <c r="Y305" s="171"/>
      <c r="Z305" s="171"/>
      <c r="AA305" s="171"/>
      <c r="AB305" s="171"/>
      <c r="AC305" s="171"/>
      <c r="AD305" s="171"/>
      <c r="AE305" s="171"/>
      <c r="AF305" s="171"/>
      <c r="AG305" s="171"/>
      <c r="AH305" s="171"/>
      <c r="AI305" s="62"/>
      <c r="AJ305" s="62"/>
      <c r="AK305" s="62"/>
      <c r="AL305" s="62"/>
      <c r="AM305" s="62"/>
      <c r="AN305" s="62"/>
    </row>
    <row r="306" spans="1:40" x14ac:dyDescent="0.3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171"/>
      <c r="Y306" s="171"/>
      <c r="Z306" s="171"/>
      <c r="AA306" s="171"/>
      <c r="AB306" s="171"/>
      <c r="AC306" s="171"/>
      <c r="AD306" s="171"/>
      <c r="AE306" s="171"/>
      <c r="AF306" s="171"/>
      <c r="AG306" s="171"/>
      <c r="AH306" s="171"/>
      <c r="AI306" s="62"/>
      <c r="AJ306" s="62"/>
      <c r="AK306" s="62"/>
      <c r="AL306" s="62"/>
      <c r="AM306" s="62"/>
      <c r="AN306" s="62"/>
    </row>
    <row r="307" spans="1:40" x14ac:dyDescent="0.3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171"/>
      <c r="Y307" s="171"/>
      <c r="Z307" s="171"/>
      <c r="AA307" s="171"/>
      <c r="AB307" s="171"/>
      <c r="AC307" s="171"/>
      <c r="AD307" s="171"/>
      <c r="AE307" s="171"/>
      <c r="AF307" s="171"/>
      <c r="AG307" s="171"/>
      <c r="AH307" s="171"/>
      <c r="AI307" s="62"/>
      <c r="AJ307" s="62"/>
      <c r="AK307" s="62"/>
      <c r="AL307" s="62"/>
      <c r="AM307" s="62"/>
      <c r="AN307" s="62"/>
    </row>
    <row r="308" spans="1:40" x14ac:dyDescent="0.3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171"/>
      <c r="Y308" s="171"/>
      <c r="Z308" s="171"/>
      <c r="AA308" s="171"/>
      <c r="AB308" s="171"/>
      <c r="AC308" s="171"/>
      <c r="AD308" s="171"/>
      <c r="AE308" s="171"/>
      <c r="AF308" s="171"/>
      <c r="AG308" s="171"/>
      <c r="AH308" s="171"/>
      <c r="AI308" s="62"/>
      <c r="AJ308" s="62"/>
      <c r="AK308" s="62"/>
      <c r="AL308" s="62"/>
      <c r="AM308" s="62"/>
      <c r="AN308" s="62"/>
    </row>
    <row r="309" spans="1:40" x14ac:dyDescent="0.3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171"/>
      <c r="Y309" s="171"/>
      <c r="Z309" s="171"/>
      <c r="AA309" s="171"/>
      <c r="AB309" s="171"/>
      <c r="AC309" s="171"/>
      <c r="AD309" s="171"/>
      <c r="AE309" s="171"/>
      <c r="AF309" s="171"/>
      <c r="AG309" s="171"/>
      <c r="AH309" s="171"/>
      <c r="AI309" s="62"/>
      <c r="AJ309" s="62"/>
      <c r="AK309" s="62"/>
      <c r="AL309" s="62"/>
      <c r="AM309" s="62"/>
      <c r="AN309" s="62"/>
    </row>
    <row r="310" spans="1:40" x14ac:dyDescent="0.3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171"/>
      <c r="Y310" s="171"/>
      <c r="Z310" s="171"/>
      <c r="AA310" s="171"/>
      <c r="AB310" s="171"/>
      <c r="AC310" s="171"/>
      <c r="AD310" s="171"/>
      <c r="AE310" s="171"/>
      <c r="AF310" s="171"/>
      <c r="AG310" s="171"/>
      <c r="AH310" s="171"/>
      <c r="AI310" s="62"/>
      <c r="AJ310" s="62"/>
      <c r="AK310" s="62"/>
      <c r="AL310" s="62"/>
      <c r="AM310" s="62"/>
      <c r="AN310" s="62"/>
    </row>
    <row r="311" spans="1:40" x14ac:dyDescent="0.3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171"/>
      <c r="Y311" s="171"/>
      <c r="Z311" s="171"/>
      <c r="AA311" s="171"/>
      <c r="AB311" s="171"/>
      <c r="AC311" s="171"/>
      <c r="AD311" s="171"/>
      <c r="AE311" s="171"/>
      <c r="AF311" s="171"/>
      <c r="AG311" s="171"/>
      <c r="AH311" s="171"/>
      <c r="AI311" s="62"/>
      <c r="AJ311" s="62"/>
      <c r="AK311" s="62"/>
      <c r="AL311" s="62"/>
      <c r="AM311" s="62"/>
      <c r="AN311" s="62"/>
    </row>
    <row r="312" spans="1:40" x14ac:dyDescent="0.3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171"/>
      <c r="Y312" s="171"/>
      <c r="Z312" s="171"/>
      <c r="AA312" s="171"/>
      <c r="AB312" s="171"/>
      <c r="AC312" s="171"/>
      <c r="AD312" s="171"/>
      <c r="AE312" s="171"/>
      <c r="AF312" s="171"/>
      <c r="AG312" s="171"/>
      <c r="AH312" s="171"/>
      <c r="AI312" s="62"/>
      <c r="AJ312" s="62"/>
      <c r="AK312" s="62"/>
      <c r="AL312" s="62"/>
      <c r="AM312" s="62"/>
      <c r="AN312" s="62"/>
    </row>
    <row r="313" spans="1:40" x14ac:dyDescent="0.3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171"/>
      <c r="Y313" s="171"/>
      <c r="Z313" s="171"/>
      <c r="AA313" s="171"/>
      <c r="AB313" s="171"/>
      <c r="AC313" s="171"/>
      <c r="AD313" s="171"/>
      <c r="AE313" s="171"/>
      <c r="AF313" s="171"/>
      <c r="AG313" s="171"/>
      <c r="AH313" s="171"/>
      <c r="AI313" s="62"/>
      <c r="AJ313" s="62"/>
      <c r="AK313" s="62"/>
      <c r="AL313" s="62"/>
      <c r="AM313" s="62"/>
      <c r="AN313" s="62"/>
    </row>
    <row r="314" spans="1:40" x14ac:dyDescent="0.3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171"/>
      <c r="Y314" s="171"/>
      <c r="Z314" s="171"/>
      <c r="AA314" s="171"/>
      <c r="AB314" s="171"/>
      <c r="AC314" s="171"/>
      <c r="AD314" s="171"/>
      <c r="AE314" s="171"/>
      <c r="AF314" s="171"/>
      <c r="AG314" s="171"/>
      <c r="AH314" s="171"/>
      <c r="AI314" s="62"/>
      <c r="AJ314" s="62"/>
      <c r="AK314" s="62"/>
      <c r="AL314" s="62"/>
      <c r="AM314" s="62"/>
      <c r="AN314" s="62"/>
    </row>
    <row r="315" spans="1:40" x14ac:dyDescent="0.3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171"/>
      <c r="Y315" s="171"/>
      <c r="Z315" s="171"/>
      <c r="AA315" s="171"/>
      <c r="AB315" s="171"/>
      <c r="AC315" s="171"/>
      <c r="AD315" s="171"/>
      <c r="AE315" s="171"/>
      <c r="AF315" s="171"/>
      <c r="AG315" s="171"/>
      <c r="AH315" s="171"/>
      <c r="AI315" s="62"/>
      <c r="AJ315" s="62"/>
      <c r="AK315" s="62"/>
      <c r="AL315" s="62"/>
      <c r="AM315" s="62"/>
      <c r="AN315" s="62"/>
    </row>
    <row r="316" spans="1:40" x14ac:dyDescent="0.3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171"/>
      <c r="Y316" s="171"/>
      <c r="Z316" s="171"/>
      <c r="AA316" s="171"/>
      <c r="AB316" s="171"/>
      <c r="AC316" s="171"/>
      <c r="AD316" s="171"/>
      <c r="AE316" s="171"/>
      <c r="AF316" s="171"/>
      <c r="AG316" s="171"/>
      <c r="AH316" s="171"/>
      <c r="AI316" s="62"/>
      <c r="AJ316" s="62"/>
      <c r="AK316" s="62"/>
      <c r="AL316" s="62"/>
      <c r="AM316" s="62"/>
      <c r="AN316" s="62"/>
    </row>
  </sheetData>
  <customSheetViews>
    <customSheetView guid="{121E4431-22F3-11D5-8242-00600818425F}" scale="75" showRuler="0">
      <pane xSplit="2" ySplit="7" topLeftCell="C8" activePane="bottomRight" state="frozen"/>
      <selection pane="bottomRight" activeCell="D1" sqref="D1"/>
      <rowBreaks count="4" manualBreakCount="4">
        <brk id="53" max="16383" man="1"/>
        <brk id="98" max="16383" man="1"/>
        <brk id="152" max="16383" man="1"/>
        <brk id="195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0" fitToHeight="0" orientation="landscape" horizontalDpi="300" vertic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showRuler="0">
      <pane xSplit="2" ySplit="7" topLeftCell="C8" activePane="bottomRight" state="frozen"/>
      <selection pane="bottomRight" activeCell="E21" sqref="E21"/>
      <rowBreaks count="4" manualBreakCount="4">
        <brk id="53" max="16383" man="1"/>
        <brk id="98" max="16383" man="1"/>
        <brk id="152" max="16383" man="1"/>
        <brk id="195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0" fitToHeight="0" orientation="landscape" horizontalDpi="300" vertic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showRuler="0">
      <pane xSplit="2" ySplit="7" topLeftCell="C8" activePane="bottomRight" state="frozen"/>
      <selection pane="bottomRight" activeCell="E21" sqref="E21"/>
      <rowBreaks count="4" manualBreakCount="4">
        <brk id="53" max="16383" man="1"/>
        <brk id="98" max="16383" man="1"/>
        <brk id="152" max="16383" man="1"/>
        <brk id="195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0" fitToHeight="0" orientation="landscape" horizontalDpi="300" verticalDpi="30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53" fitToHeight="0" orientation="landscape" horizontalDpi="300" verticalDpi="300" r:id="rId4"/>
  <headerFooter alignWithMargins="0">
    <oddFooter>&amp;L&amp;8&amp;F&amp;C&amp;8&amp;A
page &amp;P&amp;R&amp;8&amp;D
&amp;T</oddFooter>
  </headerFooter>
  <rowBreaks count="4" manualBreakCount="4">
    <brk id="53" max="16383" man="1"/>
    <brk id="100" max="16383" man="1"/>
    <brk id="154" max="16383" man="1"/>
    <brk id="213" max="16383" man="1"/>
  </rowBreaks>
  <colBreaks count="2" manualBreakCount="2">
    <brk id="12" max="273" man="1"/>
    <brk id="23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5"/>
  <sheetViews>
    <sheetView zoomScale="75" zoomScaleNormal="75" workbookViewId="0"/>
  </sheetViews>
  <sheetFormatPr defaultColWidth="9.1796875" defaultRowHeight="13" x14ac:dyDescent="0.3"/>
  <cols>
    <col min="1" max="1" width="10.453125" style="4" customWidth="1"/>
    <col min="2" max="2" width="31.81640625" style="4" customWidth="1"/>
    <col min="3" max="3" width="9.54296875" style="4" customWidth="1"/>
    <col min="4" max="4" width="13.54296875" style="4" bestFit="1" customWidth="1"/>
    <col min="5" max="5" width="8.54296875" style="4" bestFit="1" customWidth="1"/>
    <col min="6" max="6" width="13.54296875" style="4" bestFit="1" customWidth="1"/>
    <col min="7" max="7" width="13.453125" style="4" bestFit="1" customWidth="1"/>
    <col min="8" max="8" width="13.54296875" style="4" bestFit="1" customWidth="1"/>
    <col min="9" max="9" width="13.54296875" style="4" hidden="1" customWidth="1"/>
    <col min="10" max="10" width="14.1796875" style="4" bestFit="1" customWidth="1"/>
    <col min="11" max="11" width="12.54296875" style="4" bestFit="1" customWidth="1"/>
    <col min="12" max="12" width="13.453125" style="4" bestFit="1" customWidth="1"/>
    <col min="13" max="14" width="13.453125" style="4" customWidth="1"/>
    <col min="15" max="15" width="7.54296875" style="4" bestFit="1" customWidth="1"/>
    <col min="16" max="17" width="13.453125" style="4" customWidth="1"/>
    <col min="18" max="18" width="7.54296875" style="4" bestFit="1" customWidth="1"/>
    <col min="19" max="19" width="11.54296875" style="4" customWidth="1"/>
    <col min="20" max="20" width="11.54296875" style="4" bestFit="1" customWidth="1"/>
    <col min="21" max="16384" width="9.1796875" style="4"/>
  </cols>
  <sheetData>
    <row r="1" spans="1:3" x14ac:dyDescent="0.3">
      <c r="A1" s="47" t="str">
        <f>'1. RB-i'!A1</f>
        <v>CPS Energy</v>
      </c>
      <c r="B1" s="48"/>
      <c r="C1" s="31"/>
    </row>
    <row r="2" spans="1:3" x14ac:dyDescent="0.3">
      <c r="A2" s="44" t="s">
        <v>837</v>
      </c>
      <c r="B2" s="31"/>
      <c r="C2" s="31"/>
    </row>
    <row r="3" spans="1:3" x14ac:dyDescent="0.3">
      <c r="A3" s="44" t="s">
        <v>838</v>
      </c>
      <c r="B3" s="31"/>
      <c r="C3" s="31"/>
    </row>
    <row r="5" spans="1:3" x14ac:dyDescent="0.3">
      <c r="A5" s="4" t="s">
        <v>1343</v>
      </c>
    </row>
  </sheetData>
  <customSheetViews>
    <customSheetView guid="{121E4431-22F3-11D5-8242-00600818425F}" scale="75" hiddenColumns="1" showRuler="0">
      <pane xSplit="3" ySplit="7" topLeftCell="N8" activePane="bottomRight" state="frozen"/>
      <selection pane="bottomRight" activeCell="A184" sqref="A184"/>
      <rowBreaks count="2" manualBreakCount="2">
        <brk id="58" max="16383" man="1"/>
        <brk id="135" max="16383" man="1"/>
      </rowBreaks>
      <pageMargins left="0" right="0" top="0.5" bottom="0.4" header="0.2" footer="0.2"/>
      <printOptions horizontalCentered="1" gridLines="1"/>
      <pageSetup scale="60" pageOrder="overThenDown" orientation="landscape" useFirstPageNumber="1" horizontalDpi="300" vertic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hiddenColumns="1" showRuler="0">
      <pane xSplit="3" ySplit="7" topLeftCell="R148" activePane="bottomRight" state="frozen"/>
      <selection pane="bottomRight" activeCell="H22" sqref="H22"/>
      <rowBreaks count="2" manualBreakCount="2">
        <brk id="56" max="16383" man="1"/>
        <brk id="106" max="16383" man="1"/>
      </rowBreaks>
      <pageMargins left="0" right="0" top="0.5" bottom="0.4" header="0.2" footer="0.2"/>
      <printOptions horizontalCentered="1" gridLines="1"/>
      <pageSetup scale="60" pageOrder="overThenDown" orientation="landscape" useFirstPageNumber="1" horizontalDpi="300" vertic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hiddenColumns="1" showRuler="0">
      <pane xSplit="3" ySplit="7" topLeftCell="R148" activePane="bottomRight" state="frozen"/>
      <selection pane="bottomRight" activeCell="H22" sqref="H22"/>
      <rowBreaks count="2" manualBreakCount="2">
        <brk id="56" max="16383" man="1"/>
        <brk id="106" max="16383" man="1"/>
      </rowBreaks>
      <pageMargins left="0" right="0" top="0.5" bottom="0.4" header="0.2" footer="0.2"/>
      <printOptions horizontalCentered="1" gridLines="1"/>
      <pageSetup scale="60" pageOrder="overThenDown" orientation="landscape" useFirstPageNumber="1" horizontalDpi="300" verticalDpi="30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gridLines="1"/>
  <pageMargins left="0" right="0" top="0.5" bottom="0.4" header="0.2" footer="0.2"/>
  <pageSetup scale="60" pageOrder="overThenDown" orientation="landscape" useFirstPageNumber="1" horizontalDpi="300" verticalDpi="300" r:id="rId4"/>
  <headerFooter alignWithMargins="0">
    <oddFooter>&amp;L&amp;8&amp;F&amp;C&amp;8&amp;A
page &amp;P&amp;R&amp;8&amp;D
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5"/>
  <sheetViews>
    <sheetView zoomScale="75" zoomScaleNormal="75" workbookViewId="0">
      <selection activeCell="B39" sqref="B39"/>
    </sheetView>
  </sheetViews>
  <sheetFormatPr defaultColWidth="8.81640625" defaultRowHeight="13" x14ac:dyDescent="0.3"/>
  <cols>
    <col min="1" max="1" width="9.453125" style="4" customWidth="1"/>
    <col min="2" max="2" width="34.453125" style="4" customWidth="1"/>
    <col min="3" max="3" width="10.54296875" style="4" customWidth="1"/>
    <col min="4" max="8" width="14" style="4" customWidth="1"/>
    <col min="9" max="9" width="13.1796875" style="4" customWidth="1"/>
    <col min="10" max="10" width="14.54296875" style="4" customWidth="1"/>
    <col min="11" max="11" width="11.453125" style="4" customWidth="1"/>
    <col min="12" max="13" width="11.453125" style="4" bestFit="1" customWidth="1"/>
    <col min="14" max="14" width="12.1796875" style="4" bestFit="1" customWidth="1"/>
    <col min="15" max="16" width="11.453125" style="4" bestFit="1" customWidth="1"/>
    <col min="17" max="17" width="12.1796875" style="4" bestFit="1" customWidth="1"/>
    <col min="18" max="18" width="11.453125" style="4" bestFit="1" customWidth="1"/>
    <col min="19" max="19" width="10.453125" style="4" bestFit="1" customWidth="1"/>
    <col min="20" max="21" width="10.453125" style="4" customWidth="1"/>
    <col min="22" max="22" width="11.54296875" style="4" bestFit="1" customWidth="1"/>
    <col min="23" max="24" width="11.54296875" style="4" customWidth="1"/>
    <col min="25" max="27" width="11.54296875" style="4" bestFit="1" customWidth="1"/>
    <col min="28" max="33" width="11.54296875" style="4" customWidth="1"/>
    <col min="34" max="34" width="12" style="4" bestFit="1" customWidth="1"/>
    <col min="35" max="38" width="12" style="4" customWidth="1"/>
    <col min="39" max="39" width="11.54296875" style="4" bestFit="1" customWidth="1"/>
    <col min="40" max="40" width="11.54296875" style="4" customWidth="1"/>
    <col min="41" max="41" width="12.453125" style="4" bestFit="1" customWidth="1"/>
    <col min="42" max="42" width="13.453125" style="4" customWidth="1"/>
    <col min="43" max="43" width="13.453125" style="4" bestFit="1" customWidth="1"/>
    <col min="44" max="16384" width="8.81640625" style="4"/>
  </cols>
  <sheetData>
    <row r="1" spans="1:1" x14ac:dyDescent="0.3">
      <c r="A1" s="4" t="str">
        <f>'1. RB-i'!A1</f>
        <v>CPS Energy</v>
      </c>
    </row>
    <row r="2" spans="1:1" x14ac:dyDescent="0.3">
      <c r="A2" s="44" t="str">
        <f>'5a. DE-i'!A2</f>
        <v>Depreciation Expenses</v>
      </c>
    </row>
    <row r="3" spans="1:1" x14ac:dyDescent="0.3">
      <c r="A3" s="4" t="s">
        <v>921</v>
      </c>
    </row>
    <row r="5" spans="1:1" x14ac:dyDescent="0.3">
      <c r="A5" s="4" t="s">
        <v>1343</v>
      </c>
    </row>
  </sheetData>
  <customSheetViews>
    <customSheetView guid="{121E4431-22F3-11D5-8242-00600818425F}" scale="75" showRuler="0">
      <pane xSplit="2" ySplit="7" topLeftCell="C170" activePane="bottomRight" state="frozen"/>
      <selection pane="bottomRight" activeCell="W197" sqref="W197"/>
      <rowBreaks count="2" manualBreakCount="2">
        <brk id="58" max="16383" man="1"/>
        <brk id="133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180" verticalDpi="18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showRuler="0">
      <pane xSplit="2" ySplit="7" topLeftCell="C8" activePane="bottomRight" state="frozen"/>
      <selection pane="bottomRight" activeCell="I1" sqref="I1:I65536"/>
      <rowBreaks count="2" manualBreakCount="2">
        <brk id="56" max="16383" man="1"/>
        <brk id="104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180" verticalDpi="18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showRuler="0">
      <pane xSplit="2" ySplit="7" topLeftCell="C8" activePane="bottomRight" state="frozen"/>
      <selection pane="bottomRight" activeCell="I1" sqref="I1:I65536"/>
      <rowBreaks count="2" manualBreakCount="2">
        <brk id="56" max="16383" man="1"/>
        <brk id="104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180" verticalDpi="18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65" fitToHeight="0" orientation="landscape" horizontalDpi="180" verticalDpi="180" r:id="rId4"/>
  <headerFooter alignWithMargins="0">
    <oddFooter>&amp;L&amp;8&amp;F&amp;C&amp;8&amp;A
page &amp;P&amp;R&amp;8&amp;D
&amp;T</oddFooter>
  </headerFooter>
  <colBreaks count="3" manualBreakCount="3">
    <brk id="8" max="1048575" man="1"/>
    <brk id="21" max="1048575" man="1"/>
    <brk id="33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G224"/>
  <sheetViews>
    <sheetView zoomScale="75" zoomScaleNormal="75" workbookViewId="0">
      <pane xSplit="2" ySplit="7" topLeftCell="C8" activePane="bottomRight" state="frozen"/>
      <selection activeCell="C368" sqref="C368"/>
      <selection pane="topRight" activeCell="C368" sqref="C368"/>
      <selection pane="bottomLeft" activeCell="C368" sqref="C368"/>
      <selection pane="bottomRight" activeCell="C8" sqref="C8"/>
    </sheetView>
  </sheetViews>
  <sheetFormatPr defaultColWidth="9.1796875" defaultRowHeight="13" x14ac:dyDescent="0.3"/>
  <cols>
    <col min="1" max="1" width="8.81640625" style="4" customWidth="1"/>
    <col min="2" max="2" width="28.453125" style="4" customWidth="1"/>
    <col min="3" max="4" width="20.1796875" style="4" customWidth="1"/>
    <col min="5" max="5" width="12.1796875" style="4" bestFit="1" customWidth="1"/>
    <col min="6" max="7" width="13.453125" style="4" bestFit="1" customWidth="1"/>
    <col min="8" max="8" width="13.54296875" style="4" bestFit="1" customWidth="1"/>
    <col min="9" max="9" width="11.54296875" style="4" hidden="1" customWidth="1"/>
    <col min="10" max="10" width="12.54296875" style="4" bestFit="1" customWidth="1"/>
    <col min="11" max="11" width="12.453125" style="4" bestFit="1" customWidth="1"/>
    <col min="12" max="12" width="12" style="4" bestFit="1" customWidth="1"/>
    <col min="13" max="18" width="11.54296875" style="4" customWidth="1"/>
    <col min="19" max="19" width="13" style="4" bestFit="1" customWidth="1"/>
    <col min="20" max="20" width="10.453125" style="4" bestFit="1" customWidth="1"/>
    <col min="21" max="16384" width="9.1796875" style="4"/>
  </cols>
  <sheetData>
    <row r="1" spans="1:21" x14ac:dyDescent="0.3">
      <c r="A1" s="343" t="str">
        <f>'1. RB-i'!A1</f>
        <v>CPS Energy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345"/>
    </row>
    <row r="2" spans="1:21" x14ac:dyDescent="0.3">
      <c r="A2" s="346" t="s">
        <v>1298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347"/>
    </row>
    <row r="3" spans="1:21" x14ac:dyDescent="0.3">
      <c r="A3" s="346" t="str">
        <f>'1. RB-i'!A3</f>
        <v>FYE 2017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347"/>
    </row>
    <row r="4" spans="1:21" x14ac:dyDescent="0.3">
      <c r="A4" s="268"/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347"/>
    </row>
    <row r="5" spans="1:21" x14ac:dyDescent="0.3">
      <c r="A5" s="450" t="s">
        <v>539</v>
      </c>
      <c r="B5" s="446" t="s">
        <v>359</v>
      </c>
      <c r="C5" s="216" t="s">
        <v>352</v>
      </c>
      <c r="D5" s="269" t="s">
        <v>353</v>
      </c>
      <c r="E5" s="215" t="s">
        <v>354</v>
      </c>
      <c r="F5" s="215" t="s">
        <v>355</v>
      </c>
      <c r="G5" s="215" t="s">
        <v>356</v>
      </c>
      <c r="H5" s="215" t="s">
        <v>355</v>
      </c>
      <c r="I5" s="215" t="s">
        <v>357</v>
      </c>
      <c r="J5" s="419" t="s">
        <v>10</v>
      </c>
      <c r="K5" s="419" t="s">
        <v>10</v>
      </c>
      <c r="L5" s="419" t="s">
        <v>10</v>
      </c>
      <c r="M5" s="419" t="s">
        <v>10</v>
      </c>
      <c r="N5" s="419" t="s">
        <v>10</v>
      </c>
      <c r="O5" s="419" t="s">
        <v>10</v>
      </c>
      <c r="P5" s="419" t="s">
        <v>10</v>
      </c>
      <c r="Q5" s="420" t="s">
        <v>10</v>
      </c>
      <c r="R5" s="45"/>
      <c r="S5" s="6" t="s">
        <v>832</v>
      </c>
    </row>
    <row r="6" spans="1:21" x14ac:dyDescent="0.3">
      <c r="A6" s="451" t="s">
        <v>545</v>
      </c>
      <c r="B6" s="447"/>
      <c r="C6" s="187" t="s">
        <v>360</v>
      </c>
      <c r="D6" s="199" t="s">
        <v>361</v>
      </c>
      <c r="E6" s="186" t="s">
        <v>362</v>
      </c>
      <c r="F6" s="186"/>
      <c r="G6" s="186" t="s">
        <v>363</v>
      </c>
      <c r="H6" s="186" t="s">
        <v>364</v>
      </c>
      <c r="I6" s="186" t="s">
        <v>365</v>
      </c>
      <c r="J6" s="186" t="s">
        <v>544</v>
      </c>
      <c r="K6" s="198" t="s">
        <v>366</v>
      </c>
      <c r="L6" s="198" t="s">
        <v>367</v>
      </c>
      <c r="M6" s="198" t="s">
        <v>907</v>
      </c>
      <c r="N6" s="198" t="s">
        <v>909</v>
      </c>
      <c r="O6" s="198" t="s">
        <v>910</v>
      </c>
      <c r="P6" s="198" t="s">
        <v>912</v>
      </c>
      <c r="Q6" s="421" t="s">
        <v>913</v>
      </c>
      <c r="R6" s="45"/>
      <c r="S6" s="6" t="s">
        <v>833</v>
      </c>
      <c r="T6" s="4" t="s">
        <v>824</v>
      </c>
    </row>
    <row r="7" spans="1:21" ht="13.5" thickBot="1" x14ac:dyDescent="0.35">
      <c r="A7" s="452" t="s">
        <v>546</v>
      </c>
      <c r="B7" s="448"/>
      <c r="C7" s="448"/>
      <c r="D7" s="453" t="s">
        <v>815</v>
      </c>
      <c r="E7" s="234" t="s">
        <v>816</v>
      </c>
      <c r="F7" s="234" t="s">
        <v>817</v>
      </c>
      <c r="G7" s="234" t="s">
        <v>818</v>
      </c>
      <c r="H7" s="234" t="s">
        <v>819</v>
      </c>
      <c r="I7" s="234" t="s">
        <v>820</v>
      </c>
      <c r="J7" s="234" t="s">
        <v>821</v>
      </c>
      <c r="K7" s="234" t="s">
        <v>822</v>
      </c>
      <c r="L7" s="234" t="s">
        <v>823</v>
      </c>
      <c r="M7" s="234" t="s">
        <v>908</v>
      </c>
      <c r="N7" s="234" t="s">
        <v>914</v>
      </c>
      <c r="O7" s="234" t="s">
        <v>915</v>
      </c>
      <c r="P7" s="234" t="s">
        <v>916</v>
      </c>
      <c r="Q7" s="235" t="s">
        <v>917</v>
      </c>
      <c r="R7" s="5"/>
    </row>
    <row r="8" spans="1:21" x14ac:dyDescent="0.3">
      <c r="A8" s="55" t="s">
        <v>546</v>
      </c>
      <c r="B8" s="31"/>
      <c r="C8" s="31"/>
    </row>
    <row r="9" spans="1:21" x14ac:dyDescent="0.3">
      <c r="A9" s="544" t="s">
        <v>757</v>
      </c>
      <c r="B9" s="464"/>
      <c r="C9" s="464"/>
      <c r="D9" s="62"/>
      <c r="E9" s="62"/>
      <c r="F9" s="62"/>
      <c r="G9" s="461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</row>
    <row r="10" spans="1:21" x14ac:dyDescent="0.3">
      <c r="A10" s="462"/>
      <c r="B10" s="461"/>
      <c r="C10" s="461"/>
      <c r="D10" s="62"/>
      <c r="E10" s="62"/>
      <c r="F10" s="62"/>
      <c r="G10" s="461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</row>
    <row r="11" spans="1:21" x14ac:dyDescent="0.3">
      <c r="A11" s="460" t="s">
        <v>758</v>
      </c>
      <c r="B11" s="461"/>
      <c r="C11" s="461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</row>
    <row r="12" spans="1:21" x14ac:dyDescent="0.3">
      <c r="A12" s="462"/>
      <c r="B12" s="461"/>
      <c r="C12" s="461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468"/>
      <c r="U12" s="62"/>
    </row>
    <row r="13" spans="1:21" x14ac:dyDescent="0.3">
      <c r="A13" s="462"/>
      <c r="B13" s="461" t="s">
        <v>759</v>
      </c>
      <c r="C13" s="461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468"/>
      <c r="U13" s="62"/>
    </row>
    <row r="14" spans="1:21" x14ac:dyDescent="0.3">
      <c r="A14" s="462"/>
      <c r="B14" s="461" t="s">
        <v>760</v>
      </c>
      <c r="C14" s="461"/>
      <c r="D14" s="171"/>
      <c r="E14" s="62"/>
      <c r="F14" s="468"/>
      <c r="G14" s="171"/>
      <c r="H14" s="171"/>
      <c r="I14" s="468"/>
      <c r="J14" s="171"/>
      <c r="K14" s="171"/>
      <c r="L14" s="171"/>
      <c r="M14" s="171"/>
      <c r="N14" s="171"/>
      <c r="O14" s="171"/>
      <c r="P14" s="171"/>
      <c r="Q14" s="171"/>
      <c r="R14" s="171"/>
      <c r="S14" s="62"/>
      <c r="T14" s="62"/>
      <c r="U14" s="62"/>
    </row>
    <row r="15" spans="1:21" x14ac:dyDescent="0.3">
      <c r="A15" s="462"/>
      <c r="B15" s="461"/>
      <c r="C15" s="461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</row>
    <row r="16" spans="1:21" x14ac:dyDescent="0.3">
      <c r="A16" s="462"/>
      <c r="B16" s="479" t="s">
        <v>761</v>
      </c>
      <c r="C16" s="479"/>
      <c r="D16" s="468">
        <f>SUM(D14:D15)</f>
        <v>0</v>
      </c>
      <c r="E16" s="62"/>
      <c r="F16" s="468">
        <f t="shared" ref="F16:L16" si="0">SUM(F14:F15)</f>
        <v>0</v>
      </c>
      <c r="G16" s="468">
        <f t="shared" si="0"/>
        <v>0</v>
      </c>
      <c r="H16" s="468">
        <f t="shared" si="0"/>
        <v>0</v>
      </c>
      <c r="I16" s="468">
        <f t="shared" si="0"/>
        <v>0</v>
      </c>
      <c r="J16" s="468">
        <f t="shared" si="0"/>
        <v>0</v>
      </c>
      <c r="K16" s="468">
        <f t="shared" si="0"/>
        <v>0</v>
      </c>
      <c r="L16" s="468">
        <f t="shared" si="0"/>
        <v>0</v>
      </c>
      <c r="M16" s="468">
        <f>SUM(M14:M15)</f>
        <v>0</v>
      </c>
      <c r="N16" s="468">
        <f>SUM(N14:N15)</f>
        <v>0</v>
      </c>
      <c r="O16" s="468">
        <f>SUM(O14:O15)</f>
        <v>0</v>
      </c>
      <c r="P16" s="468">
        <f>SUM(P14:P15)</f>
        <v>0</v>
      </c>
      <c r="Q16" s="468">
        <f>SUM(Q14:Q15)</f>
        <v>0</v>
      </c>
      <c r="R16" s="468"/>
      <c r="S16" s="62">
        <f>SUM(J16:Q16)</f>
        <v>0</v>
      </c>
      <c r="T16" s="468">
        <f>I16-S16</f>
        <v>0</v>
      </c>
      <c r="U16" s="62"/>
    </row>
    <row r="17" spans="1:33" x14ac:dyDescent="0.3">
      <c r="A17" s="462"/>
      <c r="B17" s="461"/>
      <c r="C17" s="461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</row>
    <row r="18" spans="1:33" x14ac:dyDescent="0.3">
      <c r="A18" s="462"/>
      <c r="B18" s="479" t="s">
        <v>762</v>
      </c>
      <c r="C18" s="479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</row>
    <row r="19" spans="1:33" x14ac:dyDescent="0.3">
      <c r="A19" s="462"/>
      <c r="B19" s="461" t="s">
        <v>544</v>
      </c>
      <c r="C19" s="461"/>
      <c r="D19" s="171">
        <v>0</v>
      </c>
      <c r="E19" s="62"/>
      <c r="F19" s="468">
        <f>D19+E19</f>
        <v>0</v>
      </c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</row>
    <row r="20" spans="1:33" x14ac:dyDescent="0.3">
      <c r="A20" s="462"/>
      <c r="B20" s="466" t="s">
        <v>366</v>
      </c>
      <c r="C20" s="466"/>
      <c r="D20" s="171">
        <v>0</v>
      </c>
      <c r="E20" s="62"/>
      <c r="F20" s="468">
        <f>D20+E20</f>
        <v>0</v>
      </c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</row>
    <row r="21" spans="1:33" x14ac:dyDescent="0.3">
      <c r="A21" s="462"/>
      <c r="B21" s="461" t="s">
        <v>367</v>
      </c>
      <c r="C21" s="461"/>
      <c r="D21" s="171">
        <v>0</v>
      </c>
      <c r="E21" s="62"/>
      <c r="F21" s="468">
        <f>D21+E21</f>
        <v>0</v>
      </c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</row>
    <row r="22" spans="1:33" x14ac:dyDescent="0.3">
      <c r="A22" s="462"/>
      <c r="B22" s="466" t="s">
        <v>540</v>
      </c>
      <c r="C22" s="466"/>
      <c r="D22" s="171">
        <v>0</v>
      </c>
      <c r="E22" s="62"/>
      <c r="F22" s="468">
        <f>D22+E22</f>
        <v>0</v>
      </c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</row>
    <row r="23" spans="1:33" x14ac:dyDescent="0.3">
      <c r="A23" s="462"/>
      <c r="B23" s="461"/>
      <c r="C23" s="461"/>
      <c r="D23" s="171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</row>
    <row r="24" spans="1:33" x14ac:dyDescent="0.3">
      <c r="A24" s="462"/>
      <c r="B24" s="479" t="s">
        <v>763</v>
      </c>
      <c r="C24" s="479"/>
      <c r="D24" s="171">
        <f>SUM(D19:D23)</f>
        <v>0</v>
      </c>
      <c r="E24" s="62"/>
      <c r="F24" s="171">
        <f t="shared" ref="F24:L24" si="1">SUM(F19:F23)</f>
        <v>0</v>
      </c>
      <c r="G24" s="171">
        <f t="shared" si="1"/>
        <v>0</v>
      </c>
      <c r="H24" s="171">
        <f t="shared" si="1"/>
        <v>0</v>
      </c>
      <c r="I24" s="171">
        <f t="shared" si="1"/>
        <v>0</v>
      </c>
      <c r="J24" s="171">
        <f t="shared" si="1"/>
        <v>0</v>
      </c>
      <c r="K24" s="171">
        <f t="shared" si="1"/>
        <v>0</v>
      </c>
      <c r="L24" s="171">
        <f t="shared" si="1"/>
        <v>0</v>
      </c>
      <c r="M24" s="171">
        <f>SUM(M19:M23)</f>
        <v>0</v>
      </c>
      <c r="N24" s="171">
        <f>SUM(N19:N23)</f>
        <v>0</v>
      </c>
      <c r="O24" s="171">
        <f>SUM(O19:O23)</f>
        <v>0</v>
      </c>
      <c r="P24" s="171">
        <f>SUM(P19:P23)</f>
        <v>0</v>
      </c>
      <c r="Q24" s="171">
        <f>SUM(Q19:Q23)</f>
        <v>0</v>
      </c>
      <c r="R24" s="171"/>
      <c r="S24" s="62">
        <f>SUM(J24:Q24)</f>
        <v>0</v>
      </c>
      <c r="T24" s="468">
        <f>I24-S24</f>
        <v>0</v>
      </c>
      <c r="U24" s="62"/>
    </row>
    <row r="25" spans="1:33" x14ac:dyDescent="0.3">
      <c r="A25" s="462"/>
      <c r="B25" s="461"/>
      <c r="C25" s="461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</row>
    <row r="26" spans="1:33" x14ac:dyDescent="0.3">
      <c r="A26" s="462"/>
      <c r="B26" s="461" t="s">
        <v>764</v>
      </c>
      <c r="C26" s="461"/>
      <c r="D26" s="171">
        <v>0</v>
      </c>
      <c r="E26" s="62"/>
      <c r="F26" s="468">
        <f>D26+E26</f>
        <v>0</v>
      </c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</row>
    <row r="27" spans="1:33" x14ac:dyDescent="0.3">
      <c r="A27" s="462"/>
      <c r="B27" s="461" t="s">
        <v>765</v>
      </c>
      <c r="C27" s="461"/>
      <c r="D27" s="171">
        <v>0</v>
      </c>
      <c r="E27" s="62"/>
      <c r="F27" s="468">
        <f>D27+E27</f>
        <v>0</v>
      </c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</row>
    <row r="28" spans="1:33" x14ac:dyDescent="0.3">
      <c r="A28" s="462"/>
      <c r="B28" s="461" t="s">
        <v>766</v>
      </c>
      <c r="C28" s="461"/>
      <c r="D28" s="171">
        <v>0</v>
      </c>
      <c r="E28" s="62"/>
      <c r="F28" s="468">
        <f>D28+E28</f>
        <v>0</v>
      </c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</row>
    <row r="29" spans="1:33" x14ac:dyDescent="0.3">
      <c r="A29" s="462"/>
      <c r="B29" s="461"/>
      <c r="C29" s="461"/>
      <c r="D29" s="171"/>
      <c r="E29" s="62"/>
      <c r="F29" s="468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</row>
    <row r="30" spans="1:33" x14ac:dyDescent="0.3">
      <c r="A30" s="462"/>
      <c r="B30" s="479" t="s">
        <v>767</v>
      </c>
      <c r="C30" s="479"/>
      <c r="D30" s="171"/>
      <c r="E30" s="62"/>
      <c r="F30" s="468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</row>
    <row r="31" spans="1:33" x14ac:dyDescent="0.3">
      <c r="A31" s="462"/>
      <c r="B31" s="461"/>
      <c r="C31" s="461"/>
      <c r="D31" s="171"/>
      <c r="E31" s="62"/>
      <c r="F31" s="468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2"/>
      <c r="R31" s="62"/>
      <c r="S31" s="62"/>
      <c r="T31" s="62"/>
      <c r="U31" s="62"/>
    </row>
    <row r="32" spans="1:33" x14ac:dyDescent="0.3">
      <c r="A32" s="462"/>
      <c r="B32" s="461" t="s">
        <v>768</v>
      </c>
      <c r="C32" s="461" t="s">
        <v>546</v>
      </c>
      <c r="D32" s="171">
        <v>6843089.2800000012</v>
      </c>
      <c r="E32" s="62"/>
      <c r="F32" s="468">
        <f>D32+E32</f>
        <v>6843089.2800000012</v>
      </c>
      <c r="G32" s="171">
        <v>0</v>
      </c>
      <c r="H32" s="171">
        <f>D32</f>
        <v>6843089.2800000012</v>
      </c>
      <c r="I32" s="468">
        <f>H32</f>
        <v>6843089.2800000012</v>
      </c>
      <c r="J32" s="481">
        <f>H32</f>
        <v>6843089.2800000012</v>
      </c>
      <c r="K32" s="62"/>
      <c r="L32" s="62"/>
      <c r="M32" s="62"/>
      <c r="N32" s="62"/>
      <c r="O32" s="62"/>
      <c r="P32" s="62"/>
      <c r="Q32" s="62"/>
      <c r="R32" s="481"/>
      <c r="S32" s="62">
        <f>SUM(J32:Q32)</f>
        <v>6843089.2800000012</v>
      </c>
      <c r="T32" s="468">
        <f>I32-S32</f>
        <v>0</v>
      </c>
      <c r="U32" s="62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21" x14ac:dyDescent="0.3">
      <c r="A33" s="462"/>
      <c r="B33" s="461"/>
      <c r="C33" s="461"/>
      <c r="D33" s="171"/>
      <c r="E33" s="62"/>
      <c r="F33" s="468"/>
      <c r="G33" s="62"/>
      <c r="H33" s="62"/>
      <c r="I33" s="62"/>
      <c r="J33" s="468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</row>
    <row r="34" spans="1:21" x14ac:dyDescent="0.3">
      <c r="A34" s="462"/>
      <c r="B34" s="479" t="s">
        <v>769</v>
      </c>
      <c r="C34" s="479"/>
      <c r="D34" s="468">
        <f>SUM(D32:D33)</f>
        <v>6843089.2800000012</v>
      </c>
      <c r="E34" s="62"/>
      <c r="F34" s="468">
        <f t="shared" ref="F34:L34" si="2">SUM(F32:F33)</f>
        <v>6843089.2800000012</v>
      </c>
      <c r="G34" s="468">
        <f t="shared" si="2"/>
        <v>0</v>
      </c>
      <c r="H34" s="468">
        <f t="shared" si="2"/>
        <v>6843089.2800000012</v>
      </c>
      <c r="I34" s="468">
        <f t="shared" si="2"/>
        <v>6843089.2800000012</v>
      </c>
      <c r="J34" s="468">
        <f t="shared" si="2"/>
        <v>6843089.2800000012</v>
      </c>
      <c r="K34" s="468">
        <f t="shared" si="2"/>
        <v>0</v>
      </c>
      <c r="L34" s="468">
        <f t="shared" si="2"/>
        <v>0</v>
      </c>
      <c r="M34" s="468">
        <f>SUM(M32:M33)</f>
        <v>0</v>
      </c>
      <c r="N34" s="468">
        <f>SUM(N32:N33)</f>
        <v>0</v>
      </c>
      <c r="O34" s="468">
        <f>SUM(O32:O33)</f>
        <v>0</v>
      </c>
      <c r="P34" s="468">
        <f>SUM(P32:P33)</f>
        <v>0</v>
      </c>
      <c r="Q34" s="468">
        <f>SUM(Q32:Q33)</f>
        <v>0</v>
      </c>
      <c r="R34" s="468"/>
      <c r="S34" s="62">
        <f>SUM(J34:Q34)</f>
        <v>6843089.2800000012</v>
      </c>
      <c r="T34" s="468">
        <f>I34-S34</f>
        <v>0</v>
      </c>
      <c r="U34" s="62"/>
    </row>
    <row r="35" spans="1:21" x14ac:dyDescent="0.3">
      <c r="A35" s="462"/>
      <c r="B35" s="461"/>
      <c r="C35" s="461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</row>
    <row r="36" spans="1:21" x14ac:dyDescent="0.3">
      <c r="A36" s="460" t="s">
        <v>770</v>
      </c>
      <c r="B36" s="461"/>
      <c r="C36" s="461"/>
      <c r="D36" s="468">
        <f>D28+D27+D26+D24+D16+D34</f>
        <v>6843089.2800000012</v>
      </c>
      <c r="E36" s="62"/>
      <c r="F36" s="468">
        <f t="shared" ref="F36:L36" si="3">F28+F27+F26+F24+F16+F34</f>
        <v>6843089.2800000012</v>
      </c>
      <c r="G36" s="468">
        <f t="shared" si="3"/>
        <v>0</v>
      </c>
      <c r="H36" s="468">
        <f t="shared" si="3"/>
        <v>6843089.2800000012</v>
      </c>
      <c r="I36" s="468">
        <f t="shared" si="3"/>
        <v>6843089.2800000012</v>
      </c>
      <c r="J36" s="468">
        <f t="shared" si="3"/>
        <v>6843089.2800000012</v>
      </c>
      <c r="K36" s="468">
        <f t="shared" si="3"/>
        <v>0</v>
      </c>
      <c r="L36" s="468">
        <f t="shared" si="3"/>
        <v>0</v>
      </c>
      <c r="M36" s="468">
        <f>M28+M27+M26+M24+M16+M34</f>
        <v>0</v>
      </c>
      <c r="N36" s="468">
        <f>N28+N27+N26+N24+N16+N34</f>
        <v>0</v>
      </c>
      <c r="O36" s="468">
        <f>O28+O27+O26+O24+O16+O34</f>
        <v>0</v>
      </c>
      <c r="P36" s="468">
        <f>P28+P27+P26+P24+P16+P34</f>
        <v>0</v>
      </c>
      <c r="Q36" s="468">
        <f>Q28+Q27+Q26+Q24+Q16+Q34</f>
        <v>0</v>
      </c>
      <c r="R36" s="468"/>
      <c r="S36" s="62">
        <f>SUM(J36:Q36)</f>
        <v>6843089.2800000012</v>
      </c>
      <c r="T36" s="468">
        <f>I36-S36</f>
        <v>0</v>
      </c>
      <c r="U36" s="62"/>
    </row>
    <row r="37" spans="1:21" x14ac:dyDescent="0.3">
      <c r="A37" s="462"/>
      <c r="B37" s="461"/>
      <c r="C37" s="461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</row>
    <row r="38" spans="1:21" x14ac:dyDescent="0.3">
      <c r="A38" s="460" t="s">
        <v>771</v>
      </c>
      <c r="B38" s="461"/>
      <c r="C38" s="461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</row>
    <row r="39" spans="1:21" x14ac:dyDescent="0.3">
      <c r="A39" s="462"/>
      <c r="B39" s="461"/>
      <c r="C39" s="461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</row>
    <row r="40" spans="1:21" x14ac:dyDescent="0.3">
      <c r="A40" s="464" t="s">
        <v>772</v>
      </c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</row>
    <row r="41" spans="1:21" x14ac:dyDescent="0.3">
      <c r="A41" s="462"/>
      <c r="B41" s="461" t="s">
        <v>773</v>
      </c>
      <c r="C41" s="461"/>
      <c r="D41" s="171">
        <v>0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</row>
    <row r="42" spans="1:21" x14ac:dyDescent="0.3">
      <c r="A42" s="462"/>
      <c r="B42" s="461" t="s">
        <v>774</v>
      </c>
      <c r="C42" s="461"/>
      <c r="D42" s="171">
        <v>0</v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</row>
    <row r="43" spans="1:21" x14ac:dyDescent="0.3">
      <c r="A43" s="462"/>
      <c r="B43" s="461" t="s">
        <v>775</v>
      </c>
      <c r="C43" s="461"/>
      <c r="D43" s="171">
        <v>0</v>
      </c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</row>
    <row r="44" spans="1:21" x14ac:dyDescent="0.3">
      <c r="A44" s="462"/>
      <c r="B44" s="461"/>
      <c r="C44" s="461"/>
      <c r="D44" s="171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</row>
    <row r="45" spans="1:21" x14ac:dyDescent="0.3">
      <c r="A45" s="460" t="s">
        <v>776</v>
      </c>
      <c r="B45" s="461"/>
      <c r="C45" s="461"/>
      <c r="D45" s="468">
        <f>SUM(D41:D44)</f>
        <v>0</v>
      </c>
      <c r="E45" s="62"/>
      <c r="F45" s="468">
        <f t="shared" ref="F45:L45" si="4">SUM(F41:F44)</f>
        <v>0</v>
      </c>
      <c r="G45" s="468">
        <f t="shared" si="4"/>
        <v>0</v>
      </c>
      <c r="H45" s="468">
        <f t="shared" si="4"/>
        <v>0</v>
      </c>
      <c r="I45" s="468">
        <f t="shared" si="4"/>
        <v>0</v>
      </c>
      <c r="J45" s="468">
        <f t="shared" si="4"/>
        <v>0</v>
      </c>
      <c r="K45" s="468">
        <f t="shared" si="4"/>
        <v>0</v>
      </c>
      <c r="L45" s="468">
        <f t="shared" si="4"/>
        <v>0</v>
      </c>
      <c r="M45" s="468">
        <f>SUM(M41:M44)</f>
        <v>0</v>
      </c>
      <c r="N45" s="468">
        <f>SUM(N41:N44)</f>
        <v>0</v>
      </c>
      <c r="O45" s="468">
        <f>SUM(O41:O44)</f>
        <v>0</v>
      </c>
      <c r="P45" s="468">
        <f>SUM(P41:P44)</f>
        <v>0</v>
      </c>
      <c r="Q45" s="468">
        <f>SUM(Q41:Q44)</f>
        <v>0</v>
      </c>
      <c r="R45" s="468"/>
      <c r="S45" s="62">
        <f>SUM(J45:Q45)</f>
        <v>0</v>
      </c>
      <c r="T45" s="468">
        <f>I45-S45</f>
        <v>0</v>
      </c>
      <c r="U45" s="62"/>
    </row>
    <row r="46" spans="1:21" x14ac:dyDescent="0.3">
      <c r="A46" s="462"/>
      <c r="B46" s="461"/>
      <c r="C46" s="461"/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</row>
    <row r="47" spans="1:21" x14ac:dyDescent="0.3">
      <c r="A47" s="544" t="s">
        <v>777</v>
      </c>
      <c r="B47" s="464"/>
      <c r="C47" s="464"/>
      <c r="D47" s="468">
        <f>D45+D36</f>
        <v>6843089.2800000012</v>
      </c>
      <c r="E47" s="62"/>
      <c r="F47" s="468">
        <f t="shared" ref="F47:Q47" si="5">F45+F36</f>
        <v>6843089.2800000012</v>
      </c>
      <c r="G47" s="468">
        <f t="shared" si="5"/>
        <v>0</v>
      </c>
      <c r="H47" s="468">
        <f t="shared" si="5"/>
        <v>6843089.2800000012</v>
      </c>
      <c r="I47" s="468">
        <f t="shared" si="5"/>
        <v>6843089.2800000012</v>
      </c>
      <c r="J47" s="468">
        <f t="shared" si="5"/>
        <v>6843089.2800000012</v>
      </c>
      <c r="K47" s="468">
        <f t="shared" si="5"/>
        <v>0</v>
      </c>
      <c r="L47" s="468">
        <f t="shared" si="5"/>
        <v>0</v>
      </c>
      <c r="M47" s="468">
        <f t="shared" si="5"/>
        <v>0</v>
      </c>
      <c r="N47" s="468">
        <f t="shared" si="5"/>
        <v>0</v>
      </c>
      <c r="O47" s="468">
        <f t="shared" si="5"/>
        <v>0</v>
      </c>
      <c r="P47" s="468">
        <f t="shared" si="5"/>
        <v>0</v>
      </c>
      <c r="Q47" s="468">
        <f t="shared" si="5"/>
        <v>0</v>
      </c>
      <c r="R47" s="468"/>
      <c r="S47" s="62">
        <f>SUM(J47:Q47)</f>
        <v>6843089.2800000012</v>
      </c>
      <c r="T47" s="468">
        <f>I47-S47</f>
        <v>0</v>
      </c>
      <c r="U47" s="62"/>
    </row>
    <row r="48" spans="1:21" x14ac:dyDescent="0.3">
      <c r="A48" s="460"/>
      <c r="B48" s="461"/>
      <c r="C48" s="461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</row>
    <row r="49" spans="1:21" x14ac:dyDescent="0.3">
      <c r="A49" s="544" t="s">
        <v>778</v>
      </c>
      <c r="B49" s="461"/>
      <c r="C49" s="461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</row>
    <row r="50" spans="1:21" x14ac:dyDescent="0.3">
      <c r="A50" s="462"/>
      <c r="B50" s="461"/>
      <c r="C50" s="461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</row>
    <row r="51" spans="1:21" x14ac:dyDescent="0.3">
      <c r="A51" s="462"/>
      <c r="B51" s="466" t="s">
        <v>779</v>
      </c>
      <c r="C51" s="466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</row>
    <row r="52" spans="1:21" x14ac:dyDescent="0.3">
      <c r="A52" s="462"/>
      <c r="B52" s="461"/>
      <c r="C52" s="461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</row>
    <row r="53" spans="1:21" x14ac:dyDescent="0.3">
      <c r="A53" s="462"/>
      <c r="B53" s="461" t="s">
        <v>780</v>
      </c>
      <c r="C53" s="461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</row>
    <row r="54" spans="1:21" x14ac:dyDescent="0.3">
      <c r="A54" s="462"/>
      <c r="B54" s="461" t="s">
        <v>781</v>
      </c>
      <c r="C54" s="461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</row>
    <row r="55" spans="1:21" x14ac:dyDescent="0.3">
      <c r="A55" s="462"/>
      <c r="B55" s="461" t="s">
        <v>782</v>
      </c>
      <c r="C55" s="461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</row>
    <row r="56" spans="1:21" x14ac:dyDescent="0.3">
      <c r="A56" s="462"/>
      <c r="B56" s="466" t="s">
        <v>783</v>
      </c>
      <c r="C56" s="466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</row>
    <row r="57" spans="1:21" x14ac:dyDescent="0.3">
      <c r="A57" s="462"/>
      <c r="B57" s="461" t="s">
        <v>784</v>
      </c>
      <c r="C57" s="461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</row>
    <row r="58" spans="1:21" x14ac:dyDescent="0.3">
      <c r="A58" s="462"/>
      <c r="B58" s="461" t="s">
        <v>785</v>
      </c>
      <c r="C58" s="461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</row>
    <row r="59" spans="1:21" x14ac:dyDescent="0.3">
      <c r="A59" s="462"/>
      <c r="B59" s="461" t="s">
        <v>786</v>
      </c>
      <c r="C59" s="461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</row>
    <row r="60" spans="1:21" x14ac:dyDescent="0.3">
      <c r="A60" s="462"/>
      <c r="B60" s="461"/>
      <c r="C60" s="461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</row>
    <row r="61" spans="1:21" x14ac:dyDescent="0.3">
      <c r="A61" s="462"/>
      <c r="B61" s="461" t="s">
        <v>787</v>
      </c>
      <c r="C61" s="461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</row>
    <row r="62" spans="1:21" x14ac:dyDescent="0.3">
      <c r="A62" s="462"/>
      <c r="B62" s="461" t="s">
        <v>788</v>
      </c>
      <c r="C62" s="461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</row>
    <row r="63" spans="1:21" x14ac:dyDescent="0.3">
      <c r="A63" s="462"/>
      <c r="B63" s="461" t="s">
        <v>789</v>
      </c>
      <c r="C63" s="461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</row>
    <row r="64" spans="1:21" x14ac:dyDescent="0.3">
      <c r="A64" s="462"/>
      <c r="B64" s="461" t="s">
        <v>790</v>
      </c>
      <c r="C64" s="461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</row>
    <row r="65" spans="1:21" x14ac:dyDescent="0.3">
      <c r="A65" s="462"/>
      <c r="B65" s="461" t="s">
        <v>791</v>
      </c>
      <c r="C65" s="461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</row>
    <row r="66" spans="1:21" x14ac:dyDescent="0.3">
      <c r="A66" s="462"/>
      <c r="B66" s="461" t="s">
        <v>792</v>
      </c>
      <c r="C66" s="461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</row>
    <row r="67" spans="1:21" x14ac:dyDescent="0.3">
      <c r="A67" s="462"/>
      <c r="B67" s="461"/>
      <c r="C67" s="461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</row>
    <row r="68" spans="1:21" x14ac:dyDescent="0.3">
      <c r="A68" s="462"/>
      <c r="B68" s="461" t="s">
        <v>793</v>
      </c>
      <c r="C68" s="461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</row>
    <row r="69" spans="1:21" x14ac:dyDescent="0.3">
      <c r="A69" s="462"/>
      <c r="B69" s="461" t="s">
        <v>794</v>
      </c>
      <c r="C69" s="461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</row>
    <row r="70" spans="1:21" x14ac:dyDescent="0.3">
      <c r="A70" s="462"/>
      <c r="B70" s="461"/>
      <c r="C70" s="461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</row>
    <row r="71" spans="1:21" x14ac:dyDescent="0.3">
      <c r="A71" s="462"/>
      <c r="B71" s="461" t="s">
        <v>795</v>
      </c>
      <c r="C71" s="461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</row>
    <row r="72" spans="1:21" x14ac:dyDescent="0.3">
      <c r="A72" s="462"/>
      <c r="B72" s="461"/>
      <c r="C72" s="461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</row>
    <row r="73" spans="1:21" x14ac:dyDescent="0.3">
      <c r="A73" s="462"/>
      <c r="B73" s="461" t="s">
        <v>780</v>
      </c>
      <c r="C73" s="461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</row>
    <row r="74" spans="1:21" x14ac:dyDescent="0.3">
      <c r="A74" s="462"/>
      <c r="B74" s="461" t="s">
        <v>782</v>
      </c>
      <c r="C74" s="461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</row>
    <row r="75" spans="1:21" x14ac:dyDescent="0.3">
      <c r="A75" s="462"/>
      <c r="B75" s="466" t="s">
        <v>783</v>
      </c>
      <c r="C75" s="461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</row>
    <row r="76" spans="1:21" x14ac:dyDescent="0.3">
      <c r="A76" s="462"/>
      <c r="B76" s="461"/>
      <c r="C76" s="466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</row>
    <row r="77" spans="1:21" x14ac:dyDescent="0.3">
      <c r="A77" s="462"/>
      <c r="B77" s="479" t="s">
        <v>778</v>
      </c>
      <c r="C77" s="461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</row>
    <row r="78" spans="1:21" x14ac:dyDescent="0.3">
      <c r="A78" s="462"/>
      <c r="B78" s="461"/>
      <c r="C78" s="479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</row>
    <row r="79" spans="1:21" x14ac:dyDescent="0.3">
      <c r="A79" s="460"/>
      <c r="B79" s="461"/>
      <c r="C79" s="461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</row>
    <row r="80" spans="1:21" x14ac:dyDescent="0.3">
      <c r="A80" s="460" t="s">
        <v>796</v>
      </c>
      <c r="B80" s="461"/>
      <c r="C80" s="461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</row>
    <row r="81" spans="1:21" x14ac:dyDescent="0.3">
      <c r="A81" s="462"/>
      <c r="B81" s="461"/>
      <c r="C81" s="461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</row>
    <row r="82" spans="1:21" x14ac:dyDescent="0.3">
      <c r="A82" s="462"/>
      <c r="B82" s="461" t="s">
        <v>797</v>
      </c>
      <c r="C82" s="461" t="s">
        <v>1052</v>
      </c>
      <c r="D82" s="171">
        <v>119038.52</v>
      </c>
      <c r="E82" s="62"/>
      <c r="F82" s="468">
        <f>D82+E82</f>
        <v>119038.52</v>
      </c>
      <c r="G82" s="62">
        <v>8892.9070411804132</v>
      </c>
      <c r="H82" s="171">
        <f>F82-G82</f>
        <v>110145.61295881959</v>
      </c>
      <c r="I82" s="468">
        <f>H82</f>
        <v>110145.61295881959</v>
      </c>
      <c r="J82" s="481"/>
      <c r="K82" s="481"/>
      <c r="L82" s="481"/>
      <c r="M82" s="481"/>
      <c r="N82" s="481"/>
      <c r="O82" s="481"/>
      <c r="P82" s="481"/>
      <c r="Q82" s="468">
        <f>H82</f>
        <v>110145.61295881959</v>
      </c>
      <c r="R82" s="481"/>
      <c r="S82" s="62">
        <f>SUM(J82:Q82)</f>
        <v>110145.61295881959</v>
      </c>
      <c r="T82" s="468">
        <f>I82-S82</f>
        <v>0</v>
      </c>
      <c r="U82" s="62"/>
    </row>
    <row r="83" spans="1:21" x14ac:dyDescent="0.3">
      <c r="A83" s="462"/>
      <c r="B83" s="461" t="s">
        <v>88</v>
      </c>
      <c r="C83" s="461"/>
      <c r="D83" s="171">
        <v>26741243.059999999</v>
      </c>
      <c r="E83" s="62"/>
      <c r="F83" s="171">
        <f>D83+E83</f>
        <v>26741243.059999999</v>
      </c>
      <c r="G83" s="62"/>
      <c r="H83" s="468">
        <f>F83</f>
        <v>26741243.059999999</v>
      </c>
      <c r="I83" s="468">
        <f>H83</f>
        <v>26741243.059999999</v>
      </c>
      <c r="J83" s="468">
        <f>I83</f>
        <v>26741243.059999999</v>
      </c>
      <c r="K83" s="62"/>
      <c r="L83" s="62"/>
      <c r="M83" s="62"/>
      <c r="N83" s="62"/>
      <c r="O83" s="62"/>
      <c r="P83" s="62"/>
      <c r="Q83" s="62"/>
      <c r="R83" s="62"/>
      <c r="S83" s="62">
        <f>SUM(J83:Q83)</f>
        <v>26741243.059999999</v>
      </c>
      <c r="T83" s="468">
        <f>I83-S83</f>
        <v>0</v>
      </c>
      <c r="U83" s="62"/>
    </row>
    <row r="84" spans="1:21" x14ac:dyDescent="0.3">
      <c r="A84" s="462"/>
      <c r="B84" s="461"/>
      <c r="C84" s="461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</row>
    <row r="85" spans="1:21" x14ac:dyDescent="0.3">
      <c r="A85" s="460" t="s">
        <v>798</v>
      </c>
      <c r="B85" s="461"/>
      <c r="C85" s="461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</row>
    <row r="86" spans="1:21" x14ac:dyDescent="0.3">
      <c r="A86" s="461" t="s">
        <v>112</v>
      </c>
      <c r="B86" s="461" t="s">
        <v>113</v>
      </c>
      <c r="C86" s="545" t="s">
        <v>19</v>
      </c>
      <c r="D86" s="171">
        <v>0</v>
      </c>
      <c r="E86" s="171">
        <v>0</v>
      </c>
      <c r="F86" s="171">
        <f>D86+E86</f>
        <v>0</v>
      </c>
      <c r="G86" s="171">
        <v>0</v>
      </c>
      <c r="H86" s="171">
        <f>F86-G86</f>
        <v>0</v>
      </c>
      <c r="I86" s="171">
        <f>H86</f>
        <v>0</v>
      </c>
      <c r="J86" s="171">
        <f>H86</f>
        <v>0</v>
      </c>
      <c r="K86" s="171"/>
      <c r="L86" s="171"/>
      <c r="M86" s="171"/>
      <c r="N86" s="171"/>
      <c r="O86" s="171"/>
      <c r="P86" s="171"/>
      <c r="Q86" s="171"/>
      <c r="R86" s="62"/>
      <c r="S86" s="62">
        <f>SUM(J86:Q86)</f>
        <v>0</v>
      </c>
      <c r="T86" s="468">
        <f t="shared" ref="T86:T92" si="6">I86-S86</f>
        <v>0</v>
      </c>
      <c r="U86" s="62"/>
    </row>
    <row r="87" spans="1:21" x14ac:dyDescent="0.3">
      <c r="A87" s="461" t="s">
        <v>114</v>
      </c>
      <c r="B87" s="461" t="s">
        <v>115</v>
      </c>
      <c r="C87" s="545" t="s">
        <v>19</v>
      </c>
      <c r="D87" s="171">
        <v>-40.71</v>
      </c>
      <c r="E87" s="171">
        <v>0</v>
      </c>
      <c r="F87" s="171">
        <f t="shared" ref="F87:F96" si="7">D87+E87</f>
        <v>-40.71</v>
      </c>
      <c r="G87" s="171">
        <v>0</v>
      </c>
      <c r="H87" s="171">
        <f t="shared" ref="H87:H94" si="8">F87-G87</f>
        <v>-40.71</v>
      </c>
      <c r="I87" s="171">
        <f t="shared" ref="I87:I96" si="9">H87</f>
        <v>-40.71</v>
      </c>
      <c r="J87" s="171">
        <f>H87</f>
        <v>-40.71</v>
      </c>
      <c r="K87" s="171"/>
      <c r="L87" s="171"/>
      <c r="M87" s="171"/>
      <c r="N87" s="171"/>
      <c r="O87" s="171"/>
      <c r="P87" s="171"/>
      <c r="Q87" s="171"/>
      <c r="R87" s="469"/>
      <c r="S87" s="62">
        <f t="shared" ref="S87:S92" si="10">SUM(J87:Q87)</f>
        <v>-40.71</v>
      </c>
      <c r="T87" s="468">
        <f t="shared" si="6"/>
        <v>0</v>
      </c>
      <c r="U87" s="62"/>
    </row>
    <row r="88" spans="1:21" x14ac:dyDescent="0.3">
      <c r="A88" s="461" t="s">
        <v>332</v>
      </c>
      <c r="B88" s="461" t="s">
        <v>116</v>
      </c>
      <c r="C88" s="545" t="s">
        <v>19</v>
      </c>
      <c r="D88" s="171">
        <v>486471.62</v>
      </c>
      <c r="E88" s="171">
        <v>0</v>
      </c>
      <c r="F88" s="171">
        <f t="shared" si="7"/>
        <v>486471.62</v>
      </c>
      <c r="G88" s="171">
        <v>0</v>
      </c>
      <c r="H88" s="171">
        <f t="shared" si="8"/>
        <v>486471.62</v>
      </c>
      <c r="I88" s="171">
        <f t="shared" si="9"/>
        <v>486471.62</v>
      </c>
      <c r="J88" s="171">
        <v>0</v>
      </c>
      <c r="K88" s="171"/>
      <c r="L88" s="171">
        <v>0</v>
      </c>
      <c r="M88" s="171"/>
      <c r="N88" s="171"/>
      <c r="O88" s="171"/>
      <c r="P88" s="171"/>
      <c r="Q88" s="171">
        <f>H88</f>
        <v>486471.62</v>
      </c>
      <c r="R88" s="62"/>
      <c r="S88" s="62">
        <f t="shared" si="10"/>
        <v>486471.62</v>
      </c>
      <c r="T88" s="468">
        <f t="shared" si="6"/>
        <v>0</v>
      </c>
      <c r="U88" s="62"/>
    </row>
    <row r="89" spans="1:21" x14ac:dyDescent="0.3">
      <c r="A89" s="461" t="s">
        <v>799</v>
      </c>
      <c r="B89" s="461" t="s">
        <v>800</v>
      </c>
      <c r="C89" s="545" t="s">
        <v>19</v>
      </c>
      <c r="D89" s="171">
        <v>0</v>
      </c>
      <c r="E89" s="171">
        <v>0</v>
      </c>
      <c r="F89" s="171">
        <f t="shared" si="7"/>
        <v>0</v>
      </c>
      <c r="G89" s="171">
        <v>0</v>
      </c>
      <c r="H89" s="171">
        <f t="shared" si="8"/>
        <v>0</v>
      </c>
      <c r="I89" s="171">
        <f t="shared" si="9"/>
        <v>0</v>
      </c>
      <c r="J89" s="171"/>
      <c r="K89" s="171"/>
      <c r="L89" s="171"/>
      <c r="M89" s="171"/>
      <c r="N89" s="171"/>
      <c r="O89" s="171"/>
      <c r="P89" s="171"/>
      <c r="Q89" s="171"/>
      <c r="R89" s="62"/>
      <c r="S89" s="62">
        <f t="shared" si="10"/>
        <v>0</v>
      </c>
      <c r="T89" s="468">
        <f t="shared" si="6"/>
        <v>0</v>
      </c>
      <c r="U89" s="62"/>
    </row>
    <row r="90" spans="1:21" x14ac:dyDescent="0.3">
      <c r="A90" s="461" t="s">
        <v>801</v>
      </c>
      <c r="B90" s="484" t="s">
        <v>802</v>
      </c>
      <c r="C90" s="545" t="s">
        <v>19</v>
      </c>
      <c r="D90" s="171">
        <f>-7174098.52-670903.62</f>
        <v>-7845002.1399999997</v>
      </c>
      <c r="E90" s="171">
        <v>0</v>
      </c>
      <c r="F90" s="171">
        <f t="shared" si="7"/>
        <v>-7845002.1399999997</v>
      </c>
      <c r="G90" s="171">
        <v>-670903.62</v>
      </c>
      <c r="H90" s="171">
        <f>F90-G90</f>
        <v>-7174098.5199999996</v>
      </c>
      <c r="I90" s="171">
        <f t="shared" si="9"/>
        <v>-7174098.5199999996</v>
      </c>
      <c r="J90" s="171"/>
      <c r="K90" s="171"/>
      <c r="L90" s="171"/>
      <c r="M90" s="171"/>
      <c r="N90" s="171"/>
      <c r="O90" s="171"/>
      <c r="P90" s="171"/>
      <c r="Q90" s="171">
        <f>H90</f>
        <v>-7174098.5199999996</v>
      </c>
      <c r="R90" s="469"/>
      <c r="S90" s="62">
        <f t="shared" si="10"/>
        <v>-7174098.5199999996</v>
      </c>
      <c r="T90" s="468">
        <f t="shared" si="6"/>
        <v>0</v>
      </c>
      <c r="U90" s="62"/>
    </row>
    <row r="91" spans="1:21" x14ac:dyDescent="0.3">
      <c r="A91" s="461" t="s">
        <v>803</v>
      </c>
      <c r="B91" s="466" t="s">
        <v>804</v>
      </c>
      <c r="C91" s="545" t="s">
        <v>19</v>
      </c>
      <c r="D91" s="171">
        <f>-(251295.87+1821465.63+161.26+20331.45+6576+201472.97+4685.8+744)</f>
        <v>-2306732.98</v>
      </c>
      <c r="E91" s="171">
        <v>0</v>
      </c>
      <c r="F91" s="171">
        <f t="shared" si="7"/>
        <v>-2306732.98</v>
      </c>
      <c r="G91" s="171">
        <f>-(6576+201472.97+4685.8+744)</f>
        <v>-213478.77</v>
      </c>
      <c r="H91" s="171">
        <f>F91-G91</f>
        <v>-2093254.21</v>
      </c>
      <c r="I91" s="171">
        <f t="shared" si="9"/>
        <v>-2093254.21</v>
      </c>
      <c r="J91" s="171"/>
      <c r="K91" s="171"/>
      <c r="L91" s="171" t="s">
        <v>546</v>
      </c>
      <c r="M91" s="171">
        <v>-251295.87</v>
      </c>
      <c r="N91" s="171"/>
      <c r="O91" s="171"/>
      <c r="P91" s="171"/>
      <c r="Q91" s="171">
        <f>H91-SUM(J91:P91)</f>
        <v>-1841958.3399999999</v>
      </c>
      <c r="R91" s="62"/>
      <c r="S91" s="62">
        <f t="shared" si="10"/>
        <v>-2093254.21</v>
      </c>
      <c r="T91" s="468">
        <f t="shared" si="6"/>
        <v>0</v>
      </c>
      <c r="U91" s="62"/>
    </row>
    <row r="92" spans="1:21" x14ac:dyDescent="0.3">
      <c r="A92" s="461" t="s">
        <v>805</v>
      </c>
      <c r="B92" s="484" t="s">
        <v>806</v>
      </c>
      <c r="C92" s="545" t="s">
        <v>19</v>
      </c>
      <c r="D92" s="171">
        <v>0</v>
      </c>
      <c r="E92" s="171">
        <v>0</v>
      </c>
      <c r="F92" s="171">
        <f t="shared" si="7"/>
        <v>0</v>
      </c>
      <c r="G92" s="171">
        <v>0</v>
      </c>
      <c r="H92" s="171">
        <f t="shared" si="8"/>
        <v>0</v>
      </c>
      <c r="I92" s="171">
        <f t="shared" si="9"/>
        <v>0</v>
      </c>
      <c r="J92" s="171">
        <f>H92</f>
        <v>0</v>
      </c>
      <c r="K92" s="171"/>
      <c r="L92" s="171"/>
      <c r="M92" s="171" t="s">
        <v>339</v>
      </c>
      <c r="N92" s="171"/>
      <c r="O92" s="171"/>
      <c r="P92" s="171"/>
      <c r="Q92" s="171"/>
      <c r="R92" s="171"/>
      <c r="S92" s="62">
        <f t="shared" si="10"/>
        <v>0</v>
      </c>
      <c r="T92" s="468">
        <f t="shared" si="6"/>
        <v>0</v>
      </c>
      <c r="U92" s="62"/>
    </row>
    <row r="93" spans="1:21" s="1" customFormat="1" x14ac:dyDescent="0.3">
      <c r="A93" s="461" t="s">
        <v>807</v>
      </c>
      <c r="B93" s="461" t="s">
        <v>808</v>
      </c>
      <c r="C93" s="545" t="s">
        <v>19</v>
      </c>
      <c r="D93" s="171">
        <f>-6609151.75-712604.86</f>
        <v>-7321756.6100000003</v>
      </c>
      <c r="E93" s="171">
        <v>0</v>
      </c>
      <c r="F93" s="171">
        <f t="shared" si="7"/>
        <v>-7321756.6100000003</v>
      </c>
      <c r="G93" s="171">
        <v>-712604.86</v>
      </c>
      <c r="H93" s="171">
        <f t="shared" si="8"/>
        <v>-6609151.75</v>
      </c>
      <c r="I93" s="171">
        <f t="shared" si="9"/>
        <v>-6609151.75</v>
      </c>
      <c r="J93" s="171">
        <v>0</v>
      </c>
      <c r="K93" s="171">
        <v>0</v>
      </c>
      <c r="L93" s="171">
        <f>H93</f>
        <v>-6609151.75</v>
      </c>
      <c r="M93" s="171"/>
      <c r="N93" s="171"/>
      <c r="O93" s="171"/>
      <c r="P93" s="171"/>
      <c r="Q93" s="171"/>
      <c r="R93" s="171"/>
      <c r="S93" s="62">
        <f t="shared" ref="S93" si="11">SUM(J93:Q93)</f>
        <v>-6609151.75</v>
      </c>
      <c r="T93" s="468">
        <f t="shared" ref="T93" si="12">I93-S93</f>
        <v>0</v>
      </c>
      <c r="U93" s="62"/>
    </row>
    <row r="94" spans="1:21" s="1" customFormat="1" x14ac:dyDescent="0.3">
      <c r="A94" s="461" t="s">
        <v>809</v>
      </c>
      <c r="B94" s="62" t="s">
        <v>638</v>
      </c>
      <c r="C94" s="545" t="s">
        <v>19</v>
      </c>
      <c r="D94" s="171">
        <v>-1885489.17</v>
      </c>
      <c r="E94" s="171">
        <v>0</v>
      </c>
      <c r="F94" s="171">
        <f t="shared" si="7"/>
        <v>-1885489.17</v>
      </c>
      <c r="G94" s="171">
        <v>-11140.01</v>
      </c>
      <c r="H94" s="171">
        <f t="shared" si="8"/>
        <v>-1874349.16</v>
      </c>
      <c r="I94" s="171">
        <f t="shared" si="9"/>
        <v>-1874349.16</v>
      </c>
      <c r="J94" s="171">
        <v>-1734584.18</v>
      </c>
      <c r="K94" s="171"/>
      <c r="L94" s="171">
        <v>-85302.409999999989</v>
      </c>
      <c r="M94" s="171"/>
      <c r="N94" s="171"/>
      <c r="O94" s="171"/>
      <c r="P94" s="171">
        <v>-30574.240000000002</v>
      </c>
      <c r="Q94" s="171">
        <v>-23888.33</v>
      </c>
      <c r="R94" s="469"/>
      <c r="S94" s="62">
        <f>SUM(J94:Q94)</f>
        <v>-1874349.16</v>
      </c>
      <c r="T94" s="468">
        <f>I94-S94</f>
        <v>0</v>
      </c>
      <c r="U94" s="62"/>
    </row>
    <row r="95" spans="1:21" x14ac:dyDescent="0.3">
      <c r="A95" s="465"/>
      <c r="B95" s="465" t="s">
        <v>1238</v>
      </c>
      <c r="C95" s="545"/>
      <c r="D95" s="171">
        <v>-22732.75</v>
      </c>
      <c r="E95" s="171"/>
      <c r="F95" s="171">
        <f t="shared" si="7"/>
        <v>-22732.75</v>
      </c>
      <c r="G95" s="171">
        <v>0</v>
      </c>
      <c r="H95" s="171">
        <f>F95-G95</f>
        <v>-22732.75</v>
      </c>
      <c r="I95" s="171">
        <f t="shared" si="9"/>
        <v>-22732.75</v>
      </c>
      <c r="J95" s="171"/>
      <c r="K95" s="171">
        <f>H95</f>
        <v>-22732.75</v>
      </c>
      <c r="L95" s="171"/>
      <c r="M95" s="171"/>
      <c r="N95" s="171"/>
      <c r="O95" s="171"/>
      <c r="P95" s="171"/>
      <c r="Q95" s="171"/>
      <c r="R95" s="469"/>
      <c r="S95" s="62">
        <f>SUM(J95:Q95)</f>
        <v>-22732.75</v>
      </c>
      <c r="T95" s="468">
        <f>I95-S95</f>
        <v>0</v>
      </c>
      <c r="U95" s="62"/>
    </row>
    <row r="96" spans="1:21" ht="14.5" x14ac:dyDescent="0.35">
      <c r="A96" s="546">
        <v>812</v>
      </c>
      <c r="B96" s="484" t="s">
        <v>843</v>
      </c>
      <c r="C96" s="547"/>
      <c r="D96" s="171">
        <f>'3a. OM_AG-i'!D164</f>
        <v>-3350004</v>
      </c>
      <c r="E96" s="171"/>
      <c r="F96" s="171">
        <f t="shared" si="7"/>
        <v>-3350004</v>
      </c>
      <c r="G96" s="171">
        <f>F96</f>
        <v>-3350004</v>
      </c>
      <c r="H96" s="171">
        <f>F96-G96</f>
        <v>0</v>
      </c>
      <c r="I96" s="171">
        <f t="shared" si="9"/>
        <v>0</v>
      </c>
      <c r="J96" s="171"/>
      <c r="K96" s="171"/>
      <c r="L96" s="171"/>
      <c r="M96" s="171"/>
      <c r="N96" s="171"/>
      <c r="O96" s="171"/>
      <c r="P96" s="171"/>
      <c r="Q96" s="171"/>
      <c r="R96" s="469"/>
      <c r="S96" s="62">
        <f>SUM(J96:Q96)</f>
        <v>0</v>
      </c>
      <c r="T96" s="468">
        <f>I96-S96</f>
        <v>0</v>
      </c>
      <c r="U96" s="62"/>
    </row>
    <row r="97" spans="1:21" x14ac:dyDescent="0.3">
      <c r="A97" s="462"/>
      <c r="B97" s="474"/>
      <c r="C97" s="545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62"/>
      <c r="S97" s="62"/>
      <c r="T97" s="62"/>
      <c r="U97" s="62"/>
    </row>
    <row r="98" spans="1:21" x14ac:dyDescent="0.3">
      <c r="A98" s="62"/>
      <c r="B98" s="486" t="s">
        <v>524</v>
      </c>
      <c r="C98" s="548"/>
      <c r="D98" s="171">
        <f>SUM(D86:D96)</f>
        <v>-22245286.740000002</v>
      </c>
      <c r="E98" s="171">
        <f t="shared" ref="E98:Q98" si="13">SUM(E86:E96)</f>
        <v>0</v>
      </c>
      <c r="F98" s="171">
        <f t="shared" si="13"/>
        <v>-22245286.740000002</v>
      </c>
      <c r="G98" s="171">
        <f t="shared" si="13"/>
        <v>-4958131.26</v>
      </c>
      <c r="H98" s="171">
        <f t="shared" si="13"/>
        <v>-17287155.48</v>
      </c>
      <c r="I98" s="171">
        <f t="shared" si="13"/>
        <v>-17287155.48</v>
      </c>
      <c r="J98" s="171">
        <f t="shared" si="13"/>
        <v>-1734624.89</v>
      </c>
      <c r="K98" s="171">
        <f t="shared" si="13"/>
        <v>-22732.75</v>
      </c>
      <c r="L98" s="171">
        <f t="shared" si="13"/>
        <v>-6694454.1600000001</v>
      </c>
      <c r="M98" s="171">
        <f t="shared" si="13"/>
        <v>-251295.87</v>
      </c>
      <c r="N98" s="171">
        <f t="shared" si="13"/>
        <v>0</v>
      </c>
      <c r="O98" s="171">
        <f t="shared" si="13"/>
        <v>0</v>
      </c>
      <c r="P98" s="171">
        <f t="shared" si="13"/>
        <v>-30574.240000000002</v>
      </c>
      <c r="Q98" s="171">
        <f t="shared" si="13"/>
        <v>-8553473.5699999984</v>
      </c>
      <c r="R98" s="62"/>
      <c r="S98" s="62">
        <f>SUM(J98:Q98)</f>
        <v>-17287155.479999997</v>
      </c>
      <c r="T98" s="468">
        <f>I98-S98</f>
        <v>0</v>
      </c>
      <c r="U98" s="62"/>
    </row>
    <row r="99" spans="1:21" x14ac:dyDescent="0.3">
      <c r="A99" s="548"/>
      <c r="B99" s="548"/>
      <c r="C99" s="548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62"/>
      <c r="S99" s="62"/>
      <c r="T99" s="62"/>
      <c r="U99" s="62"/>
    </row>
    <row r="100" spans="1:21" x14ac:dyDescent="0.3">
      <c r="A100" s="548"/>
      <c r="B100" s="548"/>
      <c r="C100" s="548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</row>
    <row r="101" spans="1:21" x14ac:dyDescent="0.3">
      <c r="A101" s="549" t="s">
        <v>117</v>
      </c>
      <c r="B101" s="548"/>
      <c r="C101" s="548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</row>
    <row r="102" spans="1:21" x14ac:dyDescent="0.3">
      <c r="A102" s="548" t="s">
        <v>1097</v>
      </c>
      <c r="B102" s="548" t="s">
        <v>118</v>
      </c>
      <c r="C102" s="548" t="s">
        <v>125</v>
      </c>
      <c r="D102" s="171">
        <v>0</v>
      </c>
      <c r="E102" s="171">
        <f>-D102</f>
        <v>0</v>
      </c>
      <c r="F102" s="171">
        <f t="shared" ref="F102:F112" si="14">D102+E102</f>
        <v>0</v>
      </c>
      <c r="G102" s="171">
        <v>0</v>
      </c>
      <c r="H102" s="171">
        <f t="shared" ref="H102:H112" si="15">F102-G102</f>
        <v>0</v>
      </c>
      <c r="I102" s="171">
        <f t="shared" ref="I102:I112" si="16">H102</f>
        <v>0</v>
      </c>
      <c r="J102" s="171"/>
      <c r="K102" s="171"/>
      <c r="L102" s="171"/>
      <c r="M102" s="171"/>
      <c r="N102" s="171"/>
      <c r="O102" s="171"/>
      <c r="P102" s="171"/>
      <c r="Q102" s="171"/>
      <c r="R102" s="62"/>
      <c r="S102" s="62">
        <f t="shared" ref="S102:S112" si="17">SUM(J102:Q102)</f>
        <v>0</v>
      </c>
      <c r="T102" s="468">
        <f t="shared" ref="T102:T112" si="18">I102-S102</f>
        <v>0</v>
      </c>
      <c r="U102" s="62"/>
    </row>
    <row r="103" spans="1:21" s="1" customFormat="1" x14ac:dyDescent="0.3">
      <c r="A103" s="548" t="s">
        <v>1097</v>
      </c>
      <c r="B103" s="548" t="s">
        <v>564</v>
      </c>
      <c r="C103" s="62" t="s">
        <v>920</v>
      </c>
      <c r="D103" s="171">
        <f>-2920976.7+22732.75</f>
        <v>-2898243.95</v>
      </c>
      <c r="E103" s="171">
        <v>0</v>
      </c>
      <c r="F103" s="171">
        <f t="shared" si="14"/>
        <v>-2898243.95</v>
      </c>
      <c r="G103" s="171">
        <f>F103*'1. RB-i'!G$406</f>
        <v>-325604.82279350533</v>
      </c>
      <c r="H103" s="171">
        <f t="shared" si="15"/>
        <v>-2572639.127206495</v>
      </c>
      <c r="I103" s="171">
        <f t="shared" si="16"/>
        <v>-2572639.127206495</v>
      </c>
      <c r="J103" s="171">
        <f>$F103*'1. RB-i'!J$406</f>
        <v>-1197698.9648654929</v>
      </c>
      <c r="K103" s="171">
        <f>$F103*'1. RB-i'!K406</f>
        <v>-373647.92093893536</v>
      </c>
      <c r="L103" s="171">
        <f>$F103*'1. RB-i'!L406</f>
        <v>-616639.63652573922</v>
      </c>
      <c r="M103" s="171">
        <f>$F103*'1. RB-i'!M406</f>
        <v>-136169.28908547052</v>
      </c>
      <c r="N103" s="171">
        <f>$F103*'1. RB-i'!N406</f>
        <v>-36369.72302746027</v>
      </c>
      <c r="O103" s="171">
        <f>$F103*'1. RB-i'!O406</f>
        <v>-185752.18288402903</v>
      </c>
      <c r="P103" s="171">
        <f>$F103*'1. RB-i'!P406</f>
        <v>-26361.404695432084</v>
      </c>
      <c r="Q103" s="171">
        <f>$F103*'1. RB-i'!Q406</f>
        <v>0</v>
      </c>
      <c r="R103" s="62"/>
      <c r="S103" s="62">
        <f t="shared" si="17"/>
        <v>-2572639.1220225599</v>
      </c>
      <c r="T103" s="468">
        <f t="shared" si="18"/>
        <v>-5.1839351654052734E-3</v>
      </c>
      <c r="U103" s="62"/>
    </row>
    <row r="104" spans="1:21" s="1" customFormat="1" x14ac:dyDescent="0.3">
      <c r="A104" s="548"/>
      <c r="B104" s="548" t="s">
        <v>119</v>
      </c>
      <c r="C104" s="548" t="s">
        <v>19</v>
      </c>
      <c r="D104" s="171">
        <v>0</v>
      </c>
      <c r="E104" s="171"/>
      <c r="F104" s="171">
        <f t="shared" si="14"/>
        <v>0</v>
      </c>
      <c r="G104" s="171">
        <v>0</v>
      </c>
      <c r="H104" s="171">
        <f t="shared" si="15"/>
        <v>0</v>
      </c>
      <c r="I104" s="171">
        <f t="shared" si="16"/>
        <v>0</v>
      </c>
      <c r="J104" s="171">
        <v>0</v>
      </c>
      <c r="K104" s="171"/>
      <c r="L104" s="171"/>
      <c r="M104" s="171"/>
      <c r="N104" s="171"/>
      <c r="O104" s="171"/>
      <c r="P104" s="171"/>
      <c r="Q104" s="171"/>
      <c r="R104" s="62"/>
      <c r="S104" s="62">
        <f t="shared" si="17"/>
        <v>0</v>
      </c>
      <c r="T104" s="468">
        <f t="shared" si="18"/>
        <v>0</v>
      </c>
      <c r="U104" s="62"/>
    </row>
    <row r="105" spans="1:21" s="1" customFormat="1" x14ac:dyDescent="0.3">
      <c r="A105" s="548" t="s">
        <v>1097</v>
      </c>
      <c r="B105" s="548" t="s">
        <v>120</v>
      </c>
      <c r="C105" s="548" t="s">
        <v>19</v>
      </c>
      <c r="D105" s="171">
        <v>-2359628.94</v>
      </c>
      <c r="E105" s="171"/>
      <c r="F105" s="171">
        <f t="shared" si="14"/>
        <v>-2359628.94</v>
      </c>
      <c r="G105" s="171">
        <f>+F105*'3a. OM_AG-i'!G$219/'3a. OM_AG-i'!F$219</f>
        <v>-459607.48963657947</v>
      </c>
      <c r="H105" s="171">
        <f t="shared" si="15"/>
        <v>-1900021.4503634204</v>
      </c>
      <c r="I105" s="171">
        <f t="shared" si="16"/>
        <v>-1900021.4503634204</v>
      </c>
      <c r="J105" s="171"/>
      <c r="K105" s="171"/>
      <c r="L105" s="171"/>
      <c r="M105" s="171"/>
      <c r="N105" s="171">
        <f>+H105</f>
        <v>-1900021.4503634204</v>
      </c>
      <c r="O105" s="171"/>
      <c r="P105" s="171"/>
      <c r="Q105" s="171" t="s">
        <v>546</v>
      </c>
      <c r="R105" s="62"/>
      <c r="S105" s="62">
        <f t="shared" si="17"/>
        <v>-1900021.4503634204</v>
      </c>
      <c r="T105" s="468">
        <f t="shared" si="18"/>
        <v>0</v>
      </c>
      <c r="U105" s="62"/>
    </row>
    <row r="106" spans="1:21" s="1" customFormat="1" x14ac:dyDescent="0.3">
      <c r="A106" s="548" t="s">
        <v>1097</v>
      </c>
      <c r="B106" s="548" t="s">
        <v>121</v>
      </c>
      <c r="C106" s="548" t="s">
        <v>19</v>
      </c>
      <c r="D106" s="171">
        <v>-1974682.14</v>
      </c>
      <c r="E106" s="171"/>
      <c r="F106" s="171">
        <f t="shared" si="14"/>
        <v>-1974682.14</v>
      </c>
      <c r="G106" s="171">
        <f>+F106*'3a. OM_AG-i'!G$219/'3a. OM_AG-i'!F$219</f>
        <v>-384627.72082952515</v>
      </c>
      <c r="H106" s="171">
        <f t="shared" si="15"/>
        <v>-1590054.4191704746</v>
      </c>
      <c r="I106" s="171">
        <f t="shared" si="16"/>
        <v>-1590054.4191704746</v>
      </c>
      <c r="J106" s="171"/>
      <c r="K106" s="171"/>
      <c r="L106" s="171"/>
      <c r="M106" s="171"/>
      <c r="N106" s="171">
        <f>+H106</f>
        <v>-1590054.4191704746</v>
      </c>
      <c r="O106" s="171"/>
      <c r="P106" s="171"/>
      <c r="Q106" s="171" t="s">
        <v>546</v>
      </c>
      <c r="R106" s="62"/>
      <c r="S106" s="62">
        <f t="shared" si="17"/>
        <v>-1590054.4191704746</v>
      </c>
      <c r="T106" s="468">
        <f t="shared" si="18"/>
        <v>0</v>
      </c>
      <c r="U106" s="62"/>
    </row>
    <row r="107" spans="1:21" s="1" customFormat="1" x14ac:dyDescent="0.3">
      <c r="A107" s="548" t="s">
        <v>1097</v>
      </c>
      <c r="B107" s="548" t="s">
        <v>122</v>
      </c>
      <c r="C107" s="548" t="s">
        <v>19</v>
      </c>
      <c r="D107" s="171">
        <v>-837317.55</v>
      </c>
      <c r="E107" s="171"/>
      <c r="F107" s="171">
        <f t="shared" si="14"/>
        <v>-837317.55</v>
      </c>
      <c r="G107" s="171">
        <f>+F107*'3a. OM_AG-i'!G$219/'3a. OM_AG-i'!F$219</f>
        <v>-163092.34501258112</v>
      </c>
      <c r="H107" s="171">
        <f t="shared" si="15"/>
        <v>-674225.20498741895</v>
      </c>
      <c r="I107" s="171">
        <f t="shared" si="16"/>
        <v>-674225.20498741895</v>
      </c>
      <c r="J107" s="171"/>
      <c r="K107" s="171"/>
      <c r="L107" s="171"/>
      <c r="M107" s="171"/>
      <c r="N107" s="171">
        <f>+H107</f>
        <v>-674225.20498741895</v>
      </c>
      <c r="O107" s="171"/>
      <c r="P107" s="171"/>
      <c r="Q107" s="171" t="s">
        <v>546</v>
      </c>
      <c r="R107" s="62"/>
      <c r="S107" s="62">
        <f t="shared" si="17"/>
        <v>-674225.20498741895</v>
      </c>
      <c r="T107" s="468">
        <f t="shared" si="18"/>
        <v>0</v>
      </c>
      <c r="U107" s="62"/>
    </row>
    <row r="108" spans="1:21" x14ac:dyDescent="0.3">
      <c r="A108" s="548"/>
      <c r="B108" s="548" t="s">
        <v>123</v>
      </c>
      <c r="C108" s="548" t="s">
        <v>19</v>
      </c>
      <c r="D108" s="171">
        <v>0</v>
      </c>
      <c r="E108" s="171"/>
      <c r="F108" s="171">
        <f t="shared" si="14"/>
        <v>0</v>
      </c>
      <c r="G108" s="171">
        <v>0</v>
      </c>
      <c r="H108" s="171">
        <f t="shared" si="15"/>
        <v>0</v>
      </c>
      <c r="I108" s="171">
        <f t="shared" si="16"/>
        <v>0</v>
      </c>
      <c r="J108" s="171">
        <f>+H108</f>
        <v>0</v>
      </c>
      <c r="K108" s="171"/>
      <c r="L108" s="171"/>
      <c r="M108" s="171"/>
      <c r="N108" s="171"/>
      <c r="O108" s="171"/>
      <c r="P108" s="171"/>
      <c r="Q108" s="171" t="s">
        <v>546</v>
      </c>
      <c r="R108" s="62"/>
      <c r="S108" s="62">
        <f t="shared" si="17"/>
        <v>0</v>
      </c>
      <c r="T108" s="468">
        <f t="shared" si="18"/>
        <v>0</v>
      </c>
      <c r="U108" s="62"/>
    </row>
    <row r="109" spans="1:21" x14ac:dyDescent="0.3">
      <c r="A109" s="548" t="s">
        <v>1097</v>
      </c>
      <c r="B109" s="548" t="s">
        <v>124</v>
      </c>
      <c r="C109" s="548" t="s">
        <v>125</v>
      </c>
      <c r="D109" s="171">
        <v>7697330.8300000001</v>
      </c>
      <c r="E109" s="171">
        <f>-D109</f>
        <v>-7697330.8300000001</v>
      </c>
      <c r="F109" s="171">
        <f t="shared" si="14"/>
        <v>0</v>
      </c>
      <c r="G109" s="171">
        <v>0</v>
      </c>
      <c r="H109" s="171">
        <f t="shared" si="15"/>
        <v>0</v>
      </c>
      <c r="I109" s="171">
        <f t="shared" si="16"/>
        <v>0</v>
      </c>
      <c r="J109" s="171"/>
      <c r="K109" s="171"/>
      <c r="L109" s="171">
        <v>0</v>
      </c>
      <c r="M109" s="171"/>
      <c r="N109" s="171"/>
      <c r="O109" s="171"/>
      <c r="P109" s="171"/>
      <c r="Q109" s="171"/>
      <c r="R109" s="62"/>
      <c r="S109" s="62">
        <f t="shared" si="17"/>
        <v>0</v>
      </c>
      <c r="T109" s="468">
        <f t="shared" si="18"/>
        <v>0</v>
      </c>
      <c r="U109" s="62"/>
    </row>
    <row r="110" spans="1:21" s="1" customFormat="1" x14ac:dyDescent="0.3">
      <c r="A110" s="548"/>
      <c r="B110" s="548" t="s">
        <v>1101</v>
      </c>
      <c r="C110" s="62" t="s">
        <v>920</v>
      </c>
      <c r="D110" s="171">
        <v>0</v>
      </c>
      <c r="E110" s="171"/>
      <c r="F110" s="171">
        <f t="shared" ref="F110" si="19">D110+E110</f>
        <v>0</v>
      </c>
      <c r="G110" s="171">
        <f>F110*'1. RB-i'!G$406</f>
        <v>0</v>
      </c>
      <c r="H110" s="171">
        <f t="shared" ref="H110" si="20">F110-G110</f>
        <v>0</v>
      </c>
      <c r="I110" s="171">
        <f t="shared" ref="I110" si="21">H110</f>
        <v>0</v>
      </c>
      <c r="J110" s="171">
        <f>$F110*'1. RB-i'!J$406</f>
        <v>0</v>
      </c>
      <c r="K110" s="171">
        <f>$F110*'1. RB-i'!K$406</f>
        <v>0</v>
      </c>
      <c r="L110" s="171">
        <f>$F110*'1. RB-i'!L$406</f>
        <v>0</v>
      </c>
      <c r="M110" s="171">
        <f>$F110*'1. RB-i'!M$406</f>
        <v>0</v>
      </c>
      <c r="N110" s="171">
        <f>$F110*'1. RB-i'!N$406</f>
        <v>0</v>
      </c>
      <c r="O110" s="171">
        <f>$F110*'1. RB-i'!O$406</f>
        <v>0</v>
      </c>
      <c r="P110" s="171">
        <f>$F110*'1. RB-i'!P$406</f>
        <v>0</v>
      </c>
      <c r="Q110" s="171">
        <f>$F110*'1. RB-i'!Q$406</f>
        <v>0</v>
      </c>
      <c r="R110" s="62"/>
      <c r="S110" s="62">
        <f t="shared" ref="S110" si="22">SUM(J110:Q110)</f>
        <v>0</v>
      </c>
      <c r="T110" s="468">
        <f t="shared" ref="T110" si="23">I110-S110</f>
        <v>0</v>
      </c>
      <c r="U110" s="62"/>
    </row>
    <row r="111" spans="1:21" x14ac:dyDescent="0.3">
      <c r="A111" s="548"/>
      <c r="B111" s="548" t="s">
        <v>638</v>
      </c>
      <c r="C111" s="62" t="s">
        <v>920</v>
      </c>
      <c r="D111" s="171">
        <f>-526747.4-62273.5</f>
        <v>-589020.9</v>
      </c>
      <c r="E111" s="171"/>
      <c r="F111" s="171">
        <f t="shared" si="14"/>
        <v>-589020.9</v>
      </c>
      <c r="G111" s="171">
        <f>F111*'1. RB-i'!G$406</f>
        <v>-66173.879450751905</v>
      </c>
      <c r="H111" s="171">
        <f t="shared" si="15"/>
        <v>-522847.02054924809</v>
      </c>
      <c r="I111" s="171">
        <f t="shared" si="16"/>
        <v>-522847.02054924809</v>
      </c>
      <c r="J111" s="171">
        <f>$F111*'1. RB-i'!J$406</f>
        <v>-243412.8163069713</v>
      </c>
      <c r="K111" s="171">
        <f>$F111*'1. RB-i'!K$406</f>
        <v>-75937.85701668782</v>
      </c>
      <c r="L111" s="171">
        <f>$F111*'1. RB-i'!L$406</f>
        <v>-125321.96735270121</v>
      </c>
      <c r="M111" s="171">
        <f>$F111*'1. RB-i'!M$406</f>
        <v>-27674.191197564309</v>
      </c>
      <c r="N111" s="171">
        <f>$F111*'1. RB-i'!N$406</f>
        <v>-7391.5541134435462</v>
      </c>
      <c r="O111" s="171">
        <f>$F111*'1. RB-i'!O$406</f>
        <v>-37751.107162430329</v>
      </c>
      <c r="P111" s="171">
        <f>$F111*'1. RB-i'!P$406</f>
        <v>-5357.5263458990858</v>
      </c>
      <c r="Q111" s="171">
        <f>$F111*'1. RB-i'!Q$406</f>
        <v>0</v>
      </c>
      <c r="R111" s="62"/>
      <c r="S111" s="62">
        <f t="shared" si="17"/>
        <v>-522847.01949569758</v>
      </c>
      <c r="T111" s="468">
        <f t="shared" si="18"/>
        <v>-1.0535505134612322E-3</v>
      </c>
      <c r="U111" s="62"/>
    </row>
    <row r="112" spans="1:21" x14ac:dyDescent="0.3">
      <c r="A112" s="548"/>
      <c r="B112" s="548" t="s">
        <v>126</v>
      </c>
      <c r="C112" s="548" t="s">
        <v>19</v>
      </c>
      <c r="D112" s="171">
        <v>0</v>
      </c>
      <c r="E112" s="171"/>
      <c r="F112" s="171">
        <f t="shared" si="14"/>
        <v>0</v>
      </c>
      <c r="G112" s="171">
        <v>0</v>
      </c>
      <c r="H112" s="171">
        <f t="shared" si="15"/>
        <v>0</v>
      </c>
      <c r="I112" s="171">
        <f t="shared" si="16"/>
        <v>0</v>
      </c>
      <c r="J112" s="171"/>
      <c r="K112" s="171"/>
      <c r="L112" s="171">
        <v>0</v>
      </c>
      <c r="M112" s="171"/>
      <c r="N112" s="171"/>
      <c r="O112" s="171"/>
      <c r="P112" s="171"/>
      <c r="Q112" s="171"/>
      <c r="R112" s="62"/>
      <c r="S112" s="62">
        <f t="shared" si="17"/>
        <v>0</v>
      </c>
      <c r="T112" s="468">
        <f t="shared" si="18"/>
        <v>0</v>
      </c>
      <c r="U112" s="62"/>
    </row>
    <row r="113" spans="1:21" x14ac:dyDescent="0.3">
      <c r="A113" s="548"/>
      <c r="B113" s="548"/>
      <c r="C113" s="548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62"/>
      <c r="S113" s="62"/>
      <c r="T113" s="62"/>
      <c r="U113" s="62"/>
    </row>
    <row r="114" spans="1:21" x14ac:dyDescent="0.3">
      <c r="A114" s="548"/>
      <c r="B114" s="548" t="s">
        <v>355</v>
      </c>
      <c r="C114" s="548"/>
      <c r="D114" s="171">
        <f>SUM(D102:D112)</f>
        <v>-961562.65</v>
      </c>
      <c r="E114" s="171">
        <f t="shared" ref="E114:Q114" si="24">SUM(E102:E112)</f>
        <v>-7697330.8300000001</v>
      </c>
      <c r="F114" s="171">
        <f t="shared" si="24"/>
        <v>-8658893.4800000004</v>
      </c>
      <c r="G114" s="171">
        <f>SUM(G102:G112)</f>
        <v>-1399106.2577229431</v>
      </c>
      <c r="H114" s="171">
        <f t="shared" si="24"/>
        <v>-7259787.2222770564</v>
      </c>
      <c r="I114" s="171">
        <f t="shared" si="24"/>
        <v>-7259787.2222770564</v>
      </c>
      <c r="J114" s="171">
        <f t="shared" si="24"/>
        <v>-1441111.7811724641</v>
      </c>
      <c r="K114" s="171">
        <f t="shared" si="24"/>
        <v>-449585.77795562317</v>
      </c>
      <c r="L114" s="171">
        <f t="shared" si="24"/>
        <v>-741961.60387844045</v>
      </c>
      <c r="M114" s="171">
        <f t="shared" si="24"/>
        <v>-163843.48028303482</v>
      </c>
      <c r="N114" s="171">
        <f t="shared" si="24"/>
        <v>-4208062.3516622186</v>
      </c>
      <c r="O114" s="171">
        <f t="shared" si="24"/>
        <v>-223503.29004645935</v>
      </c>
      <c r="P114" s="171">
        <f t="shared" si="24"/>
        <v>-31718.931041331169</v>
      </c>
      <c r="Q114" s="171">
        <f t="shared" si="24"/>
        <v>0</v>
      </c>
      <c r="R114" s="62"/>
      <c r="S114" s="62"/>
      <c r="T114" s="62"/>
      <c r="U114" s="62"/>
    </row>
    <row r="115" spans="1:21" x14ac:dyDescent="0.3">
      <c r="A115" s="548"/>
      <c r="B115" s="548"/>
      <c r="C115" s="548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</row>
    <row r="116" spans="1:21" x14ac:dyDescent="0.3">
      <c r="A116" s="548"/>
      <c r="B116" s="548"/>
      <c r="C116" s="548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</row>
    <row r="117" spans="1:21" x14ac:dyDescent="0.3">
      <c r="A117" s="549" t="s">
        <v>127</v>
      </c>
      <c r="B117" s="548"/>
      <c r="C117" s="548"/>
      <c r="D117" s="171">
        <f>D98+D114</f>
        <v>-23206849.390000001</v>
      </c>
      <c r="E117" s="171">
        <f t="shared" ref="E117:P117" si="25">E98+E114</f>
        <v>-7697330.8300000001</v>
      </c>
      <c r="F117" s="171">
        <f t="shared" si="25"/>
        <v>-30904180.220000003</v>
      </c>
      <c r="G117" s="171">
        <f t="shared" si="25"/>
        <v>-6357237.5177229429</v>
      </c>
      <c r="H117" s="171">
        <f t="shared" si="25"/>
        <v>-24546942.702277057</v>
      </c>
      <c r="I117" s="171">
        <f t="shared" si="25"/>
        <v>-24546942.702277057</v>
      </c>
      <c r="J117" s="171">
        <f t="shared" si="25"/>
        <v>-3175736.6711724643</v>
      </c>
      <c r="K117" s="171">
        <f t="shared" si="25"/>
        <v>-472318.52795562317</v>
      </c>
      <c r="L117" s="171">
        <f t="shared" si="25"/>
        <v>-7436415.7638784405</v>
      </c>
      <c r="M117" s="171">
        <f t="shared" si="25"/>
        <v>-415139.35028303484</v>
      </c>
      <c r="N117" s="171">
        <f t="shared" si="25"/>
        <v>-4208062.3516622186</v>
      </c>
      <c r="O117" s="171">
        <f t="shared" si="25"/>
        <v>-223503.29004645935</v>
      </c>
      <c r="P117" s="171">
        <f t="shared" si="25"/>
        <v>-62293.171041331167</v>
      </c>
      <c r="Q117" s="171">
        <f>Q98+Q114</f>
        <v>-8553473.5699999984</v>
      </c>
      <c r="R117" s="171"/>
      <c r="S117" s="62">
        <f>SUM(J117:Q117)</f>
        <v>-24546942.696039569</v>
      </c>
      <c r="T117" s="468">
        <f>I117-S117</f>
        <v>-6.2374882400035858E-3</v>
      </c>
      <c r="U117" s="62"/>
    </row>
    <row r="118" spans="1:21" x14ac:dyDescent="0.3">
      <c r="A118" s="549" t="s">
        <v>174</v>
      </c>
      <c r="B118" s="62"/>
      <c r="C118" s="548"/>
      <c r="D118" s="62">
        <f t="shared" ref="D118:Q118" si="26">D117-D90</f>
        <v>-15361847.25</v>
      </c>
      <c r="E118" s="62">
        <f t="shared" si="26"/>
        <v>-7697330.8300000001</v>
      </c>
      <c r="F118" s="62">
        <f t="shared" si="26"/>
        <v>-23059178.080000002</v>
      </c>
      <c r="G118" s="62">
        <f t="shared" si="26"/>
        <v>-5686333.8977229428</v>
      </c>
      <c r="H118" s="62">
        <f t="shared" si="26"/>
        <v>-17372844.182277057</v>
      </c>
      <c r="I118" s="62">
        <f t="shared" si="26"/>
        <v>-17372844.182277057</v>
      </c>
      <c r="J118" s="62">
        <f t="shared" si="26"/>
        <v>-3175736.6711724643</v>
      </c>
      <c r="K118" s="62">
        <f t="shared" si="26"/>
        <v>-472318.52795562317</v>
      </c>
      <c r="L118" s="62">
        <f t="shared" si="26"/>
        <v>-7436415.7638784405</v>
      </c>
      <c r="M118" s="62">
        <f t="shared" si="26"/>
        <v>-415139.35028303484</v>
      </c>
      <c r="N118" s="62">
        <f t="shared" si="26"/>
        <v>-4208062.3516622186</v>
      </c>
      <c r="O118" s="62">
        <f t="shared" si="26"/>
        <v>-223503.29004645935</v>
      </c>
      <c r="P118" s="62">
        <f t="shared" si="26"/>
        <v>-62293.171041331167</v>
      </c>
      <c r="Q118" s="62">
        <f t="shared" si="26"/>
        <v>-1379375.0499999989</v>
      </c>
      <c r="R118" s="62"/>
      <c r="S118" s="62">
        <f>SUM(J118:Q118)</f>
        <v>-17372844.176039569</v>
      </c>
      <c r="T118" s="468">
        <f>I118-S118</f>
        <v>-6.2374882400035858E-3</v>
      </c>
      <c r="U118" s="62"/>
    </row>
    <row r="119" spans="1:21" x14ac:dyDescent="0.3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</row>
    <row r="120" spans="1:21" x14ac:dyDescent="0.3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</row>
    <row r="121" spans="1:21" x14ac:dyDescent="0.3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</row>
    <row r="122" spans="1:21" x14ac:dyDescent="0.3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</row>
    <row r="123" spans="1:21" x14ac:dyDescent="0.3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</row>
    <row r="124" spans="1:21" x14ac:dyDescent="0.3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</row>
    <row r="125" spans="1:21" x14ac:dyDescent="0.3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</row>
    <row r="126" spans="1:21" x14ac:dyDescent="0.3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</row>
    <row r="127" spans="1:21" x14ac:dyDescent="0.3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</row>
    <row r="128" spans="1:21" x14ac:dyDescent="0.3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</row>
    <row r="129" spans="1:21" x14ac:dyDescent="0.3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</row>
    <row r="130" spans="1:21" x14ac:dyDescent="0.3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</row>
    <row r="131" spans="1:21" x14ac:dyDescent="0.3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</row>
    <row r="132" spans="1:21" x14ac:dyDescent="0.3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</row>
    <row r="133" spans="1:21" x14ac:dyDescent="0.3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</row>
    <row r="134" spans="1:21" x14ac:dyDescent="0.3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</row>
    <row r="135" spans="1:21" x14ac:dyDescent="0.3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</row>
    <row r="136" spans="1:21" x14ac:dyDescent="0.3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</row>
    <row r="137" spans="1:21" x14ac:dyDescent="0.3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</row>
    <row r="138" spans="1:21" x14ac:dyDescent="0.3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</row>
    <row r="139" spans="1:21" x14ac:dyDescent="0.3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</row>
    <row r="140" spans="1:21" x14ac:dyDescent="0.3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</row>
    <row r="141" spans="1:21" x14ac:dyDescent="0.3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</row>
    <row r="142" spans="1:21" x14ac:dyDescent="0.3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</row>
    <row r="143" spans="1:21" x14ac:dyDescent="0.3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</row>
    <row r="144" spans="1:21" x14ac:dyDescent="0.3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</row>
    <row r="145" spans="1:21" x14ac:dyDescent="0.3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</row>
    <row r="146" spans="1:21" x14ac:dyDescent="0.3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</row>
    <row r="147" spans="1:21" x14ac:dyDescent="0.3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</row>
    <row r="148" spans="1:21" x14ac:dyDescent="0.3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</row>
    <row r="149" spans="1:21" x14ac:dyDescent="0.3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</row>
    <row r="150" spans="1:21" x14ac:dyDescent="0.3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</row>
    <row r="151" spans="1:21" x14ac:dyDescent="0.3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</row>
    <row r="152" spans="1:21" x14ac:dyDescent="0.3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</row>
    <row r="153" spans="1:21" x14ac:dyDescent="0.3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</row>
    <row r="154" spans="1:21" x14ac:dyDescent="0.3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</row>
    <row r="155" spans="1:21" x14ac:dyDescent="0.3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</row>
    <row r="156" spans="1:21" x14ac:dyDescent="0.3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</row>
    <row r="157" spans="1:21" x14ac:dyDescent="0.3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</row>
    <row r="158" spans="1:21" x14ac:dyDescent="0.3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</row>
    <row r="159" spans="1:21" x14ac:dyDescent="0.3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</row>
    <row r="160" spans="1:21" x14ac:dyDescent="0.3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</row>
    <row r="161" spans="1:21" x14ac:dyDescent="0.3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</row>
    <row r="162" spans="1:21" x14ac:dyDescent="0.3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</row>
    <row r="163" spans="1:21" x14ac:dyDescent="0.3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</row>
    <row r="164" spans="1:21" x14ac:dyDescent="0.3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</row>
    <row r="165" spans="1:21" x14ac:dyDescent="0.3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</row>
    <row r="166" spans="1:21" x14ac:dyDescent="0.3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</row>
    <row r="167" spans="1:21" x14ac:dyDescent="0.3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</row>
    <row r="168" spans="1:21" x14ac:dyDescent="0.3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</row>
    <row r="169" spans="1:21" x14ac:dyDescent="0.3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</row>
    <row r="170" spans="1:21" x14ac:dyDescent="0.3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</row>
    <row r="171" spans="1:21" x14ac:dyDescent="0.3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</row>
    <row r="172" spans="1:21" x14ac:dyDescent="0.3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</row>
    <row r="173" spans="1:21" x14ac:dyDescent="0.3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</row>
    <row r="174" spans="1:21" x14ac:dyDescent="0.3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</row>
    <row r="175" spans="1:21" x14ac:dyDescent="0.3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</row>
    <row r="176" spans="1:21" x14ac:dyDescent="0.3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</row>
    <row r="177" spans="1:21" x14ac:dyDescent="0.3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</row>
    <row r="178" spans="1:21" x14ac:dyDescent="0.3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</row>
    <row r="179" spans="1:21" x14ac:dyDescent="0.3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</row>
    <row r="180" spans="1:21" x14ac:dyDescent="0.3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</row>
    <row r="181" spans="1:21" x14ac:dyDescent="0.3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</row>
    <row r="182" spans="1:21" x14ac:dyDescent="0.3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</row>
    <row r="183" spans="1:21" x14ac:dyDescent="0.3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</row>
    <row r="184" spans="1:21" x14ac:dyDescent="0.3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</row>
    <row r="185" spans="1:21" x14ac:dyDescent="0.3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</row>
    <row r="186" spans="1:21" x14ac:dyDescent="0.3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</row>
    <row r="187" spans="1:21" x14ac:dyDescent="0.3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</row>
    <row r="188" spans="1:21" x14ac:dyDescent="0.3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</row>
    <row r="189" spans="1:21" x14ac:dyDescent="0.3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</row>
    <row r="190" spans="1:21" x14ac:dyDescent="0.3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</row>
    <row r="191" spans="1:21" x14ac:dyDescent="0.3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</row>
    <row r="192" spans="1:21" x14ac:dyDescent="0.3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</row>
    <row r="193" spans="1:21" x14ac:dyDescent="0.3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</row>
    <row r="194" spans="1:21" x14ac:dyDescent="0.3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</row>
    <row r="195" spans="1:21" x14ac:dyDescent="0.3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</row>
    <row r="196" spans="1:21" x14ac:dyDescent="0.3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</row>
    <row r="197" spans="1:21" x14ac:dyDescent="0.3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</row>
    <row r="198" spans="1:21" x14ac:dyDescent="0.3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</row>
    <row r="199" spans="1:21" x14ac:dyDescent="0.3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</row>
    <row r="200" spans="1:21" x14ac:dyDescent="0.3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</row>
    <row r="201" spans="1:21" x14ac:dyDescent="0.3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</row>
    <row r="202" spans="1:21" x14ac:dyDescent="0.3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</row>
    <row r="203" spans="1:21" x14ac:dyDescent="0.3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</row>
    <row r="204" spans="1:21" x14ac:dyDescent="0.3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</row>
    <row r="205" spans="1:21" x14ac:dyDescent="0.3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</row>
    <row r="206" spans="1:21" x14ac:dyDescent="0.3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</row>
    <row r="207" spans="1:21" x14ac:dyDescent="0.3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</row>
    <row r="208" spans="1:21" x14ac:dyDescent="0.3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</row>
    <row r="209" spans="1:21" x14ac:dyDescent="0.3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</row>
    <row r="210" spans="1:21" x14ac:dyDescent="0.3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</row>
    <row r="211" spans="1:21" x14ac:dyDescent="0.3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</row>
    <row r="212" spans="1:21" x14ac:dyDescent="0.3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</row>
    <row r="213" spans="1:21" x14ac:dyDescent="0.3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</row>
    <row r="214" spans="1:21" x14ac:dyDescent="0.3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</row>
    <row r="215" spans="1:21" x14ac:dyDescent="0.3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</row>
    <row r="216" spans="1:21" x14ac:dyDescent="0.3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</row>
    <row r="217" spans="1:21" x14ac:dyDescent="0.3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</row>
    <row r="218" spans="1:21" x14ac:dyDescent="0.3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</row>
    <row r="219" spans="1:21" x14ac:dyDescent="0.3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</row>
    <row r="220" spans="1:21" x14ac:dyDescent="0.3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</row>
    <row r="221" spans="1:21" x14ac:dyDescent="0.3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</row>
    <row r="222" spans="1:21" x14ac:dyDescent="0.3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</row>
    <row r="223" spans="1:21" x14ac:dyDescent="0.3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</row>
    <row r="224" spans="1:21" x14ac:dyDescent="0.3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</row>
  </sheetData>
  <customSheetViews>
    <customSheetView guid="{121E4431-22F3-11D5-8242-00600818425F}" scale="75" hiddenColumns="1" showRuler="0">
      <pane xSplit="3" ySplit="7" topLeftCell="E20" activePane="bottomRight" state="frozen"/>
      <selection pane="bottomRight" activeCell="G32" sqref="G32"/>
      <rowBreaks count="2" manualBreakCount="2">
        <brk id="48" max="16383" man="1"/>
        <brk id="151" max="65535" man="1"/>
      </rowBreaks>
      <pageMargins left="0" right="0" top="0.5" bottom="0.4" header="0.2" footer="0.2"/>
      <printOptions horizontalCentered="1" gridLines="1"/>
      <pageSetup scale="60" pageOrder="overThenDown" orientation="landscape" useFirstPageNumber="1" horizontalDpi="300" verticalDpi="300" r:id="rId1"/>
      <headerFooter alignWithMargins="0">
        <oddFooter>&amp;L&amp;8&amp;D &amp;C&amp;8&amp;A
page &amp;P&amp;R&amp;8&amp;D
&amp;T</oddFooter>
      </headerFooter>
    </customSheetView>
    <customSheetView guid="{26EFD302-2526-11D5-9AB1-0060975861A8}" scale="75" showPageBreaks="1" printArea="1" hiddenColumns="1" showRuler="0">
      <pane xSplit="3" ySplit="7" topLeftCell="D78" activePane="bottomRight" state="frozen"/>
      <selection pane="bottomRight" activeCell="J98" sqref="J98"/>
      <rowBreaks count="2" manualBreakCount="2">
        <brk id="48" max="16383" man="1"/>
        <brk id="151" max="65535" man="1"/>
      </rowBreaks>
      <pageMargins left="0" right="0" top="0.5" bottom="0.4" header="0.2" footer="0.2"/>
      <printOptions horizontalCentered="1" gridLines="1"/>
      <pageSetup scale="60" pageOrder="overThenDown" orientation="landscape" useFirstPageNumber="1" horizontalDpi="300" verticalDpi="300" r:id="rId2"/>
      <headerFooter alignWithMargins="0">
        <oddFooter>&amp;L&amp;8&amp;D &amp;C&amp;8&amp;A
page &amp;P&amp;R&amp;8&amp;D
&amp;T</oddFooter>
      </headerFooter>
    </customSheetView>
    <customSheetView guid="{44D25261-300E-11D5-83AB-006008184210}" scale="75" showPageBreaks="1" printArea="1" hiddenColumns="1" showRuler="0">
      <pane xSplit="3" ySplit="7" topLeftCell="D78" activePane="bottomRight" state="frozen"/>
      <selection pane="bottomRight" activeCell="J98" sqref="J98"/>
      <rowBreaks count="2" manualBreakCount="2">
        <brk id="48" max="16383" man="1"/>
        <brk id="151" max="65535" man="1"/>
      </rowBreaks>
      <pageMargins left="0" right="0" top="0.5" bottom="0.4" header="0.2" footer="0.2"/>
      <printOptions horizontalCentered="1" gridLines="1"/>
      <pageSetup scale="60" pageOrder="overThenDown" orientation="landscape" useFirstPageNumber="1" horizontalDpi="300" verticalDpi="300" r:id="rId3"/>
      <headerFooter alignWithMargins="0">
        <oddFooter>&amp;L&amp;8&amp;D &amp;C&amp;8&amp;A
page &amp;P&amp;R&amp;8&amp;D
&amp;T</oddFooter>
      </headerFooter>
    </customSheetView>
  </customSheetViews>
  <phoneticPr fontId="0" type="noConversion"/>
  <printOptions horizontalCentered="1" gridLines="1"/>
  <pageMargins left="0" right="0" top="0.5" bottom="0.4" header="0.2" footer="0.2"/>
  <pageSetup scale="60" pageOrder="overThenDown" orientation="landscape" horizontalDpi="300" verticalDpi="300" r:id="rId4"/>
  <headerFooter alignWithMargins="0">
    <oddFooter>&amp;L&amp;8&amp;D &amp;C&amp;8&amp;A
&amp;P&amp;R&amp;8&amp;D
&amp;T</oddFooter>
  </headerFooter>
  <rowBreaks count="3" manualBreakCount="3">
    <brk id="48" max="16383" man="1"/>
    <brk id="99" max="16" man="1"/>
    <brk id="151" max="6553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V155"/>
  <sheetViews>
    <sheetView zoomScale="80" zoomScaleNormal="80" zoomScaleSheetLayoutView="75" workbookViewId="0">
      <pane ySplit="7" topLeftCell="A8" activePane="bottomLeft" state="frozen"/>
      <selection activeCell="C368" sqref="C368"/>
      <selection pane="bottomLeft" activeCell="A8" sqref="A8"/>
    </sheetView>
  </sheetViews>
  <sheetFormatPr defaultColWidth="9.1796875" defaultRowHeight="13" x14ac:dyDescent="0.3"/>
  <cols>
    <col min="1" max="1" width="8" style="4" customWidth="1"/>
    <col min="2" max="2" width="38.81640625" style="4" customWidth="1"/>
    <col min="3" max="3" width="20.54296875" style="4" customWidth="1"/>
    <col min="4" max="6" width="13.54296875" style="17" customWidth="1"/>
    <col min="7" max="7" width="20.1796875" style="17" bestFit="1" customWidth="1"/>
    <col min="8" max="8" width="20.1796875" style="17" customWidth="1"/>
    <col min="9" max="11" width="13.54296875" style="17" customWidth="1"/>
    <col min="12" max="12" width="11.54296875" style="17" customWidth="1"/>
    <col min="13" max="13" width="12" style="17" customWidth="1"/>
    <col min="14" max="14" width="11.453125" style="4" customWidth="1"/>
    <col min="15" max="16" width="10.81640625" style="4" bestFit="1" customWidth="1"/>
    <col min="17" max="17" width="12.453125" style="4" bestFit="1" customWidth="1"/>
    <col min="18" max="18" width="11.453125" style="4" bestFit="1" customWidth="1"/>
    <col min="19" max="19" width="10.81640625" style="4" bestFit="1" customWidth="1"/>
    <col min="20" max="20" width="12.453125" style="4" bestFit="1" customWidth="1"/>
    <col min="21" max="21" width="9.1796875" style="4"/>
    <col min="22" max="22" width="10.453125" style="4" bestFit="1" customWidth="1"/>
    <col min="23" max="23" width="10.453125" style="4" customWidth="1"/>
    <col min="24" max="24" width="11.54296875" style="4" bestFit="1" customWidth="1"/>
    <col min="25" max="26" width="11.54296875" style="4" customWidth="1"/>
    <col min="27" max="28" width="11.54296875" style="4" bestFit="1" customWidth="1"/>
    <col min="29" max="31" width="11.54296875" style="4" customWidth="1"/>
    <col min="32" max="32" width="12" style="4" bestFit="1" customWidth="1"/>
    <col min="33" max="33" width="12" style="4" customWidth="1"/>
    <col min="34" max="34" width="11.54296875" style="4" bestFit="1" customWidth="1"/>
    <col min="35" max="35" width="9.1796875" style="4"/>
    <col min="36" max="37" width="11.54296875" style="4" bestFit="1" customWidth="1"/>
    <col min="38" max="38" width="12.453125" style="4" bestFit="1" customWidth="1"/>
    <col min="39" max="16384" width="9.1796875" style="4"/>
  </cols>
  <sheetData>
    <row r="1" spans="1:41" x14ac:dyDescent="0.3">
      <c r="A1" s="343" t="str">
        <f>'1. RB-i'!A1</f>
        <v>CPS Energy</v>
      </c>
      <c r="B1" s="207"/>
      <c r="C1" s="207"/>
      <c r="D1" s="207"/>
      <c r="E1" s="207"/>
      <c r="F1" s="353"/>
      <c r="G1" s="353"/>
      <c r="H1" s="353"/>
      <c r="I1" s="353"/>
      <c r="J1" s="353"/>
      <c r="K1" s="353"/>
      <c r="L1" s="353"/>
      <c r="M1" s="353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345"/>
    </row>
    <row r="2" spans="1:41" x14ac:dyDescent="0.3">
      <c r="A2" s="346" t="s">
        <v>1304</v>
      </c>
      <c r="B2" s="191"/>
      <c r="C2" s="191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347"/>
    </row>
    <row r="3" spans="1:41" x14ac:dyDescent="0.3">
      <c r="A3" s="346" t="str">
        <f>'6a. OE_OR-i'!A3</f>
        <v>FYE 2017</v>
      </c>
      <c r="B3" s="191"/>
      <c r="C3" s="191"/>
      <c r="D3" s="256"/>
      <c r="E3" s="445"/>
      <c r="F3" s="445"/>
      <c r="G3" s="445"/>
      <c r="H3" s="445"/>
      <c r="I3" s="445"/>
      <c r="J3" s="445"/>
      <c r="K3" s="445"/>
      <c r="L3" s="256"/>
      <c r="M3" s="257" t="s">
        <v>367</v>
      </c>
      <c r="N3" s="258"/>
      <c r="O3" s="258"/>
      <c r="P3" s="258"/>
      <c r="Q3" s="258"/>
      <c r="R3" s="258"/>
      <c r="S3" s="258"/>
      <c r="T3" s="258"/>
      <c r="U3" s="258"/>
      <c r="V3" s="259"/>
      <c r="W3" s="259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347"/>
      <c r="AJ3" s="31"/>
    </row>
    <row r="4" spans="1:41" x14ac:dyDescent="0.3">
      <c r="A4" s="261"/>
      <c r="B4" s="262"/>
      <c r="C4" s="262"/>
      <c r="D4" s="257" t="s">
        <v>544</v>
      </c>
      <c r="E4" s="258"/>
      <c r="F4" s="258"/>
      <c r="G4" s="258"/>
      <c r="H4" s="258"/>
      <c r="I4" s="259"/>
      <c r="J4" s="258"/>
      <c r="K4" s="259"/>
      <c r="L4" s="262"/>
      <c r="M4" s="191"/>
      <c r="N4" s="257" t="s">
        <v>922</v>
      </c>
      <c r="O4" s="258"/>
      <c r="P4" s="258"/>
      <c r="Q4" s="259"/>
      <c r="R4" s="257" t="s">
        <v>923</v>
      </c>
      <c r="S4" s="258"/>
      <c r="T4" s="258"/>
      <c r="U4" s="258"/>
      <c r="V4" s="259"/>
      <c r="W4" s="265"/>
      <c r="X4" s="257" t="s">
        <v>907</v>
      </c>
      <c r="Y4" s="258"/>
      <c r="Z4" s="259"/>
      <c r="AA4" s="191"/>
      <c r="AB4" s="257" t="s">
        <v>85</v>
      </c>
      <c r="AC4" s="258"/>
      <c r="AD4" s="258"/>
      <c r="AE4" s="258"/>
      <c r="AF4" s="257" t="s">
        <v>912</v>
      </c>
      <c r="AG4" s="259"/>
      <c r="AH4" s="347"/>
      <c r="AJ4" s="31"/>
    </row>
    <row r="5" spans="1:41" x14ac:dyDescent="0.3">
      <c r="A5" s="268"/>
      <c r="B5" s="194"/>
      <c r="C5" s="194"/>
      <c r="D5" s="195" t="s">
        <v>357</v>
      </c>
      <c r="E5" s="417" t="s">
        <v>924</v>
      </c>
      <c r="F5" s="417"/>
      <c r="G5" s="417"/>
      <c r="H5" s="417"/>
      <c r="I5" s="417" t="s">
        <v>924</v>
      </c>
      <c r="J5" s="269"/>
      <c r="K5" s="197" t="s">
        <v>79</v>
      </c>
      <c r="L5" s="198" t="s">
        <v>357</v>
      </c>
      <c r="M5" s="199" t="s">
        <v>357</v>
      </c>
      <c r="N5" s="270"/>
      <c r="O5" s="271" t="s">
        <v>925</v>
      </c>
      <c r="P5" s="271" t="s">
        <v>926</v>
      </c>
      <c r="Q5" s="216"/>
      <c r="R5" s="270" t="s">
        <v>925</v>
      </c>
      <c r="S5" s="271" t="s">
        <v>926</v>
      </c>
      <c r="T5" s="271"/>
      <c r="U5" s="263"/>
      <c r="V5" s="446"/>
      <c r="W5" s="216" t="s">
        <v>1010</v>
      </c>
      <c r="X5" s="271" t="s">
        <v>357</v>
      </c>
      <c r="Y5" s="270"/>
      <c r="Z5" s="270" t="s">
        <v>994</v>
      </c>
      <c r="AA5" s="215" t="s">
        <v>357</v>
      </c>
      <c r="AB5" s="215" t="s">
        <v>357</v>
      </c>
      <c r="AC5" s="215" t="s">
        <v>86</v>
      </c>
      <c r="AD5" s="215" t="s">
        <v>1003</v>
      </c>
      <c r="AE5" s="272"/>
      <c r="AF5" s="215" t="s">
        <v>911</v>
      </c>
      <c r="AG5" s="215"/>
      <c r="AH5" s="217" t="s">
        <v>357</v>
      </c>
      <c r="AJ5" s="5" t="s">
        <v>357</v>
      </c>
    </row>
    <row r="6" spans="1:41" x14ac:dyDescent="0.3">
      <c r="A6" s="268" t="s">
        <v>539</v>
      </c>
      <c r="B6" s="186" t="s">
        <v>359</v>
      </c>
      <c r="C6" s="194"/>
      <c r="D6" s="186" t="s">
        <v>544</v>
      </c>
      <c r="E6" s="417" t="s">
        <v>928</v>
      </c>
      <c r="F6" s="417" t="s">
        <v>1140</v>
      </c>
      <c r="G6" s="417" t="s">
        <v>1139</v>
      </c>
      <c r="H6" s="417" t="s">
        <v>947</v>
      </c>
      <c r="I6" s="417" t="s">
        <v>927</v>
      </c>
      <c r="J6" s="417" t="s">
        <v>617</v>
      </c>
      <c r="K6" s="187" t="s">
        <v>80</v>
      </c>
      <c r="L6" s="198" t="s">
        <v>366</v>
      </c>
      <c r="M6" s="199" t="s">
        <v>367</v>
      </c>
      <c r="N6" s="200" t="s">
        <v>929</v>
      </c>
      <c r="O6" s="417" t="s">
        <v>930</v>
      </c>
      <c r="P6" s="417" t="s">
        <v>930</v>
      </c>
      <c r="Q6" s="187" t="s">
        <v>931</v>
      </c>
      <c r="R6" s="200" t="s">
        <v>930</v>
      </c>
      <c r="S6" s="417" t="s">
        <v>930</v>
      </c>
      <c r="T6" s="417" t="s">
        <v>931</v>
      </c>
      <c r="U6" s="417" t="s">
        <v>456</v>
      </c>
      <c r="V6" s="187" t="s">
        <v>932</v>
      </c>
      <c r="W6" s="187" t="s">
        <v>1011</v>
      </c>
      <c r="X6" s="417" t="s">
        <v>907</v>
      </c>
      <c r="Y6" s="200" t="s">
        <v>907</v>
      </c>
      <c r="Z6" s="200" t="s">
        <v>995</v>
      </c>
      <c r="AA6" s="186" t="s">
        <v>84</v>
      </c>
      <c r="AB6" s="186" t="s">
        <v>82</v>
      </c>
      <c r="AC6" s="186" t="s">
        <v>87</v>
      </c>
      <c r="AD6" s="186" t="s">
        <v>1004</v>
      </c>
      <c r="AE6" s="186" t="s">
        <v>1005</v>
      </c>
      <c r="AF6" s="186" t="s">
        <v>912</v>
      </c>
      <c r="AG6" s="186" t="s">
        <v>1006</v>
      </c>
      <c r="AH6" s="219" t="s">
        <v>913</v>
      </c>
      <c r="AJ6" s="5" t="s">
        <v>365</v>
      </c>
      <c r="AK6" s="6" t="s">
        <v>933</v>
      </c>
      <c r="AL6" s="6" t="s">
        <v>824</v>
      </c>
    </row>
    <row r="7" spans="1:41" ht="13.5" thickBot="1" x14ac:dyDescent="0.35">
      <c r="A7" s="278" t="s">
        <v>545</v>
      </c>
      <c r="B7" s="279"/>
      <c r="C7" s="279"/>
      <c r="D7" s="281" t="s">
        <v>815</v>
      </c>
      <c r="E7" s="282" t="s">
        <v>816</v>
      </c>
      <c r="F7" s="282"/>
      <c r="G7" s="282"/>
      <c r="H7" s="282"/>
      <c r="I7" s="282" t="s">
        <v>817</v>
      </c>
      <c r="J7" s="282" t="s">
        <v>818</v>
      </c>
      <c r="K7" s="282" t="s">
        <v>819</v>
      </c>
      <c r="L7" s="234" t="s">
        <v>820</v>
      </c>
      <c r="M7" s="282" t="s">
        <v>821</v>
      </c>
      <c r="N7" s="281" t="s">
        <v>822</v>
      </c>
      <c r="O7" s="282" t="s">
        <v>823</v>
      </c>
      <c r="P7" s="282" t="s">
        <v>908</v>
      </c>
      <c r="Q7" s="282" t="s">
        <v>914</v>
      </c>
      <c r="R7" s="281" t="s">
        <v>915</v>
      </c>
      <c r="S7" s="282" t="s">
        <v>916</v>
      </c>
      <c r="T7" s="282" t="s">
        <v>917</v>
      </c>
      <c r="U7" s="282" t="s">
        <v>918</v>
      </c>
      <c r="V7" s="282" t="s">
        <v>934</v>
      </c>
      <c r="W7" s="283" t="s">
        <v>935</v>
      </c>
      <c r="X7" s="282" t="s">
        <v>936</v>
      </c>
      <c r="Y7" s="234" t="s">
        <v>937</v>
      </c>
      <c r="Z7" s="234" t="s">
        <v>938</v>
      </c>
      <c r="AA7" s="234" t="s">
        <v>939</v>
      </c>
      <c r="AB7" s="234" t="s">
        <v>985</v>
      </c>
      <c r="AC7" s="234" t="s">
        <v>986</v>
      </c>
      <c r="AD7" s="234" t="s">
        <v>987</v>
      </c>
      <c r="AE7" s="234" t="s">
        <v>988</v>
      </c>
      <c r="AF7" s="234" t="s">
        <v>989</v>
      </c>
      <c r="AG7" s="234" t="s">
        <v>990</v>
      </c>
      <c r="AH7" s="235" t="s">
        <v>991</v>
      </c>
      <c r="AJ7" s="45"/>
    </row>
    <row r="8" spans="1:41" x14ac:dyDescent="0.3">
      <c r="A8" s="44"/>
      <c r="B8" s="31"/>
      <c r="C8" s="31"/>
      <c r="D8" s="5"/>
      <c r="E8" s="5"/>
      <c r="F8" s="626"/>
      <c r="G8" s="626"/>
      <c r="H8" s="626"/>
      <c r="I8" s="5"/>
      <c r="J8" s="5"/>
      <c r="K8" s="5"/>
      <c r="L8" s="5"/>
      <c r="M8" s="6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</row>
    <row r="9" spans="1:41" x14ac:dyDescent="0.3">
      <c r="A9" s="544" t="s">
        <v>757</v>
      </c>
      <c r="B9" s="464"/>
      <c r="C9" s="464"/>
      <c r="D9" s="486"/>
      <c r="E9" s="486"/>
      <c r="F9" s="665"/>
      <c r="G9" s="665"/>
      <c r="H9" s="665"/>
      <c r="I9" s="486"/>
      <c r="J9" s="486"/>
      <c r="K9" s="486"/>
      <c r="L9" s="486"/>
      <c r="M9" s="489"/>
      <c r="N9" s="486"/>
      <c r="O9" s="486"/>
      <c r="P9" s="486"/>
      <c r="Q9" s="486"/>
      <c r="R9" s="486"/>
      <c r="S9" s="486"/>
      <c r="T9" s="486"/>
      <c r="U9" s="486"/>
      <c r="V9" s="486"/>
      <c r="W9" s="486"/>
      <c r="X9" s="489"/>
      <c r="Y9" s="489"/>
      <c r="Z9" s="489"/>
      <c r="AA9" s="489"/>
      <c r="AB9" s="489"/>
      <c r="AC9" s="489"/>
      <c r="AD9" s="489"/>
      <c r="AE9" s="489"/>
      <c r="AF9" s="489"/>
      <c r="AG9" s="489"/>
      <c r="AH9" s="489"/>
      <c r="AI9" s="62"/>
      <c r="AJ9" s="62"/>
      <c r="AK9" s="62"/>
      <c r="AL9" s="62"/>
      <c r="AM9" s="62"/>
      <c r="AN9" s="62"/>
      <c r="AO9" s="62"/>
    </row>
    <row r="10" spans="1:41" x14ac:dyDescent="0.3">
      <c r="A10" s="462"/>
      <c r="B10" s="461"/>
      <c r="C10" s="461"/>
      <c r="D10" s="486"/>
      <c r="E10" s="486"/>
      <c r="F10" s="665"/>
      <c r="G10" s="665"/>
      <c r="H10" s="665"/>
      <c r="I10" s="486"/>
      <c r="J10" s="486"/>
      <c r="K10" s="486"/>
      <c r="L10" s="486"/>
      <c r="M10" s="489"/>
      <c r="N10" s="486"/>
      <c r="O10" s="486"/>
      <c r="P10" s="486"/>
      <c r="Q10" s="486"/>
      <c r="R10" s="486"/>
      <c r="S10" s="486"/>
      <c r="T10" s="486"/>
      <c r="U10" s="486"/>
      <c r="V10" s="486"/>
      <c r="W10" s="486"/>
      <c r="X10" s="489"/>
      <c r="Y10" s="489"/>
      <c r="Z10" s="489"/>
      <c r="AA10" s="489"/>
      <c r="AB10" s="489"/>
      <c r="AC10" s="489"/>
      <c r="AD10" s="489"/>
      <c r="AE10" s="489"/>
      <c r="AF10" s="489"/>
      <c r="AG10" s="489"/>
      <c r="AH10" s="489"/>
      <c r="AI10" s="62"/>
      <c r="AJ10" s="62"/>
      <c r="AK10" s="62"/>
      <c r="AL10" s="62"/>
      <c r="AM10" s="62"/>
      <c r="AN10" s="62"/>
      <c r="AO10" s="62"/>
    </row>
    <row r="11" spans="1:41" x14ac:dyDescent="0.3">
      <c r="A11" s="460" t="s">
        <v>758</v>
      </c>
      <c r="B11" s="461"/>
      <c r="C11" s="461"/>
      <c r="D11" s="486"/>
      <c r="E11" s="486"/>
      <c r="F11" s="665"/>
      <c r="G11" s="665"/>
      <c r="H11" s="665"/>
      <c r="I11" s="486"/>
      <c r="J11" s="486"/>
      <c r="K11" s="486"/>
      <c r="L11" s="486"/>
      <c r="M11" s="489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9"/>
      <c r="Y11" s="489"/>
      <c r="Z11" s="489"/>
      <c r="AA11" s="489"/>
      <c r="AB11" s="489"/>
      <c r="AC11" s="489"/>
      <c r="AD11" s="489"/>
      <c r="AE11" s="489"/>
      <c r="AF11" s="489"/>
      <c r="AG11" s="489"/>
      <c r="AH11" s="489"/>
      <c r="AI11" s="62"/>
      <c r="AJ11" s="62"/>
      <c r="AK11" s="62"/>
      <c r="AL11" s="62"/>
      <c r="AM11" s="62"/>
      <c r="AN11" s="62"/>
      <c r="AO11" s="62"/>
    </row>
    <row r="12" spans="1:41" x14ac:dyDescent="0.3">
      <c r="A12" s="462"/>
      <c r="B12" s="461"/>
      <c r="C12" s="461"/>
      <c r="D12" s="486"/>
      <c r="E12" s="486"/>
      <c r="F12" s="665"/>
      <c r="G12" s="665"/>
      <c r="H12" s="665"/>
      <c r="I12" s="486"/>
      <c r="J12" s="486"/>
      <c r="K12" s="486"/>
      <c r="L12" s="486"/>
      <c r="M12" s="489"/>
      <c r="N12" s="486"/>
      <c r="O12" s="486"/>
      <c r="P12" s="486"/>
      <c r="Q12" s="486"/>
      <c r="R12" s="486"/>
      <c r="S12" s="486"/>
      <c r="T12" s="486"/>
      <c r="U12" s="486"/>
      <c r="V12" s="486"/>
      <c r="W12" s="486"/>
      <c r="X12" s="489"/>
      <c r="Y12" s="489"/>
      <c r="Z12" s="489"/>
      <c r="AA12" s="489"/>
      <c r="AB12" s="489"/>
      <c r="AC12" s="489"/>
      <c r="AD12" s="489"/>
      <c r="AE12" s="489"/>
      <c r="AF12" s="489"/>
      <c r="AG12" s="489"/>
      <c r="AH12" s="489"/>
      <c r="AI12" s="62"/>
      <c r="AJ12" s="62"/>
      <c r="AK12" s="62"/>
      <c r="AL12" s="62"/>
      <c r="AM12" s="62"/>
      <c r="AN12" s="62"/>
      <c r="AO12" s="62"/>
    </row>
    <row r="13" spans="1:41" x14ac:dyDescent="0.3">
      <c r="A13" s="462"/>
      <c r="B13" s="461" t="s">
        <v>759</v>
      </c>
      <c r="C13" s="461"/>
      <c r="D13" s="486"/>
      <c r="E13" s="486"/>
      <c r="F13" s="665"/>
      <c r="G13" s="665"/>
      <c r="H13" s="665"/>
      <c r="I13" s="486"/>
      <c r="J13" s="486"/>
      <c r="K13" s="486"/>
      <c r="L13" s="486"/>
      <c r="M13" s="489"/>
      <c r="N13" s="486"/>
      <c r="O13" s="486"/>
      <c r="P13" s="486"/>
      <c r="Q13" s="486"/>
      <c r="R13" s="486"/>
      <c r="S13" s="486"/>
      <c r="T13" s="486"/>
      <c r="U13" s="486"/>
      <c r="V13" s="486"/>
      <c r="W13" s="486"/>
      <c r="X13" s="489"/>
      <c r="Y13" s="489"/>
      <c r="Z13" s="489"/>
      <c r="AA13" s="489"/>
      <c r="AB13" s="489"/>
      <c r="AC13" s="489"/>
      <c r="AD13" s="489"/>
      <c r="AE13" s="489"/>
      <c r="AF13" s="489"/>
      <c r="AG13" s="489"/>
      <c r="AH13" s="489"/>
      <c r="AI13" s="62"/>
      <c r="AJ13" s="62"/>
      <c r="AK13" s="62"/>
      <c r="AL13" s="62"/>
      <c r="AM13" s="62"/>
      <c r="AN13" s="62"/>
      <c r="AO13" s="62"/>
    </row>
    <row r="14" spans="1:41" x14ac:dyDescent="0.3">
      <c r="A14" s="462"/>
      <c r="B14" s="461" t="s">
        <v>760</v>
      </c>
      <c r="C14" s="461"/>
      <c r="D14" s="486"/>
      <c r="E14" s="486"/>
      <c r="F14" s="665"/>
      <c r="G14" s="665"/>
      <c r="H14" s="665"/>
      <c r="I14" s="486"/>
      <c r="J14" s="486"/>
      <c r="K14" s="486"/>
      <c r="L14" s="486"/>
      <c r="M14" s="489"/>
      <c r="N14" s="486"/>
      <c r="O14" s="486"/>
      <c r="P14" s="486"/>
      <c r="Q14" s="486"/>
      <c r="R14" s="486"/>
      <c r="S14" s="486"/>
      <c r="T14" s="486"/>
      <c r="U14" s="486"/>
      <c r="V14" s="486"/>
      <c r="W14" s="486"/>
      <c r="X14" s="489"/>
      <c r="Y14" s="489"/>
      <c r="Z14" s="489"/>
      <c r="AA14" s="489"/>
      <c r="AB14" s="489"/>
      <c r="AC14" s="489"/>
      <c r="AD14" s="489"/>
      <c r="AE14" s="489"/>
      <c r="AF14" s="489"/>
      <c r="AG14" s="489"/>
      <c r="AH14" s="489"/>
      <c r="AI14" s="62"/>
      <c r="AJ14" s="62"/>
      <c r="AK14" s="62"/>
      <c r="AL14" s="62"/>
      <c r="AM14" s="62"/>
      <c r="AN14" s="62"/>
      <c r="AO14" s="62"/>
    </row>
    <row r="15" spans="1:41" x14ac:dyDescent="0.3">
      <c r="A15" s="462"/>
      <c r="B15" s="461"/>
      <c r="C15" s="461"/>
      <c r="D15" s="486"/>
      <c r="E15" s="486"/>
      <c r="F15" s="665"/>
      <c r="G15" s="665"/>
      <c r="H15" s="665"/>
      <c r="I15" s="486"/>
      <c r="J15" s="486"/>
      <c r="K15" s="486"/>
      <c r="L15" s="486"/>
      <c r="M15" s="489"/>
      <c r="N15" s="486"/>
      <c r="O15" s="486"/>
      <c r="P15" s="486"/>
      <c r="Q15" s="486"/>
      <c r="R15" s="486"/>
      <c r="S15" s="486"/>
      <c r="T15" s="486"/>
      <c r="U15" s="486"/>
      <c r="V15" s="486"/>
      <c r="W15" s="486"/>
      <c r="X15" s="489"/>
      <c r="Y15" s="489"/>
      <c r="Z15" s="489"/>
      <c r="AA15" s="489"/>
      <c r="AB15" s="489"/>
      <c r="AC15" s="489"/>
      <c r="AD15" s="489"/>
      <c r="AE15" s="489"/>
      <c r="AF15" s="489"/>
      <c r="AG15" s="489"/>
      <c r="AH15" s="489"/>
      <c r="AI15" s="62"/>
      <c r="AJ15" s="62"/>
      <c r="AK15" s="62"/>
      <c r="AL15" s="62"/>
      <c r="AM15" s="62"/>
      <c r="AN15" s="62"/>
      <c r="AO15" s="62"/>
    </row>
    <row r="16" spans="1:41" x14ac:dyDescent="0.3">
      <c r="A16" s="462"/>
      <c r="B16" s="479" t="s">
        <v>761</v>
      </c>
      <c r="C16" s="479"/>
      <c r="D16" s="486"/>
      <c r="E16" s="486"/>
      <c r="F16" s="665"/>
      <c r="G16" s="665"/>
      <c r="H16" s="665"/>
      <c r="I16" s="486"/>
      <c r="J16" s="486"/>
      <c r="K16" s="486"/>
      <c r="L16" s="486"/>
      <c r="M16" s="489"/>
      <c r="N16" s="486"/>
      <c r="O16" s="486"/>
      <c r="P16" s="486"/>
      <c r="Q16" s="486"/>
      <c r="R16" s="486"/>
      <c r="S16" s="486"/>
      <c r="T16" s="486"/>
      <c r="U16" s="486"/>
      <c r="V16" s="486"/>
      <c r="W16" s="486"/>
      <c r="X16" s="489"/>
      <c r="Y16" s="489"/>
      <c r="Z16" s="489"/>
      <c r="AA16" s="489"/>
      <c r="AB16" s="489"/>
      <c r="AC16" s="489"/>
      <c r="AD16" s="489"/>
      <c r="AE16" s="489"/>
      <c r="AF16" s="489"/>
      <c r="AG16" s="489"/>
      <c r="AH16" s="489"/>
      <c r="AI16" s="62"/>
      <c r="AJ16" s="62"/>
      <c r="AK16" s="62"/>
      <c r="AL16" s="62"/>
      <c r="AM16" s="62"/>
      <c r="AN16" s="62"/>
      <c r="AO16" s="62"/>
    </row>
    <row r="17" spans="1:41" x14ac:dyDescent="0.3">
      <c r="A17" s="462"/>
      <c r="B17" s="461"/>
      <c r="C17" s="461"/>
      <c r="D17" s="486"/>
      <c r="E17" s="486"/>
      <c r="F17" s="665"/>
      <c r="G17" s="665"/>
      <c r="H17" s="665"/>
      <c r="I17" s="486"/>
      <c r="J17" s="486"/>
      <c r="K17" s="486"/>
      <c r="L17" s="486"/>
      <c r="M17" s="489"/>
      <c r="N17" s="486"/>
      <c r="O17" s="486"/>
      <c r="P17" s="486"/>
      <c r="Q17" s="486"/>
      <c r="R17" s="486"/>
      <c r="S17" s="486"/>
      <c r="T17" s="486"/>
      <c r="U17" s="486"/>
      <c r="V17" s="486"/>
      <c r="W17" s="486"/>
      <c r="X17" s="489"/>
      <c r="Y17" s="489"/>
      <c r="Z17" s="489"/>
      <c r="AA17" s="489"/>
      <c r="AB17" s="489"/>
      <c r="AC17" s="489"/>
      <c r="AD17" s="489"/>
      <c r="AE17" s="489"/>
      <c r="AF17" s="489"/>
      <c r="AG17" s="489"/>
      <c r="AH17" s="489"/>
      <c r="AI17" s="62"/>
      <c r="AJ17" s="62"/>
      <c r="AK17" s="62"/>
      <c r="AL17" s="62"/>
      <c r="AM17" s="62"/>
      <c r="AN17" s="62"/>
      <c r="AO17" s="62"/>
    </row>
    <row r="18" spans="1:41" x14ac:dyDescent="0.3">
      <c r="A18" s="462"/>
      <c r="B18" s="479" t="s">
        <v>762</v>
      </c>
      <c r="C18" s="479"/>
      <c r="D18" s="486"/>
      <c r="E18" s="486"/>
      <c r="F18" s="665"/>
      <c r="G18" s="665"/>
      <c r="H18" s="665"/>
      <c r="I18" s="486"/>
      <c r="J18" s="486"/>
      <c r="K18" s="486"/>
      <c r="L18" s="486"/>
      <c r="M18" s="489"/>
      <c r="N18" s="486"/>
      <c r="O18" s="486"/>
      <c r="P18" s="486"/>
      <c r="Q18" s="486"/>
      <c r="R18" s="486"/>
      <c r="S18" s="486"/>
      <c r="T18" s="486"/>
      <c r="U18" s="486"/>
      <c r="V18" s="486"/>
      <c r="W18" s="486"/>
      <c r="X18" s="489"/>
      <c r="Y18" s="489"/>
      <c r="Z18" s="489"/>
      <c r="AA18" s="489"/>
      <c r="AB18" s="489"/>
      <c r="AC18" s="489"/>
      <c r="AD18" s="489"/>
      <c r="AE18" s="489"/>
      <c r="AF18" s="489"/>
      <c r="AG18" s="489"/>
      <c r="AH18" s="489"/>
      <c r="AI18" s="62"/>
      <c r="AJ18" s="62"/>
      <c r="AK18" s="62"/>
      <c r="AL18" s="62"/>
      <c r="AM18" s="62"/>
      <c r="AN18" s="62"/>
      <c r="AO18" s="62"/>
    </row>
    <row r="19" spans="1:41" x14ac:dyDescent="0.3">
      <c r="A19" s="462"/>
      <c r="B19" s="461" t="s">
        <v>544</v>
      </c>
      <c r="C19" s="461"/>
      <c r="D19" s="486"/>
      <c r="E19" s="486"/>
      <c r="F19" s="665"/>
      <c r="G19" s="665"/>
      <c r="H19" s="665"/>
      <c r="I19" s="486"/>
      <c r="J19" s="486"/>
      <c r="K19" s="486"/>
      <c r="L19" s="486"/>
      <c r="M19" s="489"/>
      <c r="N19" s="486"/>
      <c r="O19" s="486"/>
      <c r="P19" s="486"/>
      <c r="Q19" s="486"/>
      <c r="R19" s="486"/>
      <c r="S19" s="486"/>
      <c r="T19" s="486"/>
      <c r="U19" s="486"/>
      <c r="V19" s="486"/>
      <c r="W19" s="486"/>
      <c r="X19" s="489"/>
      <c r="Y19" s="489"/>
      <c r="Z19" s="489"/>
      <c r="AA19" s="489"/>
      <c r="AB19" s="489"/>
      <c r="AC19" s="489"/>
      <c r="AD19" s="489"/>
      <c r="AE19" s="489"/>
      <c r="AF19" s="489"/>
      <c r="AG19" s="489"/>
      <c r="AH19" s="489"/>
      <c r="AI19" s="62"/>
      <c r="AJ19" s="62"/>
      <c r="AK19" s="62"/>
      <c r="AL19" s="62"/>
      <c r="AM19" s="62"/>
      <c r="AN19" s="62"/>
      <c r="AO19" s="62"/>
    </row>
    <row r="20" spans="1:41" x14ac:dyDescent="0.3">
      <c r="A20" s="462"/>
      <c r="B20" s="466" t="s">
        <v>366</v>
      </c>
      <c r="C20" s="466"/>
      <c r="D20" s="486"/>
      <c r="E20" s="486"/>
      <c r="F20" s="665"/>
      <c r="G20" s="665"/>
      <c r="H20" s="665"/>
      <c r="I20" s="486"/>
      <c r="J20" s="486"/>
      <c r="K20" s="486"/>
      <c r="L20" s="486"/>
      <c r="M20" s="489"/>
      <c r="N20" s="486"/>
      <c r="O20" s="486"/>
      <c r="P20" s="486"/>
      <c r="Q20" s="486"/>
      <c r="R20" s="486"/>
      <c r="S20" s="486"/>
      <c r="T20" s="486"/>
      <c r="U20" s="486"/>
      <c r="V20" s="486"/>
      <c r="W20" s="486"/>
      <c r="X20" s="489"/>
      <c r="Y20" s="489"/>
      <c r="Z20" s="489"/>
      <c r="AA20" s="489"/>
      <c r="AB20" s="489"/>
      <c r="AC20" s="489"/>
      <c r="AD20" s="489"/>
      <c r="AE20" s="489"/>
      <c r="AF20" s="489"/>
      <c r="AG20" s="489"/>
      <c r="AH20" s="489"/>
      <c r="AI20" s="62"/>
      <c r="AJ20" s="62"/>
      <c r="AK20" s="62"/>
      <c r="AL20" s="62"/>
      <c r="AM20" s="62"/>
      <c r="AN20" s="62"/>
      <c r="AO20" s="62"/>
    </row>
    <row r="21" spans="1:41" x14ac:dyDescent="0.3">
      <c r="A21" s="462"/>
      <c r="B21" s="461" t="s">
        <v>367</v>
      </c>
      <c r="C21" s="461"/>
      <c r="D21" s="486"/>
      <c r="E21" s="486"/>
      <c r="F21" s="665"/>
      <c r="G21" s="665"/>
      <c r="H21" s="665"/>
      <c r="I21" s="486"/>
      <c r="J21" s="486"/>
      <c r="K21" s="486"/>
      <c r="L21" s="486"/>
      <c r="M21" s="489"/>
      <c r="N21" s="486"/>
      <c r="O21" s="486"/>
      <c r="P21" s="486"/>
      <c r="Q21" s="486"/>
      <c r="R21" s="486"/>
      <c r="S21" s="486"/>
      <c r="T21" s="486"/>
      <c r="U21" s="486"/>
      <c r="V21" s="486"/>
      <c r="W21" s="486"/>
      <c r="X21" s="489"/>
      <c r="Y21" s="489"/>
      <c r="Z21" s="489"/>
      <c r="AA21" s="489"/>
      <c r="AB21" s="489"/>
      <c r="AC21" s="489"/>
      <c r="AD21" s="489"/>
      <c r="AE21" s="489"/>
      <c r="AF21" s="489"/>
      <c r="AG21" s="489"/>
      <c r="AH21" s="489"/>
      <c r="AI21" s="62"/>
      <c r="AJ21" s="62"/>
      <c r="AK21" s="62"/>
      <c r="AL21" s="62"/>
      <c r="AM21" s="62"/>
      <c r="AN21" s="62"/>
      <c r="AO21" s="62"/>
    </row>
    <row r="22" spans="1:41" x14ac:dyDescent="0.3">
      <c r="A22" s="462"/>
      <c r="B22" s="466" t="s">
        <v>540</v>
      </c>
      <c r="C22" s="466"/>
      <c r="D22" s="486"/>
      <c r="E22" s="486"/>
      <c r="F22" s="665"/>
      <c r="G22" s="665"/>
      <c r="H22" s="665"/>
      <c r="I22" s="486"/>
      <c r="J22" s="486"/>
      <c r="K22" s="486"/>
      <c r="L22" s="486"/>
      <c r="M22" s="489"/>
      <c r="N22" s="486"/>
      <c r="O22" s="486"/>
      <c r="P22" s="486"/>
      <c r="Q22" s="486"/>
      <c r="R22" s="486"/>
      <c r="S22" s="486"/>
      <c r="T22" s="486"/>
      <c r="U22" s="486"/>
      <c r="V22" s="486"/>
      <c r="W22" s="486"/>
      <c r="X22" s="489"/>
      <c r="Y22" s="489"/>
      <c r="Z22" s="489"/>
      <c r="AA22" s="489"/>
      <c r="AB22" s="489"/>
      <c r="AC22" s="489"/>
      <c r="AD22" s="489"/>
      <c r="AE22" s="489"/>
      <c r="AF22" s="489"/>
      <c r="AG22" s="489"/>
      <c r="AH22" s="489"/>
      <c r="AI22" s="62"/>
      <c r="AJ22" s="62"/>
      <c r="AK22" s="62"/>
      <c r="AL22" s="62"/>
      <c r="AM22" s="62"/>
      <c r="AN22" s="62"/>
      <c r="AO22" s="62"/>
    </row>
    <row r="23" spans="1:41" x14ac:dyDescent="0.3">
      <c r="A23" s="462"/>
      <c r="B23" s="461"/>
      <c r="C23" s="461"/>
      <c r="D23" s="486"/>
      <c r="E23" s="486"/>
      <c r="F23" s="665"/>
      <c r="G23" s="665"/>
      <c r="H23" s="665"/>
      <c r="I23" s="486"/>
      <c r="J23" s="486"/>
      <c r="K23" s="486"/>
      <c r="L23" s="486"/>
      <c r="M23" s="489"/>
      <c r="N23" s="486"/>
      <c r="O23" s="486"/>
      <c r="P23" s="486"/>
      <c r="Q23" s="486"/>
      <c r="R23" s="486"/>
      <c r="S23" s="486"/>
      <c r="T23" s="486"/>
      <c r="U23" s="486"/>
      <c r="V23" s="486"/>
      <c r="W23" s="486"/>
      <c r="X23" s="489"/>
      <c r="Y23" s="489"/>
      <c r="Z23" s="489"/>
      <c r="AA23" s="489"/>
      <c r="AB23" s="489"/>
      <c r="AC23" s="489"/>
      <c r="AD23" s="489"/>
      <c r="AE23" s="489"/>
      <c r="AF23" s="489"/>
      <c r="AG23" s="489"/>
      <c r="AH23" s="489"/>
      <c r="AI23" s="62"/>
      <c r="AJ23" s="62"/>
      <c r="AK23" s="62"/>
      <c r="AL23" s="62"/>
      <c r="AM23" s="62"/>
      <c r="AN23" s="62"/>
      <c r="AO23" s="62"/>
    </row>
    <row r="24" spans="1:41" x14ac:dyDescent="0.3">
      <c r="A24" s="462"/>
      <c r="B24" s="479" t="s">
        <v>763</v>
      </c>
      <c r="C24" s="479"/>
      <c r="D24" s="486"/>
      <c r="E24" s="486"/>
      <c r="F24" s="665"/>
      <c r="G24" s="665"/>
      <c r="H24" s="665"/>
      <c r="I24" s="486"/>
      <c r="J24" s="486"/>
      <c r="K24" s="486"/>
      <c r="L24" s="486"/>
      <c r="M24" s="489"/>
      <c r="N24" s="486"/>
      <c r="O24" s="486"/>
      <c r="P24" s="486"/>
      <c r="Q24" s="486"/>
      <c r="R24" s="486"/>
      <c r="S24" s="486"/>
      <c r="T24" s="486"/>
      <c r="U24" s="486"/>
      <c r="V24" s="486"/>
      <c r="W24" s="486"/>
      <c r="X24" s="489"/>
      <c r="Y24" s="489"/>
      <c r="Z24" s="489"/>
      <c r="AA24" s="489"/>
      <c r="AB24" s="489"/>
      <c r="AC24" s="489"/>
      <c r="AD24" s="489"/>
      <c r="AE24" s="489"/>
      <c r="AF24" s="489"/>
      <c r="AG24" s="489"/>
      <c r="AH24" s="489"/>
      <c r="AI24" s="62"/>
      <c r="AJ24" s="62"/>
      <c r="AK24" s="62"/>
      <c r="AL24" s="62"/>
      <c r="AM24" s="62"/>
      <c r="AN24" s="62"/>
      <c r="AO24" s="62"/>
    </row>
    <row r="25" spans="1:41" x14ac:dyDescent="0.3">
      <c r="A25" s="462"/>
      <c r="B25" s="461"/>
      <c r="C25" s="461"/>
      <c r="D25" s="486"/>
      <c r="E25" s="486"/>
      <c r="F25" s="665"/>
      <c r="G25" s="665"/>
      <c r="H25" s="665"/>
      <c r="I25" s="486"/>
      <c r="J25" s="486"/>
      <c r="K25" s="486"/>
      <c r="L25" s="486"/>
      <c r="M25" s="489"/>
      <c r="N25" s="486"/>
      <c r="O25" s="486"/>
      <c r="P25" s="486"/>
      <c r="Q25" s="486"/>
      <c r="R25" s="486"/>
      <c r="S25" s="486"/>
      <c r="T25" s="486"/>
      <c r="U25" s="486"/>
      <c r="V25" s="486"/>
      <c r="W25" s="486"/>
      <c r="X25" s="489"/>
      <c r="Y25" s="489"/>
      <c r="Z25" s="489"/>
      <c r="AA25" s="489"/>
      <c r="AB25" s="489"/>
      <c r="AC25" s="489"/>
      <c r="AD25" s="489"/>
      <c r="AE25" s="489"/>
      <c r="AF25" s="489"/>
      <c r="AG25" s="489"/>
      <c r="AH25" s="489"/>
      <c r="AI25" s="62"/>
      <c r="AJ25" s="62"/>
      <c r="AK25" s="62"/>
      <c r="AL25" s="62"/>
      <c r="AM25" s="62"/>
      <c r="AN25" s="62"/>
      <c r="AO25" s="62"/>
    </row>
    <row r="26" spans="1:41" x14ac:dyDescent="0.3">
      <c r="A26" s="462"/>
      <c r="B26" s="461" t="s">
        <v>764</v>
      </c>
      <c r="C26" s="461"/>
      <c r="D26" s="486"/>
      <c r="E26" s="486"/>
      <c r="F26" s="665"/>
      <c r="G26" s="665"/>
      <c r="H26" s="665"/>
      <c r="I26" s="486"/>
      <c r="J26" s="486"/>
      <c r="K26" s="486"/>
      <c r="L26" s="486"/>
      <c r="M26" s="489"/>
      <c r="N26" s="486"/>
      <c r="O26" s="486"/>
      <c r="P26" s="486"/>
      <c r="Q26" s="486"/>
      <c r="R26" s="486"/>
      <c r="S26" s="486"/>
      <c r="T26" s="486"/>
      <c r="U26" s="486"/>
      <c r="V26" s="486"/>
      <c r="W26" s="486"/>
      <c r="X26" s="489"/>
      <c r="Y26" s="489"/>
      <c r="Z26" s="489"/>
      <c r="AA26" s="489"/>
      <c r="AB26" s="489"/>
      <c r="AC26" s="489"/>
      <c r="AD26" s="489"/>
      <c r="AE26" s="489"/>
      <c r="AF26" s="489"/>
      <c r="AG26" s="489"/>
      <c r="AH26" s="489"/>
      <c r="AI26" s="62"/>
      <c r="AJ26" s="62"/>
      <c r="AK26" s="62"/>
      <c r="AL26" s="62"/>
      <c r="AM26" s="62"/>
      <c r="AN26" s="62"/>
      <c r="AO26" s="62"/>
    </row>
    <row r="27" spans="1:41" x14ac:dyDescent="0.3">
      <c r="A27" s="462"/>
      <c r="B27" s="461" t="s">
        <v>765</v>
      </c>
      <c r="C27" s="461"/>
      <c r="D27" s="486"/>
      <c r="E27" s="486"/>
      <c r="F27" s="665"/>
      <c r="G27" s="665"/>
      <c r="H27" s="665"/>
      <c r="I27" s="486"/>
      <c r="J27" s="486"/>
      <c r="K27" s="486"/>
      <c r="L27" s="486"/>
      <c r="M27" s="489"/>
      <c r="N27" s="486"/>
      <c r="O27" s="486"/>
      <c r="P27" s="486"/>
      <c r="Q27" s="486"/>
      <c r="R27" s="486"/>
      <c r="S27" s="486"/>
      <c r="T27" s="486"/>
      <c r="U27" s="486"/>
      <c r="V27" s="486"/>
      <c r="W27" s="486"/>
      <c r="X27" s="489"/>
      <c r="Y27" s="489"/>
      <c r="Z27" s="489"/>
      <c r="AA27" s="489"/>
      <c r="AB27" s="489"/>
      <c r="AC27" s="489"/>
      <c r="AD27" s="489"/>
      <c r="AE27" s="489"/>
      <c r="AF27" s="489"/>
      <c r="AG27" s="489"/>
      <c r="AH27" s="489"/>
      <c r="AI27" s="62"/>
      <c r="AJ27" s="62"/>
      <c r="AK27" s="62"/>
      <c r="AL27" s="62"/>
      <c r="AM27" s="62"/>
      <c r="AN27" s="62"/>
      <c r="AO27" s="62"/>
    </row>
    <row r="28" spans="1:41" x14ac:dyDescent="0.3">
      <c r="A28" s="462"/>
      <c r="B28" s="461" t="s">
        <v>766</v>
      </c>
      <c r="C28" s="461"/>
      <c r="D28" s="486"/>
      <c r="E28" s="486"/>
      <c r="F28" s="665"/>
      <c r="G28" s="665"/>
      <c r="H28" s="665"/>
      <c r="I28" s="486"/>
      <c r="J28" s="486"/>
      <c r="K28" s="486"/>
      <c r="L28" s="486"/>
      <c r="M28" s="489"/>
      <c r="N28" s="486"/>
      <c r="O28" s="486"/>
      <c r="P28" s="486"/>
      <c r="Q28" s="486"/>
      <c r="R28" s="486"/>
      <c r="S28" s="486"/>
      <c r="T28" s="486"/>
      <c r="U28" s="486"/>
      <c r="V28" s="486"/>
      <c r="W28" s="486"/>
      <c r="X28" s="489"/>
      <c r="Y28" s="489"/>
      <c r="Z28" s="489"/>
      <c r="AA28" s="489"/>
      <c r="AB28" s="489"/>
      <c r="AC28" s="489"/>
      <c r="AD28" s="489"/>
      <c r="AE28" s="489"/>
      <c r="AF28" s="489"/>
      <c r="AG28" s="489"/>
      <c r="AH28" s="489"/>
      <c r="AI28" s="62"/>
      <c r="AJ28" s="62"/>
      <c r="AK28" s="62"/>
      <c r="AL28" s="62"/>
      <c r="AM28" s="62"/>
      <c r="AN28" s="62"/>
      <c r="AO28" s="62"/>
    </row>
    <row r="29" spans="1:41" x14ac:dyDescent="0.3">
      <c r="A29" s="462"/>
      <c r="B29" s="461"/>
      <c r="C29" s="461"/>
      <c r="D29" s="486"/>
      <c r="E29" s="486"/>
      <c r="F29" s="665"/>
      <c r="G29" s="665"/>
      <c r="H29" s="665"/>
      <c r="I29" s="486"/>
      <c r="J29" s="486"/>
      <c r="K29" s="486"/>
      <c r="L29" s="486"/>
      <c r="M29" s="489"/>
      <c r="N29" s="486"/>
      <c r="O29" s="486"/>
      <c r="P29" s="486"/>
      <c r="Q29" s="486"/>
      <c r="R29" s="486"/>
      <c r="S29" s="486"/>
      <c r="T29" s="486"/>
      <c r="U29" s="486"/>
      <c r="V29" s="486"/>
      <c r="W29" s="486"/>
      <c r="X29" s="489"/>
      <c r="Y29" s="489"/>
      <c r="Z29" s="489"/>
      <c r="AA29" s="489"/>
      <c r="AB29" s="489"/>
      <c r="AC29" s="489"/>
      <c r="AD29" s="489"/>
      <c r="AE29" s="489"/>
      <c r="AF29" s="489"/>
      <c r="AG29" s="489"/>
      <c r="AH29" s="489"/>
      <c r="AI29" s="62"/>
      <c r="AJ29" s="62"/>
      <c r="AK29" s="62"/>
      <c r="AL29" s="62"/>
      <c r="AM29" s="62"/>
      <c r="AN29" s="62"/>
      <c r="AO29" s="62"/>
    </row>
    <row r="30" spans="1:41" x14ac:dyDescent="0.3">
      <c r="A30" s="462"/>
      <c r="B30" s="479" t="s">
        <v>767</v>
      </c>
      <c r="C30" s="479"/>
      <c r="D30" s="486"/>
      <c r="E30" s="486"/>
      <c r="F30" s="665"/>
      <c r="G30" s="665"/>
      <c r="H30" s="665"/>
      <c r="I30" s="486"/>
      <c r="J30" s="486"/>
      <c r="K30" s="486"/>
      <c r="L30" s="486"/>
      <c r="M30" s="489"/>
      <c r="N30" s="486"/>
      <c r="O30" s="486"/>
      <c r="P30" s="486"/>
      <c r="Q30" s="486"/>
      <c r="R30" s="486"/>
      <c r="S30" s="486"/>
      <c r="T30" s="486"/>
      <c r="U30" s="486"/>
      <c r="V30" s="486"/>
      <c r="W30" s="486"/>
      <c r="X30" s="489"/>
      <c r="Y30" s="489"/>
      <c r="Z30" s="489"/>
      <c r="AA30" s="489"/>
      <c r="AB30" s="489"/>
      <c r="AC30" s="489"/>
      <c r="AD30" s="489"/>
      <c r="AE30" s="489"/>
      <c r="AF30" s="489"/>
      <c r="AG30" s="489"/>
      <c r="AH30" s="489"/>
      <c r="AI30" s="62"/>
      <c r="AJ30" s="62"/>
      <c r="AK30" s="62"/>
      <c r="AL30" s="62"/>
      <c r="AM30" s="62"/>
      <c r="AN30" s="62"/>
      <c r="AO30" s="62"/>
    </row>
    <row r="31" spans="1:41" x14ac:dyDescent="0.3">
      <c r="A31" s="462"/>
      <c r="B31" s="461"/>
      <c r="C31" s="461"/>
      <c r="D31" s="486"/>
      <c r="E31" s="486"/>
      <c r="F31" s="627"/>
      <c r="G31" s="627"/>
      <c r="H31" s="627"/>
      <c r="I31" s="486"/>
      <c r="J31" s="486"/>
      <c r="K31" s="486"/>
      <c r="L31" s="486"/>
      <c r="M31" s="489"/>
      <c r="N31" s="486"/>
      <c r="O31" s="486"/>
      <c r="P31" s="486"/>
      <c r="Q31" s="486"/>
      <c r="R31" s="486"/>
      <c r="S31" s="486"/>
      <c r="T31" s="486"/>
      <c r="U31" s="486"/>
      <c r="V31" s="486"/>
      <c r="W31" s="486"/>
      <c r="X31" s="489"/>
      <c r="Y31" s="489"/>
      <c r="Z31" s="489"/>
      <c r="AA31" s="489"/>
      <c r="AB31" s="489"/>
      <c r="AC31" s="489"/>
      <c r="AD31" s="489"/>
      <c r="AE31" s="489"/>
      <c r="AF31" s="489"/>
      <c r="AG31" s="489"/>
      <c r="AH31" s="489"/>
      <c r="AI31" s="62"/>
      <c r="AJ31" s="62"/>
      <c r="AK31" s="62"/>
      <c r="AL31" s="62"/>
      <c r="AM31" s="62"/>
      <c r="AN31" s="62"/>
      <c r="AO31" s="62"/>
    </row>
    <row r="32" spans="1:41" x14ac:dyDescent="0.3">
      <c r="A32" s="462"/>
      <c r="B32" s="461" t="s">
        <v>768</v>
      </c>
      <c r="C32" s="461"/>
      <c r="D32" s="461">
        <f>'6a. OE_OR-i'!J32</f>
        <v>6843089.2800000012</v>
      </c>
      <c r="E32" s="171">
        <f>$D32*'6c. OE_OR-sfaf'!E32/'6c. OE_OR-sfaf'!$D32</f>
        <v>2737235.7120000008</v>
      </c>
      <c r="F32" s="627"/>
      <c r="G32" s="627"/>
      <c r="H32" s="627"/>
      <c r="I32" s="171">
        <f>$D32*'6c. OE_OR-sfaf'!I32/'6c. OE_OR-sfaf'!$D32</f>
        <v>4105853.5680000004</v>
      </c>
      <c r="J32" s="171" t="s">
        <v>546</v>
      </c>
      <c r="K32" s="171"/>
      <c r="L32" s="518" t="s">
        <v>546</v>
      </c>
      <c r="M32" s="518" t="s">
        <v>546</v>
      </c>
      <c r="N32" s="171" t="s">
        <v>546</v>
      </c>
      <c r="O32" s="171" t="s">
        <v>546</v>
      </c>
      <c r="P32" s="171" t="s">
        <v>546</v>
      </c>
      <c r="Q32" s="171" t="s">
        <v>546</v>
      </c>
      <c r="R32" s="171" t="s">
        <v>546</v>
      </c>
      <c r="S32" s="171" t="s">
        <v>546</v>
      </c>
      <c r="T32" s="171" t="s">
        <v>546</v>
      </c>
      <c r="U32" s="171" t="s">
        <v>546</v>
      </c>
      <c r="V32" s="171" t="s">
        <v>546</v>
      </c>
      <c r="W32" s="171" t="s">
        <v>546</v>
      </c>
      <c r="X32" s="518" t="s">
        <v>546</v>
      </c>
      <c r="Y32" s="171" t="s">
        <v>546</v>
      </c>
      <c r="Z32" s="171" t="s">
        <v>546</v>
      </c>
      <c r="AA32" s="518" t="s">
        <v>546</v>
      </c>
      <c r="AB32" s="518" t="s">
        <v>546</v>
      </c>
      <c r="AC32" s="518" t="s">
        <v>546</v>
      </c>
      <c r="AD32" s="518" t="s">
        <v>546</v>
      </c>
      <c r="AE32" s="518" t="s">
        <v>546</v>
      </c>
      <c r="AF32" s="518" t="s">
        <v>546</v>
      </c>
      <c r="AG32" s="518" t="s">
        <v>546</v>
      </c>
      <c r="AH32" s="518" t="s">
        <v>546</v>
      </c>
      <c r="AI32" s="62"/>
      <c r="AJ32" s="62">
        <f>'6a. OE_OR-i'!I32</f>
        <v>6843089.2800000012</v>
      </c>
      <c r="AK32" s="62">
        <f>SUM(E32,I32:K32,L32,N32:W32,Y32:Z32,AA32:AA32,AC32:AE32,AG32:AH32)</f>
        <v>6843089.2800000012</v>
      </c>
      <c r="AL32" s="62">
        <f>AJ32-AK32</f>
        <v>0</v>
      </c>
      <c r="AM32" s="62"/>
      <c r="AN32" s="62"/>
      <c r="AO32" s="62"/>
    </row>
    <row r="33" spans="1:41" x14ac:dyDescent="0.3">
      <c r="A33" s="462"/>
      <c r="B33" s="461"/>
      <c r="C33" s="461"/>
      <c r="D33" s="486"/>
      <c r="E33" s="486"/>
      <c r="F33" s="665"/>
      <c r="G33" s="665"/>
      <c r="H33" s="665"/>
      <c r="I33" s="486"/>
      <c r="J33" s="486"/>
      <c r="K33" s="486"/>
      <c r="L33" s="486"/>
      <c r="M33" s="489"/>
      <c r="N33" s="486"/>
      <c r="O33" s="486"/>
      <c r="P33" s="486"/>
      <c r="Q33" s="486"/>
      <c r="R33" s="486"/>
      <c r="S33" s="486"/>
      <c r="T33" s="486"/>
      <c r="U33" s="486"/>
      <c r="V33" s="486"/>
      <c r="W33" s="486"/>
      <c r="X33" s="489"/>
      <c r="Y33" s="489"/>
      <c r="Z33" s="489"/>
      <c r="AA33" s="489"/>
      <c r="AB33" s="489"/>
      <c r="AC33" s="489"/>
      <c r="AD33" s="489"/>
      <c r="AE33" s="489"/>
      <c r="AF33" s="489"/>
      <c r="AG33" s="489"/>
      <c r="AH33" s="489"/>
      <c r="AI33" s="62"/>
      <c r="AJ33" s="62"/>
      <c r="AK33" s="62"/>
      <c r="AL33" s="62"/>
      <c r="AM33" s="62"/>
      <c r="AN33" s="62"/>
      <c r="AO33" s="62"/>
    </row>
    <row r="34" spans="1:41" x14ac:dyDescent="0.3">
      <c r="A34" s="462"/>
      <c r="B34" s="479" t="s">
        <v>769</v>
      </c>
      <c r="C34" s="479"/>
      <c r="D34" s="468">
        <f t="shared" ref="D34:AA34" si="0">SUM(D32:D33)</f>
        <v>6843089.2800000012</v>
      </c>
      <c r="E34" s="468">
        <f t="shared" si="0"/>
        <v>2737235.7120000008</v>
      </c>
      <c r="F34" s="630"/>
      <c r="G34" s="630"/>
      <c r="H34" s="630"/>
      <c r="I34" s="468">
        <f t="shared" si="0"/>
        <v>4105853.5680000004</v>
      </c>
      <c r="J34" s="468">
        <f t="shared" si="0"/>
        <v>0</v>
      </c>
      <c r="K34" s="468"/>
      <c r="L34" s="468">
        <f t="shared" si="0"/>
        <v>0</v>
      </c>
      <c r="M34" s="468">
        <f t="shared" si="0"/>
        <v>0</v>
      </c>
      <c r="N34" s="468">
        <f t="shared" si="0"/>
        <v>0</v>
      </c>
      <c r="O34" s="468">
        <f t="shared" si="0"/>
        <v>0</v>
      </c>
      <c r="P34" s="468">
        <f t="shared" si="0"/>
        <v>0</v>
      </c>
      <c r="Q34" s="468">
        <f t="shared" si="0"/>
        <v>0</v>
      </c>
      <c r="R34" s="468">
        <f t="shared" si="0"/>
        <v>0</v>
      </c>
      <c r="S34" s="468">
        <f t="shared" si="0"/>
        <v>0</v>
      </c>
      <c r="T34" s="468">
        <f t="shared" si="0"/>
        <v>0</v>
      </c>
      <c r="U34" s="468">
        <f t="shared" si="0"/>
        <v>0</v>
      </c>
      <c r="V34" s="468">
        <f t="shared" si="0"/>
        <v>0</v>
      </c>
      <c r="W34" s="468">
        <f t="shared" si="0"/>
        <v>0</v>
      </c>
      <c r="X34" s="468">
        <f t="shared" si="0"/>
        <v>0</v>
      </c>
      <c r="Y34" s="468">
        <f>SUM(Y32:Y33)</f>
        <v>0</v>
      </c>
      <c r="Z34" s="468">
        <f>SUM(Z32:Z33)</f>
        <v>0</v>
      </c>
      <c r="AA34" s="468">
        <f t="shared" si="0"/>
        <v>0</v>
      </c>
      <c r="AB34" s="468">
        <f t="shared" ref="AB34:AH34" si="1">SUM(AB32:AB33)</f>
        <v>0</v>
      </c>
      <c r="AC34" s="468">
        <f t="shared" si="1"/>
        <v>0</v>
      </c>
      <c r="AD34" s="468">
        <f t="shared" si="1"/>
        <v>0</v>
      </c>
      <c r="AE34" s="468">
        <f t="shared" si="1"/>
        <v>0</v>
      </c>
      <c r="AF34" s="468">
        <f t="shared" si="1"/>
        <v>0</v>
      </c>
      <c r="AG34" s="468">
        <f t="shared" si="1"/>
        <v>0</v>
      </c>
      <c r="AH34" s="468">
        <f t="shared" si="1"/>
        <v>0</v>
      </c>
      <c r="AI34" s="62"/>
      <c r="AJ34" s="62">
        <f>'6a. OE_OR-i'!I34</f>
        <v>6843089.2800000012</v>
      </c>
      <c r="AK34" s="62">
        <f>SUM(E34,I34:K34,L34,N34:W34,Y34:Z34,AA34:AA34,AC34:AE34,AG34:AH34)</f>
        <v>6843089.2800000012</v>
      </c>
      <c r="AL34" s="62">
        <f>AJ34-AK34</f>
        <v>0</v>
      </c>
      <c r="AM34" s="62"/>
      <c r="AN34" s="62"/>
      <c r="AO34" s="62"/>
    </row>
    <row r="35" spans="1:41" x14ac:dyDescent="0.3">
      <c r="A35" s="462"/>
      <c r="B35" s="461"/>
      <c r="C35" s="461"/>
      <c r="D35" s="486"/>
      <c r="E35" s="486"/>
      <c r="F35" s="665"/>
      <c r="G35" s="665"/>
      <c r="H35" s="665"/>
      <c r="I35" s="486"/>
      <c r="J35" s="486"/>
      <c r="K35" s="486"/>
      <c r="L35" s="486"/>
      <c r="M35" s="489"/>
      <c r="N35" s="486"/>
      <c r="O35" s="486"/>
      <c r="P35" s="486"/>
      <c r="Q35" s="486"/>
      <c r="R35" s="486"/>
      <c r="S35" s="486"/>
      <c r="T35" s="486"/>
      <c r="U35" s="486"/>
      <c r="V35" s="486"/>
      <c r="W35" s="486"/>
      <c r="X35" s="489"/>
      <c r="Y35" s="489"/>
      <c r="Z35" s="489"/>
      <c r="AA35" s="489"/>
      <c r="AB35" s="489"/>
      <c r="AC35" s="489"/>
      <c r="AD35" s="489"/>
      <c r="AE35" s="489"/>
      <c r="AF35" s="489"/>
      <c r="AG35" s="489"/>
      <c r="AH35" s="489"/>
      <c r="AI35" s="62"/>
      <c r="AJ35" s="62"/>
      <c r="AK35" s="62"/>
      <c r="AL35" s="62"/>
      <c r="AM35" s="62"/>
      <c r="AN35" s="62"/>
      <c r="AO35" s="62"/>
    </row>
    <row r="36" spans="1:41" x14ac:dyDescent="0.3">
      <c r="A36" s="460" t="s">
        <v>770</v>
      </c>
      <c r="B36" s="461"/>
      <c r="C36" s="461"/>
      <c r="D36" s="468">
        <f t="shared" ref="D36:AA36" si="2">D28+D27+D26+D24+D16+D34</f>
        <v>6843089.2800000012</v>
      </c>
      <c r="E36" s="468">
        <f t="shared" si="2"/>
        <v>2737235.7120000008</v>
      </c>
      <c r="F36" s="630"/>
      <c r="G36" s="630"/>
      <c r="H36" s="630"/>
      <c r="I36" s="468">
        <f t="shared" si="2"/>
        <v>4105853.5680000004</v>
      </c>
      <c r="J36" s="468">
        <f t="shared" si="2"/>
        <v>0</v>
      </c>
      <c r="K36" s="468"/>
      <c r="L36" s="468">
        <f t="shared" si="2"/>
        <v>0</v>
      </c>
      <c r="M36" s="468">
        <f t="shared" si="2"/>
        <v>0</v>
      </c>
      <c r="N36" s="468">
        <f t="shared" si="2"/>
        <v>0</v>
      </c>
      <c r="O36" s="468">
        <f t="shared" si="2"/>
        <v>0</v>
      </c>
      <c r="P36" s="468">
        <f t="shared" si="2"/>
        <v>0</v>
      </c>
      <c r="Q36" s="468">
        <f t="shared" si="2"/>
        <v>0</v>
      </c>
      <c r="R36" s="468">
        <f t="shared" si="2"/>
        <v>0</v>
      </c>
      <c r="S36" s="468">
        <f t="shared" si="2"/>
        <v>0</v>
      </c>
      <c r="T36" s="468">
        <f t="shared" si="2"/>
        <v>0</v>
      </c>
      <c r="U36" s="468">
        <f t="shared" si="2"/>
        <v>0</v>
      </c>
      <c r="V36" s="468">
        <f t="shared" si="2"/>
        <v>0</v>
      </c>
      <c r="W36" s="468">
        <f>W28+W27+W26+W24+W16+W34</f>
        <v>0</v>
      </c>
      <c r="X36" s="468">
        <f t="shared" si="2"/>
        <v>0</v>
      </c>
      <c r="Y36" s="468">
        <f t="shared" si="2"/>
        <v>0</v>
      </c>
      <c r="Z36" s="468">
        <f t="shared" si="2"/>
        <v>0</v>
      </c>
      <c r="AA36" s="468">
        <f t="shared" si="2"/>
        <v>0</v>
      </c>
      <c r="AB36" s="468">
        <f t="shared" ref="AB36:AH36" si="3">AB28+AB27+AB26+AB24+AB16+AB34</f>
        <v>0</v>
      </c>
      <c r="AC36" s="468">
        <f t="shared" si="3"/>
        <v>0</v>
      </c>
      <c r="AD36" s="468">
        <f t="shared" si="3"/>
        <v>0</v>
      </c>
      <c r="AE36" s="468">
        <f t="shared" si="3"/>
        <v>0</v>
      </c>
      <c r="AF36" s="468">
        <f t="shared" si="3"/>
        <v>0</v>
      </c>
      <c r="AG36" s="468">
        <f t="shared" si="3"/>
        <v>0</v>
      </c>
      <c r="AH36" s="468">
        <f t="shared" si="3"/>
        <v>0</v>
      </c>
      <c r="AI36" s="62"/>
      <c r="AJ36" s="62">
        <f>'6a. OE_OR-i'!I36</f>
        <v>6843089.2800000012</v>
      </c>
      <c r="AK36" s="62">
        <f>SUM(E36,I36:K36,L36,N36:W36,Y36:Z36,AA36:AA36,AC36:AE36,AG36:AH36)</f>
        <v>6843089.2800000012</v>
      </c>
      <c r="AL36" s="62">
        <f>AJ36-AK36</f>
        <v>0</v>
      </c>
      <c r="AM36" s="62"/>
      <c r="AN36" s="62"/>
      <c r="AO36" s="62"/>
    </row>
    <row r="37" spans="1:41" x14ac:dyDescent="0.3">
      <c r="A37" s="462"/>
      <c r="B37" s="461"/>
      <c r="C37" s="461"/>
      <c r="D37" s="486"/>
      <c r="E37" s="486"/>
      <c r="F37" s="665"/>
      <c r="G37" s="665"/>
      <c r="H37" s="665"/>
      <c r="I37" s="486"/>
      <c r="J37" s="486"/>
      <c r="K37" s="486"/>
      <c r="L37" s="486"/>
      <c r="M37" s="489"/>
      <c r="N37" s="486"/>
      <c r="O37" s="486"/>
      <c r="P37" s="486"/>
      <c r="Q37" s="486"/>
      <c r="R37" s="486"/>
      <c r="S37" s="486"/>
      <c r="T37" s="486"/>
      <c r="U37" s="486"/>
      <c r="V37" s="486"/>
      <c r="W37" s="486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62"/>
      <c r="AJ37" s="62"/>
      <c r="AK37" s="62"/>
      <c r="AL37" s="62"/>
      <c r="AM37" s="62"/>
      <c r="AN37" s="62"/>
      <c r="AO37" s="62"/>
    </row>
    <row r="38" spans="1:41" x14ac:dyDescent="0.3">
      <c r="A38" s="460" t="s">
        <v>771</v>
      </c>
      <c r="B38" s="461"/>
      <c r="C38" s="461"/>
      <c r="D38" s="486"/>
      <c r="E38" s="486"/>
      <c r="F38" s="665"/>
      <c r="G38" s="665"/>
      <c r="H38" s="665"/>
      <c r="I38" s="486"/>
      <c r="J38" s="486"/>
      <c r="K38" s="486"/>
      <c r="L38" s="486"/>
      <c r="M38" s="489"/>
      <c r="N38" s="486"/>
      <c r="O38" s="486"/>
      <c r="P38" s="486"/>
      <c r="Q38" s="486"/>
      <c r="R38" s="486"/>
      <c r="S38" s="486"/>
      <c r="T38" s="486"/>
      <c r="U38" s="486"/>
      <c r="V38" s="486"/>
      <c r="W38" s="486"/>
      <c r="X38" s="489"/>
      <c r="Y38" s="489"/>
      <c r="Z38" s="489"/>
      <c r="AA38" s="489"/>
      <c r="AB38" s="489"/>
      <c r="AC38" s="489"/>
      <c r="AD38" s="489"/>
      <c r="AE38" s="489"/>
      <c r="AF38" s="489"/>
      <c r="AG38" s="489"/>
      <c r="AH38" s="489"/>
      <c r="AI38" s="62"/>
      <c r="AJ38" s="62"/>
      <c r="AK38" s="62"/>
      <c r="AL38" s="62"/>
      <c r="AM38" s="62"/>
      <c r="AN38" s="62"/>
      <c r="AO38" s="62"/>
    </row>
    <row r="39" spans="1:41" x14ac:dyDescent="0.3">
      <c r="A39" s="462"/>
      <c r="B39" s="461"/>
      <c r="C39" s="461"/>
      <c r="D39" s="486"/>
      <c r="E39" s="486"/>
      <c r="F39" s="665"/>
      <c r="G39" s="665"/>
      <c r="H39" s="665"/>
      <c r="I39" s="486"/>
      <c r="J39" s="486"/>
      <c r="K39" s="486"/>
      <c r="L39" s="486"/>
      <c r="M39" s="489"/>
      <c r="N39" s="486"/>
      <c r="O39" s="486"/>
      <c r="P39" s="486"/>
      <c r="Q39" s="486"/>
      <c r="R39" s="486"/>
      <c r="S39" s="486"/>
      <c r="T39" s="486"/>
      <c r="U39" s="486"/>
      <c r="V39" s="486"/>
      <c r="W39" s="486"/>
      <c r="X39" s="489"/>
      <c r="Y39" s="489"/>
      <c r="Z39" s="489"/>
      <c r="AA39" s="489"/>
      <c r="AB39" s="489"/>
      <c r="AC39" s="489"/>
      <c r="AD39" s="489"/>
      <c r="AE39" s="489"/>
      <c r="AF39" s="489"/>
      <c r="AG39" s="489"/>
      <c r="AH39" s="489"/>
      <c r="AI39" s="62"/>
      <c r="AJ39" s="62"/>
      <c r="AK39" s="62"/>
      <c r="AL39" s="62"/>
      <c r="AM39" s="62"/>
      <c r="AN39" s="62"/>
      <c r="AO39" s="62"/>
    </row>
    <row r="40" spans="1:41" x14ac:dyDescent="0.3">
      <c r="A40" s="464" t="s">
        <v>772</v>
      </c>
      <c r="B40" s="62"/>
      <c r="C40" s="62"/>
      <c r="D40" s="486"/>
      <c r="E40" s="486"/>
      <c r="F40" s="665"/>
      <c r="G40" s="665"/>
      <c r="H40" s="665"/>
      <c r="I40" s="486"/>
      <c r="J40" s="486"/>
      <c r="K40" s="486"/>
      <c r="L40" s="486"/>
      <c r="M40" s="489"/>
      <c r="N40" s="486"/>
      <c r="O40" s="486"/>
      <c r="P40" s="486"/>
      <c r="Q40" s="486"/>
      <c r="R40" s="486"/>
      <c r="S40" s="486"/>
      <c r="T40" s="486"/>
      <c r="U40" s="486"/>
      <c r="V40" s="486"/>
      <c r="W40" s="486"/>
      <c r="X40" s="489"/>
      <c r="Y40" s="489"/>
      <c r="Z40" s="489"/>
      <c r="AA40" s="489"/>
      <c r="AB40" s="489"/>
      <c r="AC40" s="489"/>
      <c r="AD40" s="489"/>
      <c r="AE40" s="489"/>
      <c r="AF40" s="489"/>
      <c r="AG40" s="489"/>
      <c r="AH40" s="489"/>
      <c r="AI40" s="62"/>
      <c r="AJ40" s="62"/>
      <c r="AK40" s="62"/>
      <c r="AL40" s="62"/>
      <c r="AM40" s="62"/>
      <c r="AN40" s="62"/>
      <c r="AO40" s="62"/>
    </row>
    <row r="41" spans="1:41" x14ac:dyDescent="0.3">
      <c r="A41" s="462"/>
      <c r="B41" s="461" t="s">
        <v>773</v>
      </c>
      <c r="C41" s="461"/>
      <c r="D41" s="486"/>
      <c r="E41" s="486"/>
      <c r="F41" s="665"/>
      <c r="G41" s="665"/>
      <c r="H41" s="665"/>
      <c r="I41" s="486"/>
      <c r="J41" s="486"/>
      <c r="K41" s="486"/>
      <c r="L41" s="486"/>
      <c r="M41" s="489"/>
      <c r="N41" s="486"/>
      <c r="O41" s="486"/>
      <c r="P41" s="486"/>
      <c r="Q41" s="486"/>
      <c r="R41" s="486"/>
      <c r="S41" s="486"/>
      <c r="T41" s="486"/>
      <c r="U41" s="486"/>
      <c r="V41" s="486"/>
      <c r="W41" s="486"/>
      <c r="X41" s="489"/>
      <c r="Y41" s="489"/>
      <c r="Z41" s="489"/>
      <c r="AA41" s="489"/>
      <c r="AB41" s="489"/>
      <c r="AC41" s="489"/>
      <c r="AD41" s="489"/>
      <c r="AE41" s="489"/>
      <c r="AF41" s="489"/>
      <c r="AG41" s="489"/>
      <c r="AH41" s="489"/>
      <c r="AI41" s="62"/>
      <c r="AJ41" s="62"/>
      <c r="AK41" s="62"/>
      <c r="AL41" s="62"/>
      <c r="AM41" s="62"/>
      <c r="AN41" s="62"/>
      <c r="AO41" s="62"/>
    </row>
    <row r="42" spans="1:41" x14ac:dyDescent="0.3">
      <c r="A42" s="462"/>
      <c r="B42" s="461" t="s">
        <v>774</v>
      </c>
      <c r="C42" s="461"/>
      <c r="D42" s="486"/>
      <c r="E42" s="486"/>
      <c r="F42" s="665"/>
      <c r="G42" s="665"/>
      <c r="H42" s="665"/>
      <c r="I42" s="486"/>
      <c r="J42" s="486"/>
      <c r="K42" s="486"/>
      <c r="L42" s="486"/>
      <c r="M42" s="489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9"/>
      <c r="Y42" s="489"/>
      <c r="Z42" s="489"/>
      <c r="AA42" s="489"/>
      <c r="AB42" s="489"/>
      <c r="AC42" s="489"/>
      <c r="AD42" s="489"/>
      <c r="AE42" s="489"/>
      <c r="AF42" s="489"/>
      <c r="AG42" s="489"/>
      <c r="AH42" s="489"/>
      <c r="AI42" s="62"/>
      <c r="AJ42" s="62"/>
      <c r="AK42" s="62"/>
      <c r="AL42" s="62"/>
      <c r="AM42" s="62"/>
      <c r="AN42" s="62"/>
      <c r="AO42" s="62"/>
    </row>
    <row r="43" spans="1:41" x14ac:dyDescent="0.3">
      <c r="A43" s="462"/>
      <c r="B43" s="461" t="s">
        <v>775</v>
      </c>
      <c r="C43" s="461"/>
      <c r="D43" s="486"/>
      <c r="E43" s="486"/>
      <c r="F43" s="665"/>
      <c r="G43" s="665"/>
      <c r="H43" s="665"/>
      <c r="I43" s="486"/>
      <c r="J43" s="486"/>
      <c r="K43" s="486"/>
      <c r="L43" s="486"/>
      <c r="M43" s="489"/>
      <c r="N43" s="486"/>
      <c r="O43" s="486"/>
      <c r="P43" s="486"/>
      <c r="Q43" s="486"/>
      <c r="R43" s="486"/>
      <c r="S43" s="486"/>
      <c r="T43" s="486"/>
      <c r="U43" s="486"/>
      <c r="V43" s="486"/>
      <c r="W43" s="486"/>
      <c r="X43" s="489"/>
      <c r="Y43" s="489"/>
      <c r="Z43" s="489"/>
      <c r="AA43" s="489"/>
      <c r="AB43" s="489"/>
      <c r="AC43" s="489"/>
      <c r="AD43" s="489"/>
      <c r="AE43" s="489"/>
      <c r="AF43" s="489"/>
      <c r="AG43" s="489"/>
      <c r="AH43" s="489"/>
      <c r="AI43" s="62"/>
      <c r="AJ43" s="62"/>
      <c r="AK43" s="62"/>
      <c r="AL43" s="62"/>
      <c r="AM43" s="62"/>
      <c r="AN43" s="62"/>
      <c r="AO43" s="62"/>
    </row>
    <row r="44" spans="1:41" x14ac:dyDescent="0.3">
      <c r="A44" s="462"/>
      <c r="B44" s="461"/>
      <c r="C44" s="461"/>
      <c r="D44" s="486"/>
      <c r="E44" s="486"/>
      <c r="F44" s="665"/>
      <c r="G44" s="665"/>
      <c r="H44" s="665"/>
      <c r="I44" s="486"/>
      <c r="J44" s="486"/>
      <c r="K44" s="486"/>
      <c r="L44" s="486"/>
      <c r="M44" s="489"/>
      <c r="N44" s="486"/>
      <c r="O44" s="486"/>
      <c r="P44" s="486"/>
      <c r="Q44" s="486"/>
      <c r="R44" s="486"/>
      <c r="S44" s="486"/>
      <c r="T44" s="486"/>
      <c r="U44" s="486"/>
      <c r="V44" s="486"/>
      <c r="W44" s="486"/>
      <c r="X44" s="489"/>
      <c r="Y44" s="489"/>
      <c r="Z44" s="489"/>
      <c r="AA44" s="489"/>
      <c r="AB44" s="489"/>
      <c r="AC44" s="489"/>
      <c r="AD44" s="489"/>
      <c r="AE44" s="489"/>
      <c r="AF44" s="489"/>
      <c r="AG44" s="489"/>
      <c r="AH44" s="489"/>
      <c r="AI44" s="62"/>
      <c r="AJ44" s="62"/>
      <c r="AK44" s="62"/>
      <c r="AL44" s="62"/>
      <c r="AM44" s="62"/>
      <c r="AN44" s="62"/>
      <c r="AO44" s="62"/>
    </row>
    <row r="45" spans="1:41" x14ac:dyDescent="0.3">
      <c r="A45" s="460" t="s">
        <v>776</v>
      </c>
      <c r="B45" s="461"/>
      <c r="C45" s="461"/>
      <c r="D45" s="486"/>
      <c r="E45" s="486"/>
      <c r="F45" s="665"/>
      <c r="G45" s="665"/>
      <c r="H45" s="665"/>
      <c r="I45" s="486"/>
      <c r="J45" s="486"/>
      <c r="K45" s="486"/>
      <c r="L45" s="486"/>
      <c r="M45" s="489"/>
      <c r="N45" s="486"/>
      <c r="O45" s="486"/>
      <c r="P45" s="486"/>
      <c r="Q45" s="486"/>
      <c r="R45" s="486"/>
      <c r="S45" s="486"/>
      <c r="T45" s="486"/>
      <c r="U45" s="486"/>
      <c r="V45" s="486"/>
      <c r="W45" s="486"/>
      <c r="X45" s="489"/>
      <c r="Y45" s="489"/>
      <c r="Z45" s="489"/>
      <c r="AA45" s="489"/>
      <c r="AB45" s="489"/>
      <c r="AC45" s="489"/>
      <c r="AD45" s="489"/>
      <c r="AE45" s="489"/>
      <c r="AF45" s="489"/>
      <c r="AG45" s="489"/>
      <c r="AH45" s="489"/>
      <c r="AI45" s="62"/>
      <c r="AJ45" s="62"/>
      <c r="AK45" s="62"/>
      <c r="AL45" s="62"/>
      <c r="AM45" s="62"/>
      <c r="AN45" s="62"/>
      <c r="AO45" s="62"/>
    </row>
    <row r="46" spans="1:41" x14ac:dyDescent="0.3">
      <c r="A46" s="462"/>
      <c r="B46" s="461"/>
      <c r="C46" s="461"/>
      <c r="D46" s="486"/>
      <c r="E46" s="486"/>
      <c r="F46" s="665"/>
      <c r="G46" s="665"/>
      <c r="H46" s="665"/>
      <c r="I46" s="486"/>
      <c r="J46" s="486"/>
      <c r="K46" s="486"/>
      <c r="L46" s="486"/>
      <c r="M46" s="489"/>
      <c r="N46" s="486"/>
      <c r="O46" s="486"/>
      <c r="P46" s="486"/>
      <c r="Q46" s="486"/>
      <c r="R46" s="486"/>
      <c r="S46" s="486"/>
      <c r="T46" s="486"/>
      <c r="U46" s="486"/>
      <c r="V46" s="486"/>
      <c r="W46" s="486"/>
      <c r="X46" s="489"/>
      <c r="Y46" s="489"/>
      <c r="Z46" s="489"/>
      <c r="AA46" s="489"/>
      <c r="AB46" s="489"/>
      <c r="AC46" s="489"/>
      <c r="AD46" s="489"/>
      <c r="AE46" s="489"/>
      <c r="AF46" s="489"/>
      <c r="AG46" s="489"/>
      <c r="AH46" s="489"/>
      <c r="AI46" s="62"/>
      <c r="AJ46" s="62"/>
      <c r="AK46" s="62"/>
      <c r="AL46" s="62"/>
      <c r="AM46" s="62"/>
      <c r="AN46" s="62"/>
      <c r="AO46" s="62"/>
    </row>
    <row r="47" spans="1:41" x14ac:dyDescent="0.3">
      <c r="A47" s="544" t="s">
        <v>777</v>
      </c>
      <c r="B47" s="464"/>
      <c r="C47" s="464"/>
      <c r="D47" s="468">
        <f t="shared" ref="D47:AH47" si="4">D45+D36</f>
        <v>6843089.2800000012</v>
      </c>
      <c r="E47" s="468">
        <f t="shared" si="4"/>
        <v>2737235.7120000008</v>
      </c>
      <c r="F47" s="630"/>
      <c r="G47" s="630"/>
      <c r="H47" s="630"/>
      <c r="I47" s="468">
        <f t="shared" si="4"/>
        <v>4105853.5680000004</v>
      </c>
      <c r="J47" s="468">
        <f t="shared" si="4"/>
        <v>0</v>
      </c>
      <c r="K47" s="468"/>
      <c r="L47" s="468">
        <f t="shared" si="4"/>
        <v>0</v>
      </c>
      <c r="M47" s="468">
        <f t="shared" si="4"/>
        <v>0</v>
      </c>
      <c r="N47" s="468">
        <f t="shared" si="4"/>
        <v>0</v>
      </c>
      <c r="O47" s="468">
        <f t="shared" si="4"/>
        <v>0</v>
      </c>
      <c r="P47" s="468">
        <f t="shared" si="4"/>
        <v>0</v>
      </c>
      <c r="Q47" s="468">
        <f t="shared" si="4"/>
        <v>0</v>
      </c>
      <c r="R47" s="468">
        <f t="shared" si="4"/>
        <v>0</v>
      </c>
      <c r="S47" s="468">
        <f t="shared" si="4"/>
        <v>0</v>
      </c>
      <c r="T47" s="468">
        <f t="shared" si="4"/>
        <v>0</v>
      </c>
      <c r="U47" s="468">
        <f t="shared" si="4"/>
        <v>0</v>
      </c>
      <c r="V47" s="468">
        <f t="shared" si="4"/>
        <v>0</v>
      </c>
      <c r="W47" s="468">
        <f t="shared" si="4"/>
        <v>0</v>
      </c>
      <c r="X47" s="468">
        <f t="shared" si="4"/>
        <v>0</v>
      </c>
      <c r="Y47" s="468">
        <f t="shared" si="4"/>
        <v>0</v>
      </c>
      <c r="Z47" s="468">
        <f t="shared" si="4"/>
        <v>0</v>
      </c>
      <c r="AA47" s="468">
        <f t="shared" si="4"/>
        <v>0</v>
      </c>
      <c r="AB47" s="468">
        <f t="shared" si="4"/>
        <v>0</v>
      </c>
      <c r="AC47" s="468">
        <f t="shared" si="4"/>
        <v>0</v>
      </c>
      <c r="AD47" s="468">
        <f t="shared" si="4"/>
        <v>0</v>
      </c>
      <c r="AE47" s="468">
        <f t="shared" si="4"/>
        <v>0</v>
      </c>
      <c r="AF47" s="468">
        <f t="shared" si="4"/>
        <v>0</v>
      </c>
      <c r="AG47" s="468">
        <f t="shared" si="4"/>
        <v>0</v>
      </c>
      <c r="AH47" s="468">
        <f t="shared" si="4"/>
        <v>0</v>
      </c>
      <c r="AI47" s="62"/>
      <c r="AJ47" s="62">
        <f>'6a. OE_OR-i'!I47</f>
        <v>6843089.2800000012</v>
      </c>
      <c r="AK47" s="62">
        <f>SUM(E47,I47:K47,L47,N47:W47,Y47:Z47,AA47:AA47,AC47:AE47,AG47:AH47)</f>
        <v>6843089.2800000012</v>
      </c>
      <c r="AL47" s="62">
        <f>AJ47-AK47</f>
        <v>0</v>
      </c>
      <c r="AM47" s="62"/>
      <c r="AN47" s="62"/>
      <c r="AO47" s="62"/>
    </row>
    <row r="48" spans="1:41" x14ac:dyDescent="0.3">
      <c r="A48" s="460"/>
      <c r="B48" s="461"/>
      <c r="C48" s="461"/>
      <c r="D48" s="486"/>
      <c r="E48" s="486"/>
      <c r="F48" s="665"/>
      <c r="G48" s="665"/>
      <c r="H48" s="665"/>
      <c r="I48" s="486"/>
      <c r="J48" s="486"/>
      <c r="K48" s="486"/>
      <c r="L48" s="486"/>
      <c r="M48" s="489"/>
      <c r="N48" s="486"/>
      <c r="O48" s="486"/>
      <c r="P48" s="486"/>
      <c r="Q48" s="486"/>
      <c r="R48" s="486"/>
      <c r="S48" s="486"/>
      <c r="T48" s="486"/>
      <c r="U48" s="486"/>
      <c r="V48" s="486"/>
      <c r="W48" s="486"/>
      <c r="X48" s="489"/>
      <c r="Y48" s="489"/>
      <c r="Z48" s="489"/>
      <c r="AA48" s="489"/>
      <c r="AB48" s="489"/>
      <c r="AC48" s="489"/>
      <c r="AD48" s="489"/>
      <c r="AE48" s="489"/>
      <c r="AF48" s="489"/>
      <c r="AG48" s="489"/>
      <c r="AH48" s="489"/>
      <c r="AI48" s="62"/>
      <c r="AJ48" s="62"/>
      <c r="AK48" s="62"/>
      <c r="AL48" s="62"/>
      <c r="AM48" s="62"/>
      <c r="AN48" s="62"/>
      <c r="AO48" s="62"/>
    </row>
    <row r="49" spans="1:41" x14ac:dyDescent="0.3">
      <c r="A49" s="544" t="s">
        <v>778</v>
      </c>
      <c r="B49" s="461"/>
      <c r="C49" s="461"/>
      <c r="D49" s="486"/>
      <c r="E49" s="486"/>
      <c r="F49" s="665"/>
      <c r="G49" s="665"/>
      <c r="H49" s="665"/>
      <c r="I49" s="486"/>
      <c r="J49" s="486"/>
      <c r="K49" s="486"/>
      <c r="L49" s="486"/>
      <c r="M49" s="489"/>
      <c r="N49" s="486"/>
      <c r="O49" s="486"/>
      <c r="P49" s="486"/>
      <c r="Q49" s="486"/>
      <c r="R49" s="486"/>
      <c r="S49" s="486"/>
      <c r="T49" s="486"/>
      <c r="U49" s="486"/>
      <c r="V49" s="486"/>
      <c r="W49" s="486"/>
      <c r="X49" s="489"/>
      <c r="Y49" s="489"/>
      <c r="Z49" s="489"/>
      <c r="AA49" s="489"/>
      <c r="AB49" s="489"/>
      <c r="AC49" s="489"/>
      <c r="AD49" s="489"/>
      <c r="AE49" s="489"/>
      <c r="AF49" s="489"/>
      <c r="AG49" s="489"/>
      <c r="AH49" s="489"/>
      <c r="AI49" s="62"/>
      <c r="AJ49" s="62"/>
      <c r="AK49" s="62"/>
      <c r="AL49" s="62"/>
      <c r="AM49" s="62"/>
      <c r="AN49" s="62"/>
      <c r="AO49" s="62"/>
    </row>
    <row r="50" spans="1:41" x14ac:dyDescent="0.3">
      <c r="A50" s="462"/>
      <c r="B50" s="461"/>
      <c r="C50" s="461"/>
      <c r="D50" s="486"/>
      <c r="E50" s="486"/>
      <c r="F50" s="665"/>
      <c r="G50" s="665"/>
      <c r="H50" s="665"/>
      <c r="I50" s="486"/>
      <c r="J50" s="486"/>
      <c r="K50" s="486"/>
      <c r="L50" s="486"/>
      <c r="M50" s="489"/>
      <c r="N50" s="486"/>
      <c r="O50" s="486"/>
      <c r="P50" s="486"/>
      <c r="Q50" s="486"/>
      <c r="R50" s="486"/>
      <c r="S50" s="486"/>
      <c r="T50" s="486"/>
      <c r="U50" s="486"/>
      <c r="V50" s="486"/>
      <c r="W50" s="486"/>
      <c r="X50" s="489"/>
      <c r="Y50" s="489"/>
      <c r="Z50" s="489"/>
      <c r="AA50" s="489"/>
      <c r="AB50" s="489"/>
      <c r="AC50" s="489"/>
      <c r="AD50" s="489"/>
      <c r="AE50" s="489"/>
      <c r="AF50" s="489"/>
      <c r="AG50" s="489"/>
      <c r="AH50" s="489"/>
      <c r="AI50" s="62"/>
      <c r="AJ50" s="62"/>
      <c r="AK50" s="62"/>
      <c r="AL50" s="62"/>
      <c r="AM50" s="62"/>
      <c r="AN50" s="62"/>
      <c r="AO50" s="62"/>
    </row>
    <row r="51" spans="1:41" x14ac:dyDescent="0.3">
      <c r="A51" s="462"/>
      <c r="B51" s="466" t="s">
        <v>779</v>
      </c>
      <c r="C51" s="466"/>
      <c r="D51" s="486"/>
      <c r="E51" s="486"/>
      <c r="F51" s="665"/>
      <c r="G51" s="665"/>
      <c r="H51" s="665"/>
      <c r="I51" s="486"/>
      <c r="J51" s="486"/>
      <c r="K51" s="486"/>
      <c r="L51" s="486"/>
      <c r="M51" s="489"/>
      <c r="N51" s="486"/>
      <c r="O51" s="486"/>
      <c r="P51" s="486"/>
      <c r="Q51" s="486"/>
      <c r="R51" s="486"/>
      <c r="S51" s="486"/>
      <c r="T51" s="486"/>
      <c r="U51" s="486"/>
      <c r="V51" s="486"/>
      <c r="W51" s="486"/>
      <c r="X51" s="489"/>
      <c r="Y51" s="489"/>
      <c r="Z51" s="489"/>
      <c r="AA51" s="489"/>
      <c r="AB51" s="489"/>
      <c r="AC51" s="489"/>
      <c r="AD51" s="489"/>
      <c r="AE51" s="489"/>
      <c r="AF51" s="489"/>
      <c r="AG51" s="489"/>
      <c r="AH51" s="489"/>
      <c r="AI51" s="62"/>
      <c r="AJ51" s="62"/>
      <c r="AK51" s="62"/>
      <c r="AL51" s="62"/>
      <c r="AM51" s="62"/>
      <c r="AN51" s="62"/>
      <c r="AO51" s="62"/>
    </row>
    <row r="52" spans="1:41" x14ac:dyDescent="0.3">
      <c r="A52" s="462"/>
      <c r="B52" s="461"/>
      <c r="C52" s="461"/>
      <c r="D52" s="486"/>
      <c r="E52" s="486"/>
      <c r="F52" s="665"/>
      <c r="G52" s="665"/>
      <c r="H52" s="665"/>
      <c r="I52" s="486"/>
      <c r="J52" s="486"/>
      <c r="K52" s="486"/>
      <c r="L52" s="486"/>
      <c r="M52" s="489"/>
      <c r="N52" s="486"/>
      <c r="O52" s="486"/>
      <c r="P52" s="486"/>
      <c r="Q52" s="486"/>
      <c r="R52" s="486"/>
      <c r="S52" s="486"/>
      <c r="T52" s="486"/>
      <c r="U52" s="486"/>
      <c r="V52" s="486"/>
      <c r="W52" s="486"/>
      <c r="X52" s="489"/>
      <c r="Y52" s="489"/>
      <c r="Z52" s="489"/>
      <c r="AA52" s="489"/>
      <c r="AB52" s="489"/>
      <c r="AC52" s="489"/>
      <c r="AD52" s="489"/>
      <c r="AE52" s="489"/>
      <c r="AF52" s="489"/>
      <c r="AG52" s="489"/>
      <c r="AH52" s="489"/>
      <c r="AI52" s="62"/>
      <c r="AJ52" s="62"/>
      <c r="AK52" s="62"/>
      <c r="AL52" s="62"/>
      <c r="AM52" s="62"/>
      <c r="AN52" s="62"/>
      <c r="AO52" s="62"/>
    </row>
    <row r="53" spans="1:41" x14ac:dyDescent="0.3">
      <c r="A53" s="462"/>
      <c r="B53" s="461" t="s">
        <v>780</v>
      </c>
      <c r="C53" s="461"/>
      <c r="D53" s="486"/>
      <c r="E53" s="486"/>
      <c r="F53" s="665"/>
      <c r="G53" s="665"/>
      <c r="H53" s="665"/>
      <c r="I53" s="486"/>
      <c r="J53" s="486"/>
      <c r="K53" s="486"/>
      <c r="L53" s="486"/>
      <c r="M53" s="489"/>
      <c r="N53" s="486"/>
      <c r="O53" s="486"/>
      <c r="P53" s="486"/>
      <c r="Q53" s="486"/>
      <c r="R53" s="486"/>
      <c r="S53" s="486"/>
      <c r="T53" s="486"/>
      <c r="U53" s="486"/>
      <c r="V53" s="486"/>
      <c r="W53" s="486"/>
      <c r="X53" s="489"/>
      <c r="Y53" s="489"/>
      <c r="Z53" s="489"/>
      <c r="AA53" s="489"/>
      <c r="AB53" s="489"/>
      <c r="AC53" s="489"/>
      <c r="AD53" s="489"/>
      <c r="AE53" s="489"/>
      <c r="AF53" s="489"/>
      <c r="AG53" s="489"/>
      <c r="AH53" s="489"/>
      <c r="AI53" s="62"/>
      <c r="AJ53" s="62"/>
      <c r="AK53" s="62"/>
      <c r="AL53" s="62"/>
      <c r="AM53" s="62"/>
      <c r="AN53" s="62"/>
      <c r="AO53" s="62"/>
    </row>
    <row r="54" spans="1:41" x14ac:dyDescent="0.3">
      <c r="A54" s="462"/>
      <c r="B54" s="461" t="s">
        <v>781</v>
      </c>
      <c r="C54" s="461"/>
      <c r="D54" s="486"/>
      <c r="E54" s="486"/>
      <c r="F54" s="665"/>
      <c r="G54" s="665"/>
      <c r="H54" s="665"/>
      <c r="I54" s="486"/>
      <c r="J54" s="486"/>
      <c r="K54" s="486"/>
      <c r="L54" s="486"/>
      <c r="M54" s="489"/>
      <c r="N54" s="486"/>
      <c r="O54" s="486"/>
      <c r="P54" s="486"/>
      <c r="Q54" s="486"/>
      <c r="R54" s="486"/>
      <c r="S54" s="486"/>
      <c r="T54" s="486"/>
      <c r="U54" s="486"/>
      <c r="V54" s="486"/>
      <c r="W54" s="486"/>
      <c r="X54" s="489"/>
      <c r="Y54" s="489"/>
      <c r="Z54" s="489"/>
      <c r="AA54" s="489"/>
      <c r="AB54" s="489"/>
      <c r="AC54" s="489"/>
      <c r="AD54" s="489"/>
      <c r="AE54" s="489"/>
      <c r="AF54" s="489"/>
      <c r="AG54" s="489"/>
      <c r="AH54" s="489"/>
      <c r="AI54" s="62"/>
      <c r="AJ54" s="62"/>
      <c r="AK54" s="62"/>
      <c r="AL54" s="62"/>
      <c r="AM54" s="62"/>
      <c r="AN54" s="62"/>
      <c r="AO54" s="62"/>
    </row>
    <row r="55" spans="1:41" x14ac:dyDescent="0.3">
      <c r="A55" s="462"/>
      <c r="B55" s="461" t="s">
        <v>782</v>
      </c>
      <c r="C55" s="461"/>
      <c r="D55" s="486"/>
      <c r="E55" s="486"/>
      <c r="F55" s="665"/>
      <c r="G55" s="665"/>
      <c r="H55" s="665"/>
      <c r="I55" s="486"/>
      <c r="J55" s="486"/>
      <c r="K55" s="486"/>
      <c r="L55" s="486"/>
      <c r="M55" s="489"/>
      <c r="N55" s="486"/>
      <c r="O55" s="486"/>
      <c r="P55" s="486"/>
      <c r="Q55" s="486"/>
      <c r="R55" s="486"/>
      <c r="S55" s="486"/>
      <c r="T55" s="486"/>
      <c r="U55" s="486"/>
      <c r="V55" s="486"/>
      <c r="W55" s="486"/>
      <c r="X55" s="489"/>
      <c r="Y55" s="489"/>
      <c r="Z55" s="489"/>
      <c r="AA55" s="489"/>
      <c r="AB55" s="489"/>
      <c r="AC55" s="489"/>
      <c r="AD55" s="489"/>
      <c r="AE55" s="489"/>
      <c r="AF55" s="489"/>
      <c r="AG55" s="489"/>
      <c r="AH55" s="489"/>
      <c r="AI55" s="62"/>
      <c r="AJ55" s="62"/>
      <c r="AK55" s="62"/>
      <c r="AL55" s="62"/>
      <c r="AM55" s="62"/>
      <c r="AN55" s="62"/>
      <c r="AO55" s="62"/>
    </row>
    <row r="56" spans="1:41" x14ac:dyDescent="0.3">
      <c r="A56" s="462"/>
      <c r="B56" s="466" t="s">
        <v>783</v>
      </c>
      <c r="C56" s="466"/>
      <c r="D56" s="486"/>
      <c r="E56" s="486"/>
      <c r="F56" s="665"/>
      <c r="G56" s="665"/>
      <c r="H56" s="665"/>
      <c r="I56" s="486"/>
      <c r="J56" s="486"/>
      <c r="K56" s="486"/>
      <c r="L56" s="486"/>
      <c r="M56" s="489"/>
      <c r="N56" s="486"/>
      <c r="O56" s="486"/>
      <c r="P56" s="486"/>
      <c r="Q56" s="486"/>
      <c r="R56" s="486"/>
      <c r="S56" s="486"/>
      <c r="T56" s="486"/>
      <c r="U56" s="486"/>
      <c r="V56" s="486"/>
      <c r="W56" s="486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62"/>
      <c r="AJ56" s="62"/>
      <c r="AK56" s="62"/>
      <c r="AL56" s="62"/>
      <c r="AM56" s="62"/>
      <c r="AN56" s="62"/>
      <c r="AO56" s="62"/>
    </row>
    <row r="57" spans="1:41" x14ac:dyDescent="0.3">
      <c r="A57" s="462"/>
      <c r="B57" s="461" t="s">
        <v>784</v>
      </c>
      <c r="C57" s="461"/>
      <c r="D57" s="486"/>
      <c r="E57" s="486"/>
      <c r="F57" s="665"/>
      <c r="G57" s="665"/>
      <c r="H57" s="665"/>
      <c r="I57" s="486"/>
      <c r="J57" s="486"/>
      <c r="K57" s="486"/>
      <c r="L57" s="486"/>
      <c r="M57" s="489"/>
      <c r="N57" s="486"/>
      <c r="O57" s="486"/>
      <c r="P57" s="486"/>
      <c r="Q57" s="486"/>
      <c r="R57" s="486"/>
      <c r="S57" s="486"/>
      <c r="T57" s="486"/>
      <c r="U57" s="486"/>
      <c r="V57" s="486"/>
      <c r="W57" s="486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62"/>
      <c r="AJ57" s="62"/>
      <c r="AK57" s="62"/>
      <c r="AL57" s="62"/>
      <c r="AM57" s="62"/>
      <c r="AN57" s="62"/>
      <c r="AO57" s="62"/>
    </row>
    <row r="58" spans="1:41" x14ac:dyDescent="0.3">
      <c r="A58" s="462"/>
      <c r="B58" s="461" t="s">
        <v>785</v>
      </c>
      <c r="C58" s="461"/>
      <c r="D58" s="486"/>
      <c r="E58" s="486"/>
      <c r="F58" s="665"/>
      <c r="G58" s="665"/>
      <c r="H58" s="665"/>
      <c r="I58" s="486"/>
      <c r="J58" s="486"/>
      <c r="K58" s="486"/>
      <c r="L58" s="486"/>
      <c r="M58" s="489"/>
      <c r="N58" s="486"/>
      <c r="O58" s="486"/>
      <c r="P58" s="486"/>
      <c r="Q58" s="486"/>
      <c r="R58" s="486"/>
      <c r="S58" s="486"/>
      <c r="T58" s="486"/>
      <c r="U58" s="486"/>
      <c r="V58" s="486"/>
      <c r="W58" s="486"/>
      <c r="X58" s="489"/>
      <c r="Y58" s="489"/>
      <c r="Z58" s="489"/>
      <c r="AA58" s="489"/>
      <c r="AB58" s="489"/>
      <c r="AC58" s="489"/>
      <c r="AD58" s="489"/>
      <c r="AE58" s="489"/>
      <c r="AF58" s="489"/>
      <c r="AG58" s="489"/>
      <c r="AH58" s="489"/>
      <c r="AI58" s="62"/>
      <c r="AJ58" s="62"/>
      <c r="AK58" s="62"/>
      <c r="AL58" s="62"/>
      <c r="AM58" s="62"/>
      <c r="AN58" s="62"/>
      <c r="AO58" s="62"/>
    </row>
    <row r="59" spans="1:41" x14ac:dyDescent="0.3">
      <c r="A59" s="462"/>
      <c r="B59" s="461" t="s">
        <v>786</v>
      </c>
      <c r="C59" s="461"/>
      <c r="D59" s="486"/>
      <c r="E59" s="486"/>
      <c r="F59" s="665"/>
      <c r="G59" s="665"/>
      <c r="H59" s="665"/>
      <c r="I59" s="486"/>
      <c r="J59" s="486"/>
      <c r="K59" s="486"/>
      <c r="L59" s="486"/>
      <c r="M59" s="489"/>
      <c r="N59" s="486"/>
      <c r="O59" s="486"/>
      <c r="P59" s="486"/>
      <c r="Q59" s="486"/>
      <c r="R59" s="486"/>
      <c r="S59" s="486"/>
      <c r="T59" s="486"/>
      <c r="U59" s="486"/>
      <c r="V59" s="486"/>
      <c r="W59" s="486"/>
      <c r="X59" s="489"/>
      <c r="Y59" s="489"/>
      <c r="Z59" s="489"/>
      <c r="AA59" s="489"/>
      <c r="AB59" s="489"/>
      <c r="AC59" s="489"/>
      <c r="AD59" s="489"/>
      <c r="AE59" s="489"/>
      <c r="AF59" s="489"/>
      <c r="AG59" s="489"/>
      <c r="AH59" s="489"/>
      <c r="AI59" s="62"/>
      <c r="AJ59" s="62"/>
      <c r="AK59" s="62"/>
      <c r="AL59" s="62"/>
      <c r="AM59" s="62"/>
      <c r="AN59" s="62"/>
      <c r="AO59" s="62"/>
    </row>
    <row r="60" spans="1:41" x14ac:dyDescent="0.3">
      <c r="A60" s="462"/>
      <c r="B60" s="461"/>
      <c r="C60" s="461"/>
      <c r="D60" s="486"/>
      <c r="E60" s="486"/>
      <c r="F60" s="665"/>
      <c r="G60" s="665"/>
      <c r="H60" s="665"/>
      <c r="I60" s="486"/>
      <c r="J60" s="486"/>
      <c r="K60" s="486"/>
      <c r="L60" s="486"/>
      <c r="M60" s="489"/>
      <c r="N60" s="486"/>
      <c r="O60" s="486"/>
      <c r="P60" s="486"/>
      <c r="Q60" s="486"/>
      <c r="R60" s="486"/>
      <c r="S60" s="486"/>
      <c r="T60" s="486"/>
      <c r="U60" s="486"/>
      <c r="V60" s="486"/>
      <c r="W60" s="486"/>
      <c r="X60" s="489"/>
      <c r="Y60" s="489"/>
      <c r="Z60" s="489"/>
      <c r="AA60" s="489"/>
      <c r="AB60" s="489"/>
      <c r="AC60" s="489"/>
      <c r="AD60" s="489"/>
      <c r="AE60" s="489"/>
      <c r="AF60" s="489"/>
      <c r="AG60" s="489"/>
      <c r="AH60" s="489"/>
      <c r="AI60" s="62"/>
      <c r="AJ60" s="62"/>
      <c r="AK60" s="62"/>
      <c r="AL60" s="62"/>
      <c r="AM60" s="62"/>
      <c r="AN60" s="62"/>
      <c r="AO60" s="62"/>
    </row>
    <row r="61" spans="1:41" x14ac:dyDescent="0.3">
      <c r="A61" s="462"/>
      <c r="B61" s="461" t="s">
        <v>787</v>
      </c>
      <c r="C61" s="461"/>
      <c r="D61" s="486"/>
      <c r="E61" s="486"/>
      <c r="F61" s="665"/>
      <c r="G61" s="665"/>
      <c r="H61" s="665"/>
      <c r="I61" s="486"/>
      <c r="J61" s="486"/>
      <c r="K61" s="486"/>
      <c r="L61" s="486"/>
      <c r="M61" s="489"/>
      <c r="N61" s="486"/>
      <c r="O61" s="486"/>
      <c r="P61" s="486"/>
      <c r="Q61" s="486"/>
      <c r="R61" s="486"/>
      <c r="S61" s="486"/>
      <c r="T61" s="486"/>
      <c r="U61" s="486"/>
      <c r="V61" s="486"/>
      <c r="W61" s="486"/>
      <c r="X61" s="489"/>
      <c r="Y61" s="489"/>
      <c r="Z61" s="489"/>
      <c r="AA61" s="489"/>
      <c r="AB61" s="489"/>
      <c r="AC61" s="489"/>
      <c r="AD61" s="489"/>
      <c r="AE61" s="489"/>
      <c r="AF61" s="489"/>
      <c r="AG61" s="489"/>
      <c r="AH61" s="489"/>
      <c r="AI61" s="62"/>
      <c r="AJ61" s="62"/>
      <c r="AK61" s="62"/>
      <c r="AL61" s="62"/>
      <c r="AM61" s="62"/>
      <c r="AN61" s="62"/>
      <c r="AO61" s="62"/>
    </row>
    <row r="62" spans="1:41" x14ac:dyDescent="0.3">
      <c r="A62" s="462"/>
      <c r="B62" s="461" t="s">
        <v>788</v>
      </c>
      <c r="C62" s="461"/>
      <c r="D62" s="486"/>
      <c r="E62" s="486"/>
      <c r="F62" s="665"/>
      <c r="G62" s="665"/>
      <c r="H62" s="665"/>
      <c r="I62" s="486"/>
      <c r="J62" s="486"/>
      <c r="K62" s="486"/>
      <c r="L62" s="486"/>
      <c r="M62" s="489"/>
      <c r="N62" s="486"/>
      <c r="O62" s="486"/>
      <c r="P62" s="486"/>
      <c r="Q62" s="486"/>
      <c r="R62" s="486"/>
      <c r="S62" s="486"/>
      <c r="T62" s="486"/>
      <c r="U62" s="486"/>
      <c r="V62" s="486"/>
      <c r="W62" s="486"/>
      <c r="X62" s="489"/>
      <c r="Y62" s="489"/>
      <c r="Z62" s="489"/>
      <c r="AA62" s="489"/>
      <c r="AB62" s="489"/>
      <c r="AC62" s="489"/>
      <c r="AD62" s="489"/>
      <c r="AE62" s="489"/>
      <c r="AF62" s="489"/>
      <c r="AG62" s="489"/>
      <c r="AH62" s="489"/>
      <c r="AI62" s="62"/>
      <c r="AJ62" s="62"/>
      <c r="AK62" s="62"/>
      <c r="AL62" s="62"/>
      <c r="AM62" s="62"/>
      <c r="AN62" s="62"/>
      <c r="AO62" s="62"/>
    </row>
    <row r="63" spans="1:41" x14ac:dyDescent="0.3">
      <c r="A63" s="462"/>
      <c r="B63" s="461" t="s">
        <v>789</v>
      </c>
      <c r="C63" s="461"/>
      <c r="D63" s="486"/>
      <c r="E63" s="486"/>
      <c r="F63" s="665"/>
      <c r="G63" s="665"/>
      <c r="H63" s="665"/>
      <c r="I63" s="486"/>
      <c r="J63" s="486"/>
      <c r="K63" s="486"/>
      <c r="L63" s="486"/>
      <c r="M63" s="489"/>
      <c r="N63" s="486"/>
      <c r="O63" s="486"/>
      <c r="P63" s="486"/>
      <c r="Q63" s="486"/>
      <c r="R63" s="486"/>
      <c r="S63" s="486"/>
      <c r="T63" s="486"/>
      <c r="U63" s="486"/>
      <c r="V63" s="486"/>
      <c r="W63" s="486"/>
      <c r="X63" s="489"/>
      <c r="Y63" s="489"/>
      <c r="Z63" s="489"/>
      <c r="AA63" s="489"/>
      <c r="AB63" s="489"/>
      <c r="AC63" s="489"/>
      <c r="AD63" s="489"/>
      <c r="AE63" s="489"/>
      <c r="AF63" s="489"/>
      <c r="AG63" s="489"/>
      <c r="AH63" s="489"/>
      <c r="AI63" s="62"/>
      <c r="AJ63" s="62"/>
      <c r="AK63" s="62"/>
      <c r="AL63" s="62"/>
      <c r="AM63" s="62"/>
      <c r="AN63" s="62"/>
      <c r="AO63" s="62"/>
    </row>
    <row r="64" spans="1:41" x14ac:dyDescent="0.3">
      <c r="A64" s="462"/>
      <c r="B64" s="461" t="s">
        <v>790</v>
      </c>
      <c r="C64" s="461"/>
      <c r="D64" s="486"/>
      <c r="E64" s="486"/>
      <c r="F64" s="665"/>
      <c r="G64" s="665"/>
      <c r="H64" s="665"/>
      <c r="I64" s="486"/>
      <c r="J64" s="486"/>
      <c r="K64" s="486"/>
      <c r="L64" s="486"/>
      <c r="M64" s="489"/>
      <c r="N64" s="486"/>
      <c r="O64" s="486"/>
      <c r="P64" s="486"/>
      <c r="Q64" s="486"/>
      <c r="R64" s="486"/>
      <c r="S64" s="486"/>
      <c r="T64" s="486"/>
      <c r="U64" s="486"/>
      <c r="V64" s="486"/>
      <c r="W64" s="486"/>
      <c r="X64" s="489"/>
      <c r="Y64" s="489"/>
      <c r="Z64" s="489"/>
      <c r="AA64" s="489"/>
      <c r="AB64" s="489"/>
      <c r="AC64" s="489"/>
      <c r="AD64" s="489"/>
      <c r="AE64" s="489"/>
      <c r="AF64" s="489"/>
      <c r="AG64" s="489"/>
      <c r="AH64" s="489"/>
      <c r="AI64" s="62"/>
      <c r="AJ64" s="62"/>
      <c r="AK64" s="62"/>
      <c r="AL64" s="62"/>
      <c r="AM64" s="62"/>
      <c r="AN64" s="62"/>
      <c r="AO64" s="62"/>
    </row>
    <row r="65" spans="1:41" x14ac:dyDescent="0.3">
      <c r="A65" s="462"/>
      <c r="B65" s="461" t="s">
        <v>791</v>
      </c>
      <c r="C65" s="461"/>
      <c r="D65" s="486"/>
      <c r="E65" s="486"/>
      <c r="F65" s="665"/>
      <c r="G65" s="665"/>
      <c r="H65" s="665"/>
      <c r="I65" s="486"/>
      <c r="J65" s="486"/>
      <c r="K65" s="486"/>
      <c r="L65" s="486"/>
      <c r="M65" s="489"/>
      <c r="N65" s="486"/>
      <c r="O65" s="486"/>
      <c r="P65" s="486"/>
      <c r="Q65" s="486"/>
      <c r="R65" s="486"/>
      <c r="S65" s="486"/>
      <c r="T65" s="486"/>
      <c r="U65" s="486"/>
      <c r="V65" s="486"/>
      <c r="W65" s="486"/>
      <c r="X65" s="489"/>
      <c r="Y65" s="489"/>
      <c r="Z65" s="489"/>
      <c r="AA65" s="489"/>
      <c r="AB65" s="489"/>
      <c r="AC65" s="489"/>
      <c r="AD65" s="489"/>
      <c r="AE65" s="489"/>
      <c r="AF65" s="489"/>
      <c r="AG65" s="489"/>
      <c r="AH65" s="489"/>
      <c r="AI65" s="62"/>
      <c r="AJ65" s="62"/>
      <c r="AK65" s="62"/>
      <c r="AL65" s="62"/>
      <c r="AM65" s="62"/>
      <c r="AN65" s="62"/>
      <c r="AO65" s="62"/>
    </row>
    <row r="66" spans="1:41" x14ac:dyDescent="0.3">
      <c r="A66" s="462"/>
      <c r="B66" s="461" t="s">
        <v>792</v>
      </c>
      <c r="C66" s="461"/>
      <c r="D66" s="486"/>
      <c r="E66" s="486"/>
      <c r="F66" s="665"/>
      <c r="G66" s="665"/>
      <c r="H66" s="665"/>
      <c r="I66" s="486"/>
      <c r="J66" s="486"/>
      <c r="K66" s="486"/>
      <c r="L66" s="486"/>
      <c r="M66" s="489"/>
      <c r="N66" s="486"/>
      <c r="O66" s="486"/>
      <c r="P66" s="486"/>
      <c r="Q66" s="486"/>
      <c r="R66" s="486"/>
      <c r="S66" s="486"/>
      <c r="T66" s="486"/>
      <c r="U66" s="486"/>
      <c r="V66" s="486"/>
      <c r="W66" s="486"/>
      <c r="X66" s="489"/>
      <c r="Y66" s="489"/>
      <c r="Z66" s="489"/>
      <c r="AA66" s="489"/>
      <c r="AB66" s="489"/>
      <c r="AC66" s="489"/>
      <c r="AD66" s="489"/>
      <c r="AE66" s="489"/>
      <c r="AF66" s="489"/>
      <c r="AG66" s="489"/>
      <c r="AH66" s="489"/>
      <c r="AI66" s="62"/>
      <c r="AJ66" s="62"/>
      <c r="AK66" s="62"/>
      <c r="AL66" s="62"/>
      <c r="AM66" s="62"/>
      <c r="AN66" s="62"/>
      <c r="AO66" s="62"/>
    </row>
    <row r="67" spans="1:41" x14ac:dyDescent="0.3">
      <c r="A67" s="462"/>
      <c r="B67" s="461"/>
      <c r="C67" s="461"/>
      <c r="D67" s="486"/>
      <c r="E67" s="486"/>
      <c r="F67" s="665"/>
      <c r="G67" s="665"/>
      <c r="H67" s="665"/>
      <c r="I67" s="486"/>
      <c r="J67" s="486"/>
      <c r="K67" s="486"/>
      <c r="L67" s="486"/>
      <c r="M67" s="489"/>
      <c r="N67" s="486"/>
      <c r="O67" s="486"/>
      <c r="P67" s="486"/>
      <c r="Q67" s="486"/>
      <c r="R67" s="486"/>
      <c r="S67" s="486"/>
      <c r="T67" s="486"/>
      <c r="U67" s="486"/>
      <c r="V67" s="486"/>
      <c r="W67" s="486"/>
      <c r="X67" s="489"/>
      <c r="Y67" s="489"/>
      <c r="Z67" s="489"/>
      <c r="AA67" s="489"/>
      <c r="AB67" s="489"/>
      <c r="AC67" s="489"/>
      <c r="AD67" s="489"/>
      <c r="AE67" s="489"/>
      <c r="AF67" s="489"/>
      <c r="AG67" s="489"/>
      <c r="AH67" s="489"/>
      <c r="AI67" s="62"/>
      <c r="AJ67" s="62"/>
      <c r="AK67" s="62"/>
      <c r="AL67" s="62"/>
      <c r="AM67" s="62"/>
      <c r="AN67" s="62"/>
      <c r="AO67" s="62"/>
    </row>
    <row r="68" spans="1:41" x14ac:dyDescent="0.3">
      <c r="A68" s="462"/>
      <c r="B68" s="461" t="s">
        <v>793</v>
      </c>
      <c r="C68" s="461"/>
      <c r="D68" s="486"/>
      <c r="E68" s="486"/>
      <c r="F68" s="665"/>
      <c r="G68" s="665"/>
      <c r="H68" s="665"/>
      <c r="I68" s="486"/>
      <c r="J68" s="486"/>
      <c r="K68" s="486"/>
      <c r="L68" s="486"/>
      <c r="M68" s="489"/>
      <c r="N68" s="486"/>
      <c r="O68" s="486"/>
      <c r="P68" s="486"/>
      <c r="Q68" s="486"/>
      <c r="R68" s="486"/>
      <c r="S68" s="486"/>
      <c r="T68" s="486"/>
      <c r="U68" s="486"/>
      <c r="V68" s="486"/>
      <c r="W68" s="486"/>
      <c r="X68" s="489"/>
      <c r="Y68" s="489"/>
      <c r="Z68" s="489"/>
      <c r="AA68" s="489"/>
      <c r="AB68" s="489"/>
      <c r="AC68" s="489"/>
      <c r="AD68" s="489"/>
      <c r="AE68" s="489"/>
      <c r="AF68" s="489"/>
      <c r="AG68" s="489"/>
      <c r="AH68" s="489"/>
      <c r="AI68" s="62"/>
      <c r="AJ68" s="62"/>
      <c r="AK68" s="62"/>
      <c r="AL68" s="62"/>
      <c r="AM68" s="62"/>
      <c r="AN68" s="62"/>
      <c r="AO68" s="62"/>
    </row>
    <row r="69" spans="1:41" x14ac:dyDescent="0.3">
      <c r="A69" s="462"/>
      <c r="B69" s="461" t="s">
        <v>794</v>
      </c>
      <c r="C69" s="461"/>
      <c r="D69" s="486"/>
      <c r="E69" s="486"/>
      <c r="F69" s="665"/>
      <c r="G69" s="665"/>
      <c r="H69" s="665"/>
      <c r="I69" s="486"/>
      <c r="J69" s="486"/>
      <c r="K69" s="486"/>
      <c r="L69" s="486"/>
      <c r="M69" s="489"/>
      <c r="N69" s="486"/>
      <c r="O69" s="486"/>
      <c r="P69" s="486"/>
      <c r="Q69" s="486"/>
      <c r="R69" s="486"/>
      <c r="S69" s="486"/>
      <c r="T69" s="486"/>
      <c r="U69" s="486"/>
      <c r="V69" s="486"/>
      <c r="W69" s="486"/>
      <c r="X69" s="489"/>
      <c r="Y69" s="489"/>
      <c r="Z69" s="489"/>
      <c r="AA69" s="489"/>
      <c r="AB69" s="489"/>
      <c r="AC69" s="489"/>
      <c r="AD69" s="489"/>
      <c r="AE69" s="489"/>
      <c r="AF69" s="489"/>
      <c r="AG69" s="489"/>
      <c r="AH69" s="489"/>
      <c r="AI69" s="62"/>
      <c r="AJ69" s="62"/>
      <c r="AK69" s="62"/>
      <c r="AL69" s="62"/>
      <c r="AM69" s="62"/>
      <c r="AN69" s="62"/>
      <c r="AO69" s="62"/>
    </row>
    <row r="70" spans="1:41" x14ac:dyDescent="0.3">
      <c r="A70" s="462"/>
      <c r="B70" s="461"/>
      <c r="C70" s="461"/>
      <c r="D70" s="486"/>
      <c r="E70" s="486"/>
      <c r="F70" s="665"/>
      <c r="G70" s="665"/>
      <c r="H70" s="665"/>
      <c r="I70" s="486"/>
      <c r="J70" s="486"/>
      <c r="K70" s="486"/>
      <c r="L70" s="486"/>
      <c r="M70" s="489"/>
      <c r="N70" s="486"/>
      <c r="O70" s="486"/>
      <c r="P70" s="486"/>
      <c r="Q70" s="486"/>
      <c r="R70" s="486"/>
      <c r="S70" s="486"/>
      <c r="T70" s="486"/>
      <c r="U70" s="486"/>
      <c r="V70" s="486"/>
      <c r="W70" s="486"/>
      <c r="X70" s="489"/>
      <c r="Y70" s="489"/>
      <c r="Z70" s="489"/>
      <c r="AA70" s="489"/>
      <c r="AB70" s="489"/>
      <c r="AC70" s="489"/>
      <c r="AD70" s="489"/>
      <c r="AE70" s="489"/>
      <c r="AF70" s="489"/>
      <c r="AG70" s="489"/>
      <c r="AH70" s="489"/>
      <c r="AI70" s="62"/>
      <c r="AJ70" s="62"/>
      <c r="AK70" s="62"/>
      <c r="AL70" s="62"/>
      <c r="AM70" s="62"/>
      <c r="AN70" s="62"/>
      <c r="AO70" s="62"/>
    </row>
    <row r="71" spans="1:41" x14ac:dyDescent="0.3">
      <c r="A71" s="462"/>
      <c r="B71" s="461" t="s">
        <v>795</v>
      </c>
      <c r="C71" s="461"/>
      <c r="D71" s="486"/>
      <c r="E71" s="486"/>
      <c r="F71" s="665"/>
      <c r="G71" s="665"/>
      <c r="H71" s="665"/>
      <c r="I71" s="486"/>
      <c r="J71" s="486"/>
      <c r="K71" s="486"/>
      <c r="L71" s="486"/>
      <c r="M71" s="489"/>
      <c r="N71" s="486"/>
      <c r="O71" s="486"/>
      <c r="P71" s="486"/>
      <c r="Q71" s="486"/>
      <c r="R71" s="486"/>
      <c r="S71" s="486"/>
      <c r="T71" s="486"/>
      <c r="U71" s="486"/>
      <c r="V71" s="486"/>
      <c r="W71" s="486"/>
      <c r="X71" s="489"/>
      <c r="Y71" s="489"/>
      <c r="Z71" s="489"/>
      <c r="AA71" s="489"/>
      <c r="AB71" s="489"/>
      <c r="AC71" s="489"/>
      <c r="AD71" s="489"/>
      <c r="AE71" s="489"/>
      <c r="AF71" s="489"/>
      <c r="AG71" s="489"/>
      <c r="AH71" s="489"/>
      <c r="AI71" s="62"/>
      <c r="AJ71" s="62"/>
      <c r="AK71" s="62"/>
      <c r="AL71" s="62"/>
      <c r="AM71" s="62"/>
      <c r="AN71" s="62"/>
      <c r="AO71" s="62"/>
    </row>
    <row r="72" spans="1:41" x14ac:dyDescent="0.3">
      <c r="A72" s="462"/>
      <c r="B72" s="461"/>
      <c r="C72" s="461"/>
      <c r="D72" s="486"/>
      <c r="E72" s="486"/>
      <c r="F72" s="665"/>
      <c r="G72" s="665"/>
      <c r="H72" s="665"/>
      <c r="I72" s="486"/>
      <c r="J72" s="486"/>
      <c r="K72" s="486"/>
      <c r="L72" s="486"/>
      <c r="M72" s="489"/>
      <c r="N72" s="486"/>
      <c r="O72" s="486"/>
      <c r="P72" s="486"/>
      <c r="Q72" s="486"/>
      <c r="R72" s="486"/>
      <c r="S72" s="486"/>
      <c r="T72" s="486"/>
      <c r="U72" s="486"/>
      <c r="V72" s="486"/>
      <c r="W72" s="486"/>
      <c r="X72" s="489"/>
      <c r="Y72" s="489"/>
      <c r="Z72" s="489"/>
      <c r="AA72" s="489"/>
      <c r="AB72" s="489"/>
      <c r="AC72" s="489"/>
      <c r="AD72" s="489"/>
      <c r="AE72" s="489"/>
      <c r="AF72" s="489"/>
      <c r="AG72" s="489"/>
      <c r="AH72" s="489"/>
      <c r="AI72" s="62"/>
      <c r="AJ72" s="62"/>
      <c r="AK72" s="62"/>
      <c r="AL72" s="62"/>
      <c r="AM72" s="62"/>
      <c r="AN72" s="62"/>
      <c r="AO72" s="62"/>
    </row>
    <row r="73" spans="1:41" x14ac:dyDescent="0.3">
      <c r="A73" s="462"/>
      <c r="B73" s="461" t="s">
        <v>780</v>
      </c>
      <c r="C73" s="461"/>
      <c r="D73" s="486"/>
      <c r="E73" s="486"/>
      <c r="F73" s="665"/>
      <c r="G73" s="665"/>
      <c r="H73" s="665"/>
      <c r="I73" s="486"/>
      <c r="J73" s="486"/>
      <c r="K73" s="486"/>
      <c r="L73" s="486"/>
      <c r="M73" s="489"/>
      <c r="N73" s="486"/>
      <c r="O73" s="486"/>
      <c r="P73" s="486"/>
      <c r="Q73" s="486"/>
      <c r="R73" s="486"/>
      <c r="S73" s="486"/>
      <c r="T73" s="486"/>
      <c r="U73" s="486"/>
      <c r="V73" s="486"/>
      <c r="W73" s="486"/>
      <c r="X73" s="489"/>
      <c r="Y73" s="489"/>
      <c r="Z73" s="489"/>
      <c r="AA73" s="489"/>
      <c r="AB73" s="489"/>
      <c r="AC73" s="489"/>
      <c r="AD73" s="489"/>
      <c r="AE73" s="489"/>
      <c r="AF73" s="489"/>
      <c r="AG73" s="489"/>
      <c r="AH73" s="489"/>
      <c r="AI73" s="62"/>
      <c r="AJ73" s="62"/>
      <c r="AK73" s="62"/>
      <c r="AL73" s="62"/>
      <c r="AM73" s="62"/>
      <c r="AN73" s="62"/>
      <c r="AO73" s="62"/>
    </row>
    <row r="74" spans="1:41" x14ac:dyDescent="0.3">
      <c r="A74" s="462"/>
      <c r="B74" s="461" t="s">
        <v>782</v>
      </c>
      <c r="C74" s="461"/>
      <c r="D74" s="486"/>
      <c r="E74" s="486"/>
      <c r="F74" s="665"/>
      <c r="G74" s="665"/>
      <c r="H74" s="665"/>
      <c r="I74" s="486"/>
      <c r="J74" s="486"/>
      <c r="K74" s="486"/>
      <c r="L74" s="486"/>
      <c r="M74" s="489"/>
      <c r="N74" s="486"/>
      <c r="O74" s="486"/>
      <c r="P74" s="486"/>
      <c r="Q74" s="486"/>
      <c r="R74" s="486"/>
      <c r="S74" s="486"/>
      <c r="T74" s="486"/>
      <c r="U74" s="486"/>
      <c r="V74" s="486"/>
      <c r="W74" s="486"/>
      <c r="X74" s="489"/>
      <c r="Y74" s="489"/>
      <c r="Z74" s="489"/>
      <c r="AA74" s="489"/>
      <c r="AB74" s="489"/>
      <c r="AC74" s="489"/>
      <c r="AD74" s="489"/>
      <c r="AE74" s="489"/>
      <c r="AF74" s="489"/>
      <c r="AG74" s="489"/>
      <c r="AH74" s="489"/>
      <c r="AI74" s="62"/>
      <c r="AJ74" s="62"/>
      <c r="AK74" s="62"/>
      <c r="AL74" s="62"/>
      <c r="AM74" s="62"/>
      <c r="AN74" s="62"/>
      <c r="AO74" s="62"/>
    </row>
    <row r="75" spans="1:41" x14ac:dyDescent="0.3">
      <c r="A75" s="462"/>
      <c r="B75" s="466" t="s">
        <v>783</v>
      </c>
      <c r="C75" s="461"/>
      <c r="D75" s="486"/>
      <c r="E75" s="486"/>
      <c r="F75" s="665"/>
      <c r="G75" s="665"/>
      <c r="H75" s="665"/>
      <c r="I75" s="486"/>
      <c r="J75" s="486"/>
      <c r="K75" s="486"/>
      <c r="L75" s="486"/>
      <c r="M75" s="489"/>
      <c r="N75" s="486"/>
      <c r="O75" s="486"/>
      <c r="P75" s="486"/>
      <c r="Q75" s="486"/>
      <c r="R75" s="486"/>
      <c r="S75" s="486"/>
      <c r="T75" s="486"/>
      <c r="U75" s="486"/>
      <c r="V75" s="486"/>
      <c r="W75" s="486"/>
      <c r="X75" s="489"/>
      <c r="Y75" s="489"/>
      <c r="Z75" s="489"/>
      <c r="AA75" s="489"/>
      <c r="AB75" s="489"/>
      <c r="AC75" s="489"/>
      <c r="AD75" s="489"/>
      <c r="AE75" s="489"/>
      <c r="AF75" s="489"/>
      <c r="AG75" s="489"/>
      <c r="AH75" s="489"/>
      <c r="AI75" s="62"/>
      <c r="AJ75" s="62"/>
      <c r="AK75" s="62"/>
      <c r="AL75" s="62"/>
      <c r="AM75" s="62"/>
      <c r="AN75" s="62"/>
      <c r="AO75" s="62"/>
    </row>
    <row r="76" spans="1:41" x14ac:dyDescent="0.3">
      <c r="A76" s="462"/>
      <c r="B76" s="461"/>
      <c r="C76" s="466"/>
      <c r="D76" s="486"/>
      <c r="E76" s="486"/>
      <c r="F76" s="665"/>
      <c r="G76" s="665"/>
      <c r="H76" s="665"/>
      <c r="I76" s="486"/>
      <c r="J76" s="486"/>
      <c r="K76" s="486"/>
      <c r="L76" s="486"/>
      <c r="M76" s="489"/>
      <c r="N76" s="486"/>
      <c r="O76" s="486"/>
      <c r="P76" s="486"/>
      <c r="Q76" s="486"/>
      <c r="R76" s="486"/>
      <c r="S76" s="486"/>
      <c r="T76" s="486"/>
      <c r="U76" s="486"/>
      <c r="V76" s="486"/>
      <c r="W76" s="486"/>
      <c r="X76" s="489"/>
      <c r="Y76" s="489"/>
      <c r="Z76" s="489"/>
      <c r="AA76" s="489"/>
      <c r="AB76" s="489"/>
      <c r="AC76" s="489"/>
      <c r="AD76" s="489"/>
      <c r="AE76" s="489"/>
      <c r="AF76" s="489"/>
      <c r="AG76" s="489"/>
      <c r="AH76" s="489"/>
      <c r="AI76" s="62"/>
      <c r="AJ76" s="62"/>
      <c r="AK76" s="62"/>
      <c r="AL76" s="62"/>
      <c r="AM76" s="62"/>
      <c r="AN76" s="62"/>
      <c r="AO76" s="62"/>
    </row>
    <row r="77" spans="1:41" x14ac:dyDescent="0.3">
      <c r="A77" s="462"/>
      <c r="B77" s="479" t="s">
        <v>778</v>
      </c>
      <c r="C77" s="461"/>
      <c r="D77" s="486"/>
      <c r="E77" s="486"/>
      <c r="F77" s="665"/>
      <c r="G77" s="665"/>
      <c r="H77" s="665"/>
      <c r="I77" s="486"/>
      <c r="J77" s="486"/>
      <c r="K77" s="486"/>
      <c r="L77" s="486"/>
      <c r="M77" s="489"/>
      <c r="N77" s="486"/>
      <c r="O77" s="486"/>
      <c r="P77" s="486"/>
      <c r="Q77" s="486"/>
      <c r="R77" s="486"/>
      <c r="S77" s="486"/>
      <c r="T77" s="486"/>
      <c r="U77" s="486"/>
      <c r="V77" s="486"/>
      <c r="W77" s="486"/>
      <c r="X77" s="489"/>
      <c r="Y77" s="489"/>
      <c r="Z77" s="489"/>
      <c r="AA77" s="489"/>
      <c r="AB77" s="489"/>
      <c r="AC77" s="489"/>
      <c r="AD77" s="489"/>
      <c r="AE77" s="489"/>
      <c r="AF77" s="489"/>
      <c r="AG77" s="489"/>
      <c r="AH77" s="489"/>
      <c r="AI77" s="62"/>
      <c r="AJ77" s="62"/>
      <c r="AK77" s="62"/>
      <c r="AL77" s="62"/>
      <c r="AM77" s="62"/>
      <c r="AN77" s="62"/>
      <c r="AO77" s="62"/>
    </row>
    <row r="78" spans="1:41" x14ac:dyDescent="0.3">
      <c r="A78" s="462"/>
      <c r="B78" s="479"/>
      <c r="C78" s="479"/>
      <c r="D78" s="486"/>
      <c r="E78" s="486"/>
      <c r="F78" s="665"/>
      <c r="G78" s="665"/>
      <c r="H78" s="665"/>
      <c r="I78" s="486"/>
      <c r="J78" s="486"/>
      <c r="K78" s="486"/>
      <c r="L78" s="486"/>
      <c r="M78" s="489"/>
      <c r="N78" s="486"/>
      <c r="O78" s="486"/>
      <c r="P78" s="486"/>
      <c r="Q78" s="486"/>
      <c r="R78" s="486"/>
      <c r="S78" s="486"/>
      <c r="T78" s="486"/>
      <c r="U78" s="486"/>
      <c r="V78" s="486"/>
      <c r="W78" s="486"/>
      <c r="X78" s="489"/>
      <c r="Y78" s="489"/>
      <c r="Z78" s="489"/>
      <c r="AA78" s="489"/>
      <c r="AB78" s="489"/>
      <c r="AC78" s="489"/>
      <c r="AD78" s="489"/>
      <c r="AE78" s="489"/>
      <c r="AF78" s="489"/>
      <c r="AG78" s="489"/>
      <c r="AH78" s="489"/>
      <c r="AI78" s="62"/>
      <c r="AJ78" s="62"/>
      <c r="AK78" s="62"/>
      <c r="AL78" s="62"/>
      <c r="AM78" s="62"/>
      <c r="AN78" s="62"/>
      <c r="AO78" s="62"/>
    </row>
    <row r="79" spans="1:41" x14ac:dyDescent="0.3">
      <c r="A79" s="462"/>
      <c r="B79" s="461"/>
      <c r="C79" s="461"/>
      <c r="D79" s="486"/>
      <c r="E79" s="486"/>
      <c r="F79" s="665"/>
      <c r="G79" s="665"/>
      <c r="H79" s="665"/>
      <c r="I79" s="486"/>
      <c r="J79" s="486"/>
      <c r="K79" s="486"/>
      <c r="L79" s="486"/>
      <c r="M79" s="489"/>
      <c r="N79" s="486"/>
      <c r="O79" s="486"/>
      <c r="P79" s="486"/>
      <c r="Q79" s="486"/>
      <c r="R79" s="486"/>
      <c r="S79" s="486"/>
      <c r="T79" s="486"/>
      <c r="U79" s="486"/>
      <c r="V79" s="486"/>
      <c r="W79" s="486"/>
      <c r="X79" s="489"/>
      <c r="Y79" s="489"/>
      <c r="Z79" s="489"/>
      <c r="AA79" s="489"/>
      <c r="AB79" s="489"/>
      <c r="AC79" s="489"/>
      <c r="AD79" s="489"/>
      <c r="AE79" s="489"/>
      <c r="AF79" s="489"/>
      <c r="AG79" s="489"/>
      <c r="AH79" s="489"/>
      <c r="AI79" s="62"/>
      <c r="AJ79" s="62"/>
      <c r="AK79" s="62"/>
      <c r="AL79" s="62"/>
      <c r="AM79" s="62"/>
      <c r="AN79" s="62"/>
      <c r="AO79" s="62"/>
    </row>
    <row r="80" spans="1:41" x14ac:dyDescent="0.3">
      <c r="A80" s="460" t="s">
        <v>796</v>
      </c>
      <c r="B80" s="461"/>
      <c r="C80" s="461"/>
      <c r="D80" s="486"/>
      <c r="E80" s="486"/>
      <c r="F80" s="665"/>
      <c r="G80" s="665"/>
      <c r="H80" s="665"/>
      <c r="I80" s="486"/>
      <c r="J80" s="486"/>
      <c r="K80" s="486"/>
      <c r="L80" s="486"/>
      <c r="M80" s="489"/>
      <c r="N80" s="486"/>
      <c r="O80" s="486"/>
      <c r="P80" s="486"/>
      <c r="Q80" s="486"/>
      <c r="R80" s="486"/>
      <c r="S80" s="486"/>
      <c r="T80" s="486"/>
      <c r="U80" s="486"/>
      <c r="V80" s="486"/>
      <c r="W80" s="486"/>
      <c r="X80" s="489"/>
      <c r="Y80" s="489"/>
      <c r="Z80" s="489"/>
      <c r="AA80" s="489"/>
      <c r="AB80" s="489"/>
      <c r="AC80" s="489"/>
      <c r="AD80" s="489"/>
      <c r="AE80" s="489"/>
      <c r="AF80" s="489"/>
      <c r="AG80" s="489"/>
      <c r="AH80" s="489"/>
      <c r="AI80" s="62"/>
      <c r="AJ80" s="62"/>
      <c r="AK80" s="62"/>
      <c r="AL80" s="62"/>
      <c r="AM80" s="62"/>
      <c r="AN80" s="62"/>
      <c r="AO80" s="62"/>
    </row>
    <row r="81" spans="1:74" x14ac:dyDescent="0.3">
      <c r="A81" s="462"/>
      <c r="B81" s="461"/>
      <c r="C81" s="461"/>
      <c r="D81" s="486"/>
      <c r="E81" s="486"/>
      <c r="F81" s="665"/>
      <c r="G81" s="665"/>
      <c r="H81" s="665"/>
      <c r="I81" s="486"/>
      <c r="J81" s="486"/>
      <c r="K81" s="486"/>
      <c r="L81" s="486"/>
      <c r="M81" s="489"/>
      <c r="N81" s="486"/>
      <c r="O81" s="486"/>
      <c r="P81" s="486"/>
      <c r="Q81" s="486"/>
      <c r="R81" s="486"/>
      <c r="S81" s="486"/>
      <c r="T81" s="486"/>
      <c r="U81" s="486"/>
      <c r="V81" s="486"/>
      <c r="W81" s="486"/>
      <c r="X81" s="489"/>
      <c r="Y81" s="489"/>
      <c r="Z81" s="489"/>
      <c r="AA81" s="489"/>
      <c r="AB81" s="489"/>
      <c r="AC81" s="489"/>
      <c r="AD81" s="489"/>
      <c r="AE81" s="489"/>
      <c r="AF81" s="489"/>
      <c r="AG81" s="489"/>
      <c r="AH81" s="489"/>
      <c r="AI81" s="62"/>
      <c r="AJ81" s="62"/>
      <c r="AK81" s="62"/>
      <c r="AL81" s="62"/>
      <c r="AM81" s="62"/>
      <c r="AN81" s="62"/>
      <c r="AO81" s="62"/>
    </row>
    <row r="82" spans="1:74" x14ac:dyDescent="0.3">
      <c r="A82" s="462"/>
      <c r="B82" s="461" t="s">
        <v>797</v>
      </c>
      <c r="C82" s="461"/>
      <c r="D82" s="468">
        <f>'6a. OE_OR-i'!J82</f>
        <v>0</v>
      </c>
      <c r="E82" s="468"/>
      <c r="F82" s="630"/>
      <c r="G82" s="630"/>
      <c r="H82" s="630"/>
      <c r="I82" s="468"/>
      <c r="J82" s="468"/>
      <c r="K82" s="468"/>
      <c r="L82" s="468">
        <f>'6a. OE_OR-i'!K82</f>
        <v>0</v>
      </c>
      <c r="M82" s="468">
        <f>'6a. OE_OR-i'!L82</f>
        <v>0</v>
      </c>
      <c r="N82" s="468"/>
      <c r="O82" s="468"/>
      <c r="P82" s="468"/>
      <c r="Q82" s="468"/>
      <c r="R82" s="468"/>
      <c r="S82" s="468"/>
      <c r="T82" s="468"/>
      <c r="U82" s="468"/>
      <c r="V82" s="468"/>
      <c r="W82" s="468"/>
      <c r="X82" s="468">
        <f>'6a. OE_OR-i'!M82</f>
        <v>0</v>
      </c>
      <c r="Y82" s="468"/>
      <c r="Z82" s="468"/>
      <c r="AA82" s="468">
        <f>'6a. OE_OR-i'!N82</f>
        <v>0</v>
      </c>
      <c r="AB82" s="468">
        <f>'6a. OE_OR-i'!O82</f>
        <v>0</v>
      </c>
      <c r="AC82" s="468"/>
      <c r="AD82" s="468"/>
      <c r="AE82" s="468"/>
      <c r="AF82" s="468">
        <f>'6a. OE_OR-i'!P82</f>
        <v>0</v>
      </c>
      <c r="AG82" s="468"/>
      <c r="AH82" s="468">
        <f>'6a. OE_OR-i'!Q82</f>
        <v>110145.61295881959</v>
      </c>
      <c r="AI82" s="62"/>
      <c r="AJ82" s="62">
        <f>'6a. OE_OR-i'!I82</f>
        <v>110145.61295881959</v>
      </c>
      <c r="AK82" s="62">
        <f t="shared" ref="AK82:AK83" si="5">SUM(E82,I82:K82,L82,N82:W82,Y82:Z82,AA82:AA82,AC82:AE82,AG82:AH82)</f>
        <v>110145.61295881959</v>
      </c>
      <c r="AL82" s="62">
        <f>AJ82-AK82</f>
        <v>0</v>
      </c>
      <c r="AM82" s="62"/>
      <c r="AN82" s="62"/>
      <c r="AO82" s="62"/>
    </row>
    <row r="83" spans="1:74" x14ac:dyDescent="0.3">
      <c r="A83" s="462"/>
      <c r="B83" s="461" t="s">
        <v>88</v>
      </c>
      <c r="C83" s="461"/>
      <c r="D83" s="468">
        <f>'6a. OE_OR-i'!J83</f>
        <v>26741243.059999999</v>
      </c>
      <c r="E83" s="468">
        <f>$D83*'6c. OE_OR-sfaf'!E83/'6c. OE_OR-sfaf'!$D83</f>
        <v>0</v>
      </c>
      <c r="F83" s="630"/>
      <c r="G83" s="630"/>
      <c r="H83" s="630"/>
      <c r="I83" s="468">
        <f>$D83*'6c. OE_OR-sfaf'!I83/'6c. OE_OR-sfaf'!$D83</f>
        <v>0</v>
      </c>
      <c r="J83" s="468">
        <f>$D83*'6c. OE_OR-sfaf'!J83/'6c. OE_OR-sfaf'!$D83</f>
        <v>0</v>
      </c>
      <c r="K83" s="468">
        <f>$D83*'6c. OE_OR-sfaf'!K83/'6c. OE_OR-sfaf'!$D83</f>
        <v>26741243.059999999</v>
      </c>
      <c r="L83" s="468">
        <f>'6a. OE_OR-i'!K83</f>
        <v>0</v>
      </c>
      <c r="M83" s="468">
        <f>'6a. OE_OR-i'!L83</f>
        <v>0</v>
      </c>
      <c r="N83" s="468"/>
      <c r="O83" s="468"/>
      <c r="P83" s="468"/>
      <c r="Q83" s="468"/>
      <c r="R83" s="468"/>
      <c r="S83" s="468"/>
      <c r="T83" s="468"/>
      <c r="U83" s="468"/>
      <c r="V83" s="468"/>
      <c r="W83" s="468"/>
      <c r="X83" s="468">
        <f>'6a. OE_OR-i'!M83</f>
        <v>0</v>
      </c>
      <c r="Y83" s="468"/>
      <c r="Z83" s="468"/>
      <c r="AA83" s="468">
        <f>'6a. OE_OR-i'!N83</f>
        <v>0</v>
      </c>
      <c r="AB83" s="468">
        <f>'6a. OE_OR-i'!O83</f>
        <v>0</v>
      </c>
      <c r="AC83" s="468"/>
      <c r="AD83" s="468"/>
      <c r="AE83" s="468"/>
      <c r="AF83" s="468">
        <f>'6a. OE_OR-i'!P83</f>
        <v>0</v>
      </c>
      <c r="AG83" s="468"/>
      <c r="AH83" s="468">
        <f>'6a. OE_OR-i'!Q83</f>
        <v>0</v>
      </c>
      <c r="AI83" s="62"/>
      <c r="AJ83" s="62">
        <f>'6a. OE_OR-i'!I83</f>
        <v>26741243.059999999</v>
      </c>
      <c r="AK83" s="62">
        <f t="shared" si="5"/>
        <v>26741243.059999999</v>
      </c>
      <c r="AL83" s="62">
        <f>AJ83-AK83</f>
        <v>0</v>
      </c>
      <c r="AM83" s="62"/>
      <c r="AN83" s="62"/>
      <c r="AO83" s="62"/>
    </row>
    <row r="84" spans="1:74" x14ac:dyDescent="0.3">
      <c r="A84" s="462"/>
      <c r="B84" s="461"/>
      <c r="C84" s="461"/>
      <c r="D84" s="468"/>
      <c r="E84" s="468"/>
      <c r="F84" s="630"/>
      <c r="G84" s="630"/>
      <c r="H84" s="630"/>
      <c r="I84" s="468"/>
      <c r="J84" s="468"/>
      <c r="K84" s="468"/>
      <c r="L84" s="468"/>
      <c r="M84" s="468"/>
      <c r="N84" s="468"/>
      <c r="O84" s="468"/>
      <c r="P84" s="468"/>
      <c r="Q84" s="468"/>
      <c r="R84" s="468"/>
      <c r="S84" s="468"/>
      <c r="T84" s="468"/>
      <c r="U84" s="468"/>
      <c r="V84" s="468"/>
      <c r="W84" s="468"/>
      <c r="X84" s="468"/>
      <c r="Y84" s="468"/>
      <c r="Z84" s="468"/>
      <c r="AA84" s="468"/>
      <c r="AB84" s="468"/>
      <c r="AC84" s="468"/>
      <c r="AD84" s="468"/>
      <c r="AE84" s="468"/>
      <c r="AF84" s="468"/>
      <c r="AG84" s="468"/>
      <c r="AH84" s="468"/>
      <c r="AI84" s="62"/>
      <c r="AJ84" s="62"/>
      <c r="AK84" s="62"/>
      <c r="AL84" s="62"/>
      <c r="AM84" s="62"/>
      <c r="AN84" s="62"/>
      <c r="AO84" s="62"/>
    </row>
    <row r="85" spans="1:74" x14ac:dyDescent="0.3">
      <c r="A85" s="460" t="s">
        <v>798</v>
      </c>
      <c r="B85" s="461"/>
      <c r="C85" s="461"/>
      <c r="D85" s="468"/>
      <c r="E85" s="468"/>
      <c r="F85" s="630"/>
      <c r="G85" s="630"/>
      <c r="H85" s="630"/>
      <c r="I85" s="468"/>
      <c r="J85" s="468"/>
      <c r="K85" s="468"/>
      <c r="L85" s="468"/>
      <c r="M85" s="468"/>
      <c r="N85" s="468"/>
      <c r="O85" s="468"/>
      <c r="P85" s="468"/>
      <c r="Q85" s="468"/>
      <c r="R85" s="468"/>
      <c r="S85" s="468"/>
      <c r="T85" s="468"/>
      <c r="U85" s="468"/>
      <c r="V85" s="468"/>
      <c r="W85" s="468"/>
      <c r="X85" s="468"/>
      <c r="Y85" s="468"/>
      <c r="Z85" s="468"/>
      <c r="AA85" s="468"/>
      <c r="AB85" s="468"/>
      <c r="AC85" s="468"/>
      <c r="AD85" s="468"/>
      <c r="AE85" s="468"/>
      <c r="AF85" s="468"/>
      <c r="AG85" s="468"/>
      <c r="AH85" s="468"/>
      <c r="AI85" s="62"/>
      <c r="AJ85" s="62"/>
      <c r="AK85" s="62"/>
      <c r="AL85" s="62"/>
      <c r="AM85" s="62"/>
      <c r="AN85" s="62"/>
      <c r="AO85" s="62"/>
    </row>
    <row r="86" spans="1:74" x14ac:dyDescent="0.3">
      <c r="A86" s="461" t="s">
        <v>112</v>
      </c>
      <c r="B86" s="461" t="s">
        <v>113</v>
      </c>
      <c r="C86" s="545"/>
      <c r="D86" s="468">
        <f>'6a. OE_OR-i'!J86</f>
        <v>0</v>
      </c>
      <c r="E86" s="468"/>
      <c r="F86" s="630"/>
      <c r="G86" s="630"/>
      <c r="H86" s="630"/>
      <c r="I86" s="468"/>
      <c r="J86" s="468"/>
      <c r="K86" s="468"/>
      <c r="L86" s="468">
        <f>'6a. OE_OR-i'!K86</f>
        <v>0</v>
      </c>
      <c r="M86" s="468">
        <f>'6a. OE_OR-i'!L86</f>
        <v>0</v>
      </c>
      <c r="N86" s="468"/>
      <c r="O86" s="468"/>
      <c r="P86" s="468"/>
      <c r="Q86" s="468"/>
      <c r="R86" s="468"/>
      <c r="S86" s="468"/>
      <c r="T86" s="468"/>
      <c r="U86" s="468"/>
      <c r="V86" s="468"/>
      <c r="W86" s="468"/>
      <c r="X86" s="468">
        <f>'6a. OE_OR-i'!M86</f>
        <v>0</v>
      </c>
      <c r="Y86" s="468"/>
      <c r="Z86" s="468"/>
      <c r="AA86" s="468">
        <f>'6a. OE_OR-i'!N86</f>
        <v>0</v>
      </c>
      <c r="AB86" s="468">
        <f>'6a. OE_OR-i'!O86</f>
        <v>0</v>
      </c>
      <c r="AC86" s="468"/>
      <c r="AD86" s="468"/>
      <c r="AE86" s="468"/>
      <c r="AF86" s="468">
        <f>'6a. OE_OR-i'!P86</f>
        <v>0</v>
      </c>
      <c r="AG86" s="468"/>
      <c r="AH86" s="468">
        <f>'6a. OE_OR-i'!Q86</f>
        <v>0</v>
      </c>
      <c r="AI86" s="62"/>
      <c r="AJ86" s="62">
        <f>'6a. OE_OR-i'!I86</f>
        <v>0</v>
      </c>
      <c r="AK86" s="62">
        <f t="shared" ref="AK86:AK95" si="6">SUM(E86,I86:K86,L86,N86:W86,Y86:Z86,AA86:AA86,AC86:AE86,AG86:AH86)</f>
        <v>0</v>
      </c>
      <c r="AL86" s="62">
        <f t="shared" ref="AL86:AL94" si="7">AJ86-AK86</f>
        <v>0</v>
      </c>
      <c r="AM86" s="62"/>
      <c r="AN86" s="62"/>
      <c r="AO86" s="62"/>
    </row>
    <row r="87" spans="1:74" x14ac:dyDescent="0.3">
      <c r="A87" s="461" t="s">
        <v>114</v>
      </c>
      <c r="B87" s="461" t="s">
        <v>115</v>
      </c>
      <c r="C87" s="545"/>
      <c r="D87" s="468">
        <f>'6a. OE_OR-i'!J87</f>
        <v>-40.71</v>
      </c>
      <c r="E87" s="468">
        <f>$D87*'6c. OE_OR-sfaf'!E87/'6c. OE_OR-sfaf'!$D87</f>
        <v>0</v>
      </c>
      <c r="F87" s="630"/>
      <c r="G87" s="630"/>
      <c r="H87" s="630"/>
      <c r="I87" s="468">
        <f>$D87*'6c. OE_OR-sfaf'!I87/'6c. OE_OR-sfaf'!$D87</f>
        <v>-40.71</v>
      </c>
      <c r="J87" s="468">
        <f>$D87*'6c. OE_OR-sfaf'!J87/'6c. OE_OR-sfaf'!$D87</f>
        <v>0</v>
      </c>
      <c r="K87" s="468"/>
      <c r="L87" s="468">
        <f>'6a. OE_OR-i'!K87</f>
        <v>0</v>
      </c>
      <c r="M87" s="468">
        <f>'6a. OE_OR-i'!L87</f>
        <v>0</v>
      </c>
      <c r="N87" s="468"/>
      <c r="O87" s="468"/>
      <c r="P87" s="468"/>
      <c r="Q87" s="468"/>
      <c r="R87" s="468"/>
      <c r="S87" s="468"/>
      <c r="T87" s="468"/>
      <c r="U87" s="468"/>
      <c r="V87" s="468"/>
      <c r="W87" s="468"/>
      <c r="X87" s="468">
        <f>'6a. OE_OR-i'!M87</f>
        <v>0</v>
      </c>
      <c r="Y87" s="468"/>
      <c r="Z87" s="468"/>
      <c r="AA87" s="468">
        <f>'6a. OE_OR-i'!N87</f>
        <v>0</v>
      </c>
      <c r="AB87" s="468">
        <f>'6a. OE_OR-i'!O87</f>
        <v>0</v>
      </c>
      <c r="AC87" s="468"/>
      <c r="AD87" s="468"/>
      <c r="AE87" s="468"/>
      <c r="AF87" s="468">
        <f>'6a. OE_OR-i'!P87</f>
        <v>0</v>
      </c>
      <c r="AG87" s="468"/>
      <c r="AH87" s="468">
        <f>'6a. OE_OR-i'!Q87</f>
        <v>0</v>
      </c>
      <c r="AI87" s="62"/>
      <c r="AJ87" s="62">
        <f>'6a. OE_OR-i'!I87</f>
        <v>-40.71</v>
      </c>
      <c r="AK87" s="62">
        <f t="shared" si="6"/>
        <v>-40.71</v>
      </c>
      <c r="AL87" s="62">
        <f t="shared" si="7"/>
        <v>0</v>
      </c>
      <c r="AM87" s="62"/>
      <c r="AN87" s="62"/>
      <c r="AO87" s="62"/>
    </row>
    <row r="88" spans="1:74" x14ac:dyDescent="0.3">
      <c r="A88" s="461" t="s">
        <v>332</v>
      </c>
      <c r="B88" s="461" t="s">
        <v>116</v>
      </c>
      <c r="C88" s="545"/>
      <c r="D88" s="468">
        <f>'6a. OE_OR-i'!J88</f>
        <v>0</v>
      </c>
      <c r="E88" s="468">
        <f>+D88*'6c. OE_OR-sfaf'!E88</f>
        <v>0</v>
      </c>
      <c r="F88" s="630"/>
      <c r="G88" s="630"/>
      <c r="H88" s="630"/>
      <c r="I88" s="468">
        <f>+D88*'6c. OE_OR-sfaf'!I88</f>
        <v>0</v>
      </c>
      <c r="J88" s="468">
        <f>+D88*'6c. OE_OR-sfaf'!J88</f>
        <v>0</v>
      </c>
      <c r="K88" s="468">
        <f>+D88*'6c. OE_OR-sfaf'!K88</f>
        <v>0</v>
      </c>
      <c r="L88" s="468">
        <f>'6a. OE_OR-i'!K88</f>
        <v>0</v>
      </c>
      <c r="M88" s="468">
        <f>'6a. OE_OR-i'!L88</f>
        <v>0</v>
      </c>
      <c r="N88" s="468"/>
      <c r="O88" s="468" t="s">
        <v>546</v>
      </c>
      <c r="P88" s="468"/>
      <c r="Q88" s="468"/>
      <c r="R88" s="468">
        <f>+M88*'6c. OE_OR-sfaf'!R88</f>
        <v>0</v>
      </c>
      <c r="S88" s="468"/>
      <c r="T88" s="468"/>
      <c r="U88" s="468"/>
      <c r="V88" s="468"/>
      <c r="W88" s="468" t="s">
        <v>546</v>
      </c>
      <c r="X88" s="468">
        <f>'6a. OE_OR-i'!M88</f>
        <v>0</v>
      </c>
      <c r="Y88" s="468" t="s">
        <v>546</v>
      </c>
      <c r="Z88" s="468"/>
      <c r="AA88" s="468">
        <f>'6a. OE_OR-i'!N88</f>
        <v>0</v>
      </c>
      <c r="AB88" s="468">
        <f>'6a. OE_OR-i'!O88</f>
        <v>0</v>
      </c>
      <c r="AC88" s="468"/>
      <c r="AD88" s="468"/>
      <c r="AE88" s="468"/>
      <c r="AF88" s="468">
        <f>'6a. OE_OR-i'!P88</f>
        <v>0</v>
      </c>
      <c r="AG88" s="468"/>
      <c r="AH88" s="468">
        <f>'6a. OE_OR-i'!Q88</f>
        <v>486471.62</v>
      </c>
      <c r="AI88" s="62"/>
      <c r="AJ88" s="62">
        <f>'6a. OE_OR-i'!I88</f>
        <v>486471.62</v>
      </c>
      <c r="AK88" s="62">
        <f t="shared" si="6"/>
        <v>486471.62</v>
      </c>
      <c r="AL88" s="62">
        <f t="shared" si="7"/>
        <v>0</v>
      </c>
      <c r="AM88" s="62"/>
      <c r="AN88" s="62"/>
      <c r="AO88" s="62"/>
    </row>
    <row r="89" spans="1:74" x14ac:dyDescent="0.3">
      <c r="A89" s="461" t="s">
        <v>799</v>
      </c>
      <c r="B89" s="461" t="s">
        <v>800</v>
      </c>
      <c r="C89" s="545"/>
      <c r="D89" s="468">
        <f>'6a. OE_OR-i'!J89</f>
        <v>0</v>
      </c>
      <c r="E89" s="468"/>
      <c r="F89" s="630"/>
      <c r="G89" s="630"/>
      <c r="H89" s="630"/>
      <c r="I89" s="468"/>
      <c r="J89" s="468"/>
      <c r="K89" s="468"/>
      <c r="L89" s="468">
        <f>'6a. OE_OR-i'!K89</f>
        <v>0</v>
      </c>
      <c r="M89" s="468">
        <f>'6a. OE_OR-i'!L89</f>
        <v>0</v>
      </c>
      <c r="N89" s="468"/>
      <c r="O89" s="468"/>
      <c r="P89" s="468"/>
      <c r="Q89" s="468"/>
      <c r="R89" s="468"/>
      <c r="S89" s="468"/>
      <c r="T89" s="468"/>
      <c r="U89" s="468"/>
      <c r="V89" s="468"/>
      <c r="W89" s="468"/>
      <c r="X89" s="468">
        <f>'6a. OE_OR-i'!M89</f>
        <v>0</v>
      </c>
      <c r="Y89" s="468"/>
      <c r="Z89" s="468"/>
      <c r="AA89" s="468">
        <f>'6a. OE_OR-i'!N89</f>
        <v>0</v>
      </c>
      <c r="AB89" s="468">
        <f>'6a. OE_OR-i'!O89</f>
        <v>0</v>
      </c>
      <c r="AC89" s="468"/>
      <c r="AD89" s="468"/>
      <c r="AE89" s="468"/>
      <c r="AF89" s="468">
        <f>'6a. OE_OR-i'!P89</f>
        <v>0</v>
      </c>
      <c r="AG89" s="468"/>
      <c r="AH89" s="468">
        <f>'6a. OE_OR-i'!Q89</f>
        <v>0</v>
      </c>
      <c r="AI89" s="62"/>
      <c r="AJ89" s="62">
        <f>'6a. OE_OR-i'!I89</f>
        <v>0</v>
      </c>
      <c r="AK89" s="62">
        <f t="shared" si="6"/>
        <v>0</v>
      </c>
      <c r="AL89" s="62">
        <f t="shared" si="7"/>
        <v>0</v>
      </c>
      <c r="AM89" s="62"/>
      <c r="AN89" s="62"/>
      <c r="AO89" s="62"/>
    </row>
    <row r="90" spans="1:74" x14ac:dyDescent="0.3">
      <c r="A90" s="461" t="s">
        <v>801</v>
      </c>
      <c r="B90" s="484" t="s">
        <v>802</v>
      </c>
      <c r="C90" s="545"/>
      <c r="D90" s="468">
        <f>'6a. OE_OR-i'!J90</f>
        <v>0</v>
      </c>
      <c r="E90" s="468"/>
      <c r="F90" s="630"/>
      <c r="G90" s="630"/>
      <c r="H90" s="630"/>
      <c r="I90" s="468"/>
      <c r="J90" s="468"/>
      <c r="K90" s="468"/>
      <c r="L90" s="468">
        <f>'6a. OE_OR-i'!K90</f>
        <v>0</v>
      </c>
      <c r="M90" s="468">
        <f>'6a. OE_OR-i'!L90</f>
        <v>0</v>
      </c>
      <c r="N90" s="468"/>
      <c r="O90" s="468"/>
      <c r="P90" s="468"/>
      <c r="Q90" s="468"/>
      <c r="R90" s="468"/>
      <c r="S90" s="468"/>
      <c r="T90" s="468"/>
      <c r="U90" s="468"/>
      <c r="V90" s="468"/>
      <c r="W90" s="468"/>
      <c r="X90" s="468">
        <f>'6a. OE_OR-i'!M90</f>
        <v>0</v>
      </c>
      <c r="Y90" s="468"/>
      <c r="Z90" s="468"/>
      <c r="AA90" s="468">
        <f>'6a. OE_OR-i'!N90</f>
        <v>0</v>
      </c>
      <c r="AB90" s="468">
        <f>'6a. OE_OR-i'!O90</f>
        <v>0</v>
      </c>
      <c r="AC90" s="468"/>
      <c r="AD90" s="468"/>
      <c r="AE90" s="468"/>
      <c r="AF90" s="468">
        <f>'6a. OE_OR-i'!P90</f>
        <v>0</v>
      </c>
      <c r="AG90" s="468"/>
      <c r="AH90" s="468">
        <f>'6a. OE_OR-i'!Q90</f>
        <v>-7174098.5199999996</v>
      </c>
      <c r="AI90" s="62"/>
      <c r="AJ90" s="62">
        <f>'6a. OE_OR-i'!I90</f>
        <v>-7174098.5199999996</v>
      </c>
      <c r="AK90" s="62">
        <f t="shared" si="6"/>
        <v>-7174098.5199999996</v>
      </c>
      <c r="AL90" s="62">
        <f t="shared" si="7"/>
        <v>0</v>
      </c>
      <c r="AM90" s="62"/>
      <c r="AN90" s="62"/>
      <c r="AO90" s="62"/>
    </row>
    <row r="91" spans="1:74" x14ac:dyDescent="0.3">
      <c r="A91" s="461" t="s">
        <v>803</v>
      </c>
      <c r="B91" s="466" t="s">
        <v>804</v>
      </c>
      <c r="C91" s="545"/>
      <c r="D91" s="468">
        <f>'6a. OE_OR-i'!J91</f>
        <v>0</v>
      </c>
      <c r="E91" s="468"/>
      <c r="F91" s="630"/>
      <c r="G91" s="630"/>
      <c r="H91" s="630"/>
      <c r="I91" s="468"/>
      <c r="J91" s="468"/>
      <c r="K91" s="468"/>
      <c r="L91" s="468">
        <f>'6a. OE_OR-i'!K91</f>
        <v>0</v>
      </c>
      <c r="M91" s="468" t="str">
        <f>'6a. OE_OR-i'!L91</f>
        <v xml:space="preserve"> </v>
      </c>
      <c r="N91" s="468"/>
      <c r="O91" s="468"/>
      <c r="P91" s="468"/>
      <c r="Q91" s="468"/>
      <c r="R91" s="468"/>
      <c r="S91" s="468"/>
      <c r="T91" s="468"/>
      <c r="U91" s="468"/>
      <c r="V91" s="468"/>
      <c r="W91" s="468"/>
      <c r="X91" s="468">
        <f>'6a. OE_OR-i'!M91</f>
        <v>-251295.87</v>
      </c>
      <c r="Y91" s="468">
        <f>X91*'6c. OE_OR-sfaf'!Y91</f>
        <v>-251295.87</v>
      </c>
      <c r="Z91" s="468"/>
      <c r="AA91" s="468">
        <f>'6a. OE_OR-i'!N91</f>
        <v>0</v>
      </c>
      <c r="AB91" s="468">
        <f>'6a. OE_OR-i'!O91</f>
        <v>0</v>
      </c>
      <c r="AC91" s="468"/>
      <c r="AD91" s="468"/>
      <c r="AE91" s="468"/>
      <c r="AF91" s="468">
        <f>'6a. OE_OR-i'!P91</f>
        <v>0</v>
      </c>
      <c r="AG91" s="468"/>
      <c r="AH91" s="468">
        <f>'6a. OE_OR-i'!Q91</f>
        <v>-1841958.3399999999</v>
      </c>
      <c r="AI91" s="62"/>
      <c r="AJ91" s="62">
        <f>'6a. OE_OR-i'!I91</f>
        <v>-2093254.21</v>
      </c>
      <c r="AK91" s="62">
        <f t="shared" si="6"/>
        <v>-2093254.21</v>
      </c>
      <c r="AL91" s="62">
        <f t="shared" si="7"/>
        <v>0</v>
      </c>
      <c r="AM91" s="62"/>
      <c r="AN91" s="62"/>
      <c r="AO91" s="62"/>
    </row>
    <row r="92" spans="1:74" x14ac:dyDescent="0.3">
      <c r="A92" s="461" t="s">
        <v>805</v>
      </c>
      <c r="B92" s="484" t="s">
        <v>806</v>
      </c>
      <c r="C92" s="545"/>
      <c r="D92" s="468">
        <f>'6a. OE_OR-i'!J92</f>
        <v>0</v>
      </c>
      <c r="E92" s="468"/>
      <c r="F92" s="630"/>
      <c r="G92" s="630"/>
      <c r="H92" s="630"/>
      <c r="I92" s="468"/>
      <c r="J92" s="468"/>
      <c r="K92" s="468"/>
      <c r="L92" s="468">
        <f>'6a. OE_OR-i'!K92</f>
        <v>0</v>
      </c>
      <c r="M92" s="468">
        <f>'6a. OE_OR-i'!L92</f>
        <v>0</v>
      </c>
      <c r="N92" s="468"/>
      <c r="O92" s="468"/>
      <c r="P92" s="468"/>
      <c r="Q92" s="468"/>
      <c r="R92" s="468"/>
      <c r="S92" s="468"/>
      <c r="T92" s="468"/>
      <c r="U92" s="468"/>
      <c r="V92" s="468"/>
      <c r="W92" s="468"/>
      <c r="X92" s="468" t="str">
        <f>'6a. OE_OR-i'!M92</f>
        <v>.</v>
      </c>
      <c r="Y92" s="468"/>
      <c r="Z92" s="468"/>
      <c r="AA92" s="468">
        <f>'6a. OE_OR-i'!N92</f>
        <v>0</v>
      </c>
      <c r="AB92" s="468">
        <f>'6a. OE_OR-i'!O92</f>
        <v>0</v>
      </c>
      <c r="AC92" s="468"/>
      <c r="AD92" s="468"/>
      <c r="AE92" s="468"/>
      <c r="AF92" s="468">
        <f>'6a. OE_OR-i'!P92</f>
        <v>0</v>
      </c>
      <c r="AG92" s="468"/>
      <c r="AH92" s="468">
        <f>'6a. OE_OR-i'!Q92</f>
        <v>0</v>
      </c>
      <c r="AI92" s="62"/>
      <c r="AJ92" s="62">
        <f>'6a. OE_OR-i'!I92</f>
        <v>0</v>
      </c>
      <c r="AK92" s="62">
        <f t="shared" si="6"/>
        <v>0</v>
      </c>
      <c r="AL92" s="62">
        <f t="shared" si="7"/>
        <v>0</v>
      </c>
      <c r="AM92" s="62"/>
      <c r="AN92" s="62"/>
      <c r="AO92" s="62"/>
    </row>
    <row r="93" spans="1:74" x14ac:dyDescent="0.3">
      <c r="A93" s="461" t="s">
        <v>807</v>
      </c>
      <c r="B93" s="461" t="s">
        <v>808</v>
      </c>
      <c r="C93" s="545"/>
      <c r="D93" s="468">
        <f>'6a. OE_OR-i'!J93</f>
        <v>0</v>
      </c>
      <c r="E93" s="468"/>
      <c r="F93" s="630"/>
      <c r="G93" s="630"/>
      <c r="H93" s="630"/>
      <c r="I93" s="468"/>
      <c r="J93" s="468"/>
      <c r="K93" s="468"/>
      <c r="L93" s="468">
        <f>'6a. OE_OR-i'!K93</f>
        <v>0</v>
      </c>
      <c r="M93" s="468">
        <f>'6a. OE_OR-i'!L93</f>
        <v>-6609151.75</v>
      </c>
      <c r="N93" s="468">
        <f>$M93*'6c. OE_OR-sfaf'!N93/'6c. OE_OR-sfaf'!$M93</f>
        <v>0</v>
      </c>
      <c r="O93" s="468">
        <f>$M93*'6c. OE_OR-sfaf'!O93/'6c. OE_OR-sfaf'!$M93</f>
        <v>0</v>
      </c>
      <c r="P93" s="468">
        <f>$M93*'6c. OE_OR-sfaf'!P93/'6c. OE_OR-sfaf'!$M93</f>
        <v>0</v>
      </c>
      <c r="Q93" s="468">
        <f>$M93*'6c. OE_OR-sfaf'!Q93/'6c. OE_OR-sfaf'!$M93</f>
        <v>0</v>
      </c>
      <c r="R93" s="468">
        <f>$M93*'6c. OE_OR-sfaf'!R93/'6c. OE_OR-sfaf'!$M93</f>
        <v>-6609151.75</v>
      </c>
      <c r="S93" s="468">
        <f>$M93*'6c. OE_OR-sfaf'!S93/'6c. OE_OR-sfaf'!$M93</f>
        <v>0</v>
      </c>
      <c r="T93" s="468">
        <f>$M93*'6c. OE_OR-sfaf'!T93/'6c. OE_OR-sfaf'!$M93</f>
        <v>0</v>
      </c>
      <c r="U93" s="468">
        <f>$M93*'6c. OE_OR-sfaf'!U93/'6c. OE_OR-sfaf'!$M93</f>
        <v>0</v>
      </c>
      <c r="V93" s="468">
        <f>$M93*'6c. OE_OR-sfaf'!V93/'6c. OE_OR-sfaf'!$M93</f>
        <v>0</v>
      </c>
      <c r="W93" s="468">
        <f>$M93*'6c. OE_OR-sfaf'!W93/'6c. OE_OR-sfaf'!$M93</f>
        <v>0</v>
      </c>
      <c r="X93" s="468">
        <f>'6a. OE_OR-i'!M93</f>
        <v>0</v>
      </c>
      <c r="Y93" s="468"/>
      <c r="Z93" s="468"/>
      <c r="AA93" s="468">
        <f>'6a. OE_OR-i'!N93</f>
        <v>0</v>
      </c>
      <c r="AB93" s="468">
        <f>'6a. OE_OR-i'!O93</f>
        <v>0</v>
      </c>
      <c r="AC93" s="468"/>
      <c r="AD93" s="468"/>
      <c r="AE93" s="468"/>
      <c r="AF93" s="468">
        <f>'6a. OE_OR-i'!P93</f>
        <v>0</v>
      </c>
      <c r="AG93" s="468"/>
      <c r="AH93" s="468">
        <f>'6a. OE_OR-i'!Q93</f>
        <v>0</v>
      </c>
      <c r="AI93" s="62"/>
      <c r="AJ93" s="62">
        <f>'6a. OE_OR-i'!I93</f>
        <v>-6609151.75</v>
      </c>
      <c r="AK93" s="62">
        <f t="shared" si="6"/>
        <v>-6609151.75</v>
      </c>
      <c r="AL93" s="62">
        <f t="shared" si="7"/>
        <v>0</v>
      </c>
      <c r="AM93" s="62"/>
      <c r="AN93" s="62"/>
      <c r="AO93" s="62"/>
    </row>
    <row r="94" spans="1:74" x14ac:dyDescent="0.3">
      <c r="A94" s="461" t="s">
        <v>809</v>
      </c>
      <c r="B94" s="62" t="s">
        <v>638</v>
      </c>
      <c r="C94" s="545"/>
      <c r="D94" s="468">
        <f>'6a. OE_OR-i'!J94</f>
        <v>-1734584.18</v>
      </c>
      <c r="E94" s="468">
        <f>$D94*'6c. OE_OR-sfaf'!E94/'6c. OE_OR-sfaf'!$D94</f>
        <v>0</v>
      </c>
      <c r="F94" s="630"/>
      <c r="G94" s="630"/>
      <c r="H94" s="630"/>
      <c r="I94" s="468">
        <f>$D94*'6c. OE_OR-sfaf'!I94/'6c. OE_OR-sfaf'!$D94</f>
        <v>-1734584.18</v>
      </c>
      <c r="J94" s="468">
        <f>$D94*'6c. OE_OR-sfaf'!J94/'6c. OE_OR-sfaf'!$D94</f>
        <v>0</v>
      </c>
      <c r="K94" s="468"/>
      <c r="L94" s="468">
        <f>'6a. OE_OR-i'!K94</f>
        <v>0</v>
      </c>
      <c r="M94" s="468">
        <f>'6a. OE_OR-i'!L94</f>
        <v>-85302.409999999989</v>
      </c>
      <c r="N94" s="468">
        <f>$M94*'6c. OE_OR-sfaf'!N94/'6c. OE_OR-sfaf'!$M94</f>
        <v>0</v>
      </c>
      <c r="O94" s="468">
        <f>$M94*'6c. OE_OR-sfaf'!O94/'6c. OE_OR-sfaf'!$M94</f>
        <v>-54774.341958938086</v>
      </c>
      <c r="P94" s="468">
        <f>$M94*'6c. OE_OR-sfaf'!P94/'6c. OE_OR-sfaf'!$M94</f>
        <v>0</v>
      </c>
      <c r="Q94" s="468">
        <f>$M94*'6c. OE_OR-sfaf'!Q94/'6c. OE_OR-sfaf'!$M94</f>
        <v>0</v>
      </c>
      <c r="R94" s="468">
        <f>$M94*'6c. OE_OR-sfaf'!R94/'6c. OE_OR-sfaf'!$M94</f>
        <v>-30528.06804106191</v>
      </c>
      <c r="S94" s="468">
        <f>$M94*'6c. OE_OR-sfaf'!S94/'6c. OE_OR-sfaf'!$M94</f>
        <v>0</v>
      </c>
      <c r="T94" s="468">
        <f>$M94*'6c. OE_OR-sfaf'!T94/'6c. OE_OR-sfaf'!$M94</f>
        <v>0</v>
      </c>
      <c r="U94" s="468">
        <f>$M94*'6c. OE_OR-sfaf'!U94/'6c. OE_OR-sfaf'!$M94</f>
        <v>0</v>
      </c>
      <c r="V94" s="468">
        <f>$M94*'6c. OE_OR-sfaf'!V94/'6c. OE_OR-sfaf'!$M94</f>
        <v>0</v>
      </c>
      <c r="W94" s="468">
        <f>$M94*'6c. OE_OR-sfaf'!W94/'6c. OE_OR-sfaf'!$M94</f>
        <v>0</v>
      </c>
      <c r="X94" s="468">
        <f>'6a. OE_OR-i'!M94</f>
        <v>0</v>
      </c>
      <c r="Y94" s="468"/>
      <c r="Z94" s="468"/>
      <c r="AA94" s="468">
        <f>'6a. OE_OR-i'!N94</f>
        <v>0</v>
      </c>
      <c r="AB94" s="468">
        <f>'6a. OE_OR-i'!O94</f>
        <v>0</v>
      </c>
      <c r="AC94" s="468"/>
      <c r="AD94" s="468"/>
      <c r="AE94" s="468"/>
      <c r="AF94" s="468">
        <f>'6a. OE_OR-i'!P94</f>
        <v>-30574.240000000002</v>
      </c>
      <c r="AG94" s="468">
        <f>+AF94*'6c. OE_OR-sfaf'!AG94/'6c. OE_OR-sfaf'!AF94</f>
        <v>-30574.240000000002</v>
      </c>
      <c r="AH94" s="468">
        <f>'6a. OE_OR-i'!Q94</f>
        <v>-23888.33</v>
      </c>
      <c r="AI94" s="62"/>
      <c r="AJ94" s="62">
        <f>'6a. OE_OR-i'!I94</f>
        <v>-1874349.16</v>
      </c>
      <c r="AK94" s="62">
        <f t="shared" si="6"/>
        <v>-1874349.1600000001</v>
      </c>
      <c r="AL94" s="62">
        <f t="shared" si="7"/>
        <v>0</v>
      </c>
      <c r="AM94" s="461"/>
      <c r="AN94" s="461"/>
      <c r="AO94" s="46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</row>
    <row r="95" spans="1:74" x14ac:dyDescent="0.3">
      <c r="A95" s="465"/>
      <c r="B95" s="465" t="s">
        <v>1238</v>
      </c>
      <c r="C95" s="545"/>
      <c r="D95" s="468"/>
      <c r="E95" s="468"/>
      <c r="F95" s="630"/>
      <c r="G95" s="630"/>
      <c r="H95" s="630"/>
      <c r="I95" s="468"/>
      <c r="J95" s="468"/>
      <c r="K95" s="468"/>
      <c r="L95" s="468">
        <f>'6a. OE_OR-i'!K95</f>
        <v>-22732.75</v>
      </c>
      <c r="M95" s="468"/>
      <c r="N95" s="468"/>
      <c r="O95" s="468"/>
      <c r="P95" s="468"/>
      <c r="Q95" s="468"/>
      <c r="R95" s="468"/>
      <c r="S95" s="468"/>
      <c r="T95" s="468"/>
      <c r="U95" s="468"/>
      <c r="V95" s="468"/>
      <c r="W95" s="468"/>
      <c r="X95" s="468"/>
      <c r="Y95" s="468"/>
      <c r="Z95" s="468"/>
      <c r="AA95" s="468"/>
      <c r="AB95" s="468"/>
      <c r="AC95" s="468"/>
      <c r="AD95" s="468"/>
      <c r="AE95" s="468"/>
      <c r="AF95" s="468"/>
      <c r="AG95" s="468"/>
      <c r="AH95" s="468"/>
      <c r="AI95" s="62"/>
      <c r="AJ95" s="62">
        <f>'6a. OE_OR-i'!I95</f>
        <v>-22732.75</v>
      </c>
      <c r="AK95" s="62">
        <f t="shared" si="6"/>
        <v>-22732.75</v>
      </c>
      <c r="AL95" s="62">
        <f t="shared" ref="AL95" si="8">AJ95-AK95</f>
        <v>0</v>
      </c>
      <c r="AM95" s="62"/>
      <c r="AN95" s="62"/>
      <c r="AO95" s="62"/>
    </row>
    <row r="96" spans="1:74" x14ac:dyDescent="0.3">
      <c r="A96" s="462"/>
      <c r="B96" s="474"/>
      <c r="C96" s="548"/>
      <c r="D96" s="468"/>
      <c r="E96" s="468"/>
      <c r="F96" s="630"/>
      <c r="G96" s="630"/>
      <c r="H96" s="630"/>
      <c r="I96" s="468"/>
      <c r="J96" s="468"/>
      <c r="K96" s="468"/>
      <c r="L96" s="468"/>
      <c r="M96" s="468"/>
      <c r="N96" s="468"/>
      <c r="O96" s="468"/>
      <c r="P96" s="468"/>
      <c r="Q96" s="468"/>
      <c r="R96" s="468"/>
      <c r="S96" s="468"/>
      <c r="T96" s="468"/>
      <c r="U96" s="468"/>
      <c r="V96" s="468"/>
      <c r="W96" s="468"/>
      <c r="X96" s="468"/>
      <c r="Y96" s="468"/>
      <c r="Z96" s="468"/>
      <c r="AA96" s="468"/>
      <c r="AB96" s="468"/>
      <c r="AC96" s="468"/>
      <c r="AD96" s="468"/>
      <c r="AE96" s="468"/>
      <c r="AF96" s="468"/>
      <c r="AG96" s="468"/>
      <c r="AH96" s="468"/>
      <c r="AI96" s="62"/>
      <c r="AJ96" s="62"/>
      <c r="AK96" s="62"/>
      <c r="AL96" s="62"/>
      <c r="AM96" s="62"/>
      <c r="AN96" s="62"/>
      <c r="AO96" s="62"/>
    </row>
    <row r="97" spans="1:41" x14ac:dyDescent="0.3">
      <c r="A97" s="62"/>
      <c r="B97" s="486" t="s">
        <v>524</v>
      </c>
      <c r="C97" s="548"/>
      <c r="D97" s="468">
        <f t="shared" ref="D97:AH97" si="9">SUM(D86:D95)</f>
        <v>-1734624.89</v>
      </c>
      <c r="E97" s="468">
        <f t="shared" si="9"/>
        <v>0</v>
      </c>
      <c r="F97" s="630"/>
      <c r="G97" s="630"/>
      <c r="H97" s="630"/>
      <c r="I97" s="468">
        <f t="shared" si="9"/>
        <v>-1734624.89</v>
      </c>
      <c r="J97" s="468">
        <f t="shared" si="9"/>
        <v>0</v>
      </c>
      <c r="K97" s="468">
        <f t="shared" si="9"/>
        <v>0</v>
      </c>
      <c r="L97" s="468">
        <f t="shared" si="9"/>
        <v>-22732.75</v>
      </c>
      <c r="M97" s="468">
        <f t="shared" si="9"/>
        <v>-6694454.1600000001</v>
      </c>
      <c r="N97" s="468">
        <f t="shared" si="9"/>
        <v>0</v>
      </c>
      <c r="O97" s="468">
        <f t="shared" si="9"/>
        <v>-54774.341958938086</v>
      </c>
      <c r="P97" s="468">
        <f t="shared" si="9"/>
        <v>0</v>
      </c>
      <c r="Q97" s="468">
        <f t="shared" si="9"/>
        <v>0</v>
      </c>
      <c r="R97" s="468">
        <f t="shared" si="9"/>
        <v>-6639679.818041062</v>
      </c>
      <c r="S97" s="468">
        <f t="shared" si="9"/>
        <v>0</v>
      </c>
      <c r="T97" s="468">
        <f t="shared" si="9"/>
        <v>0</v>
      </c>
      <c r="U97" s="468">
        <f t="shared" si="9"/>
        <v>0</v>
      </c>
      <c r="V97" s="468">
        <f t="shared" si="9"/>
        <v>0</v>
      </c>
      <c r="W97" s="468">
        <f t="shared" si="9"/>
        <v>0</v>
      </c>
      <c r="X97" s="468">
        <f t="shared" si="9"/>
        <v>-251295.87</v>
      </c>
      <c r="Y97" s="468">
        <f t="shared" si="9"/>
        <v>-251295.87</v>
      </c>
      <c r="Z97" s="468">
        <f t="shared" si="9"/>
        <v>0</v>
      </c>
      <c r="AA97" s="468">
        <f t="shared" si="9"/>
        <v>0</v>
      </c>
      <c r="AB97" s="468">
        <f t="shared" si="9"/>
        <v>0</v>
      </c>
      <c r="AC97" s="468">
        <f t="shared" si="9"/>
        <v>0</v>
      </c>
      <c r="AD97" s="468">
        <f t="shared" si="9"/>
        <v>0</v>
      </c>
      <c r="AE97" s="468">
        <f t="shared" si="9"/>
        <v>0</v>
      </c>
      <c r="AF97" s="468">
        <f t="shared" si="9"/>
        <v>-30574.240000000002</v>
      </c>
      <c r="AG97" s="468">
        <f t="shared" si="9"/>
        <v>-30574.240000000002</v>
      </c>
      <c r="AH97" s="468">
        <f t="shared" si="9"/>
        <v>-8553473.5699999984</v>
      </c>
      <c r="AI97" s="62"/>
      <c r="AJ97" s="62">
        <f>'6a. OE_OR-i'!I98</f>
        <v>-17287155.48</v>
      </c>
      <c r="AK97" s="62">
        <f>SUM(E97,I97:K97,L97,N97:W97,Y97:Z97,AA97:AA97,AC97:AE97,AG97:AH97)</f>
        <v>-17287155.479999997</v>
      </c>
      <c r="AL97" s="62">
        <f>AJ97-AK97</f>
        <v>0</v>
      </c>
      <c r="AM97" s="62"/>
      <c r="AN97" s="62"/>
      <c r="AO97" s="62"/>
    </row>
    <row r="98" spans="1:41" x14ac:dyDescent="0.3">
      <c r="A98" s="548"/>
      <c r="B98" s="548"/>
      <c r="C98" s="548"/>
      <c r="D98" s="468"/>
      <c r="E98" s="468"/>
      <c r="F98" s="630"/>
      <c r="G98" s="630"/>
      <c r="H98" s="630"/>
      <c r="I98" s="468"/>
      <c r="J98" s="468"/>
      <c r="K98" s="468"/>
      <c r="L98" s="468"/>
      <c r="M98" s="468"/>
      <c r="N98" s="468"/>
      <c r="O98" s="468"/>
      <c r="P98" s="468"/>
      <c r="Q98" s="468"/>
      <c r="R98" s="468"/>
      <c r="S98" s="468"/>
      <c r="T98" s="468"/>
      <c r="U98" s="468"/>
      <c r="V98" s="468"/>
      <c r="W98" s="468"/>
      <c r="X98" s="468"/>
      <c r="Y98" s="468"/>
      <c r="Z98" s="468"/>
      <c r="AA98" s="468"/>
      <c r="AB98" s="468"/>
      <c r="AC98" s="468"/>
      <c r="AD98" s="468"/>
      <c r="AE98" s="468"/>
      <c r="AF98" s="468"/>
      <c r="AG98" s="468"/>
      <c r="AH98" s="468"/>
      <c r="AI98" s="62"/>
      <c r="AJ98" s="62"/>
      <c r="AK98" s="62"/>
      <c r="AL98" s="62"/>
      <c r="AM98" s="62"/>
      <c r="AN98" s="62"/>
      <c r="AO98" s="62"/>
    </row>
    <row r="99" spans="1:41" x14ac:dyDescent="0.3">
      <c r="A99" s="549" t="s">
        <v>117</v>
      </c>
      <c r="B99" s="548"/>
      <c r="C99" s="548"/>
      <c r="D99" s="468"/>
      <c r="E99" s="468"/>
      <c r="F99" s="630"/>
      <c r="G99" s="630"/>
      <c r="H99" s="630"/>
      <c r="I99" s="468"/>
      <c r="J99" s="468"/>
      <c r="K99" s="468"/>
      <c r="L99" s="468"/>
      <c r="M99" s="468"/>
      <c r="N99" s="468"/>
      <c r="O99" s="468"/>
      <c r="P99" s="468"/>
      <c r="Q99" s="468"/>
      <c r="R99" s="468"/>
      <c r="S99" s="468"/>
      <c r="T99" s="468"/>
      <c r="U99" s="468"/>
      <c r="V99" s="468"/>
      <c r="W99" s="468"/>
      <c r="X99" s="468"/>
      <c r="Y99" s="468"/>
      <c r="Z99" s="468"/>
      <c r="AA99" s="468"/>
      <c r="AB99" s="468"/>
      <c r="AC99" s="468"/>
      <c r="AD99" s="468"/>
      <c r="AE99" s="468"/>
      <c r="AF99" s="468"/>
      <c r="AG99" s="468"/>
      <c r="AH99" s="468"/>
      <c r="AI99" s="62"/>
      <c r="AJ99" s="62"/>
      <c r="AK99" s="62"/>
      <c r="AL99" s="62"/>
      <c r="AM99" s="62"/>
      <c r="AN99" s="62"/>
      <c r="AO99" s="62"/>
    </row>
    <row r="100" spans="1:41" x14ac:dyDescent="0.3">
      <c r="A100" s="548"/>
      <c r="B100" s="548" t="s">
        <v>118</v>
      </c>
      <c r="C100" s="548" t="s">
        <v>125</v>
      </c>
      <c r="D100" s="468">
        <f>'6a. OE_OR-i'!J102</f>
        <v>0</v>
      </c>
      <c r="E100" s="468"/>
      <c r="F100" s="630"/>
      <c r="G100" s="630"/>
      <c r="H100" s="630"/>
      <c r="I100" s="468"/>
      <c r="J100" s="468"/>
      <c r="K100" s="468"/>
      <c r="L100" s="468">
        <f>'6a. OE_OR-i'!K102</f>
        <v>0</v>
      </c>
      <c r="M100" s="468">
        <f>'6a. OE_OR-i'!L102</f>
        <v>0</v>
      </c>
      <c r="N100" s="468"/>
      <c r="O100" s="468"/>
      <c r="P100" s="468"/>
      <c r="Q100" s="468"/>
      <c r="R100" s="468"/>
      <c r="S100" s="468"/>
      <c r="T100" s="468"/>
      <c r="U100" s="468"/>
      <c r="V100" s="468"/>
      <c r="W100" s="468"/>
      <c r="X100" s="468">
        <f>'6a. OE_OR-i'!M102</f>
        <v>0</v>
      </c>
      <c r="Y100" s="468"/>
      <c r="Z100" s="468"/>
      <c r="AA100" s="468">
        <f>'6a. OE_OR-i'!N102</f>
        <v>0</v>
      </c>
      <c r="AB100" s="468">
        <f>'6a. OE_OR-i'!O102</f>
        <v>0</v>
      </c>
      <c r="AC100" s="468"/>
      <c r="AD100" s="468"/>
      <c r="AE100" s="468"/>
      <c r="AF100" s="468">
        <f>'6a. OE_OR-i'!P102</f>
        <v>0</v>
      </c>
      <c r="AG100" s="468"/>
      <c r="AH100" s="468">
        <f>'6a. OE_OR-i'!Q102</f>
        <v>0</v>
      </c>
      <c r="AI100" s="62"/>
      <c r="AJ100" s="62">
        <f>'6a. OE_OR-i'!I102</f>
        <v>0</v>
      </c>
      <c r="AK100" s="62">
        <f t="shared" ref="AK100:AK101" si="10">SUM(E100,I100:K100,L100,N100:W100,Y100:Z100,AA100:AA100,AC100:AE100,AG100:AH100)</f>
        <v>0</v>
      </c>
      <c r="AL100" s="62">
        <f t="shared" ref="AL100:AL110" si="11">AJ100-AK100</f>
        <v>0</v>
      </c>
      <c r="AM100" s="62"/>
      <c r="AN100" s="62"/>
      <c r="AO100" s="62"/>
    </row>
    <row r="101" spans="1:41" x14ac:dyDescent="0.3">
      <c r="A101" s="548"/>
      <c r="B101" s="548" t="s">
        <v>564</v>
      </c>
      <c r="C101" s="548" t="s">
        <v>151</v>
      </c>
      <c r="D101" s="468">
        <f>'6a. OE_OR-i'!J103</f>
        <v>-1197698.9648654929</v>
      </c>
      <c r="E101" s="468">
        <f>+D101*'6c. OE_OR-sfaf'!E101/'6c. OE_OR-sfaf'!D101</f>
        <v>-821539.7523491123</v>
      </c>
      <c r="F101" s="630"/>
      <c r="G101" s="630"/>
      <c r="H101" s="630"/>
      <c r="I101" s="468">
        <f>+D101*'6c. OE_OR-sfaf'!I101/'6c. OE_OR-sfaf'!D101</f>
        <v>-376159.21251638065</v>
      </c>
      <c r="J101" s="468">
        <f>$D101*'6c. OE_OR-sfaf'!J101/'6c. OE_OR-sfaf'!$D101</f>
        <v>0</v>
      </c>
      <c r="K101" s="468"/>
      <c r="L101" s="468">
        <f>'6a. OE_OR-i'!K103</f>
        <v>-373647.92093893536</v>
      </c>
      <c r="M101" s="468">
        <f>'6a. OE_OR-i'!L103</f>
        <v>-616639.63652573922</v>
      </c>
      <c r="N101" s="468">
        <f>$M101*'6c. OE_OR-sfaf'!N101/'6c. OE_OR-sfaf'!$M101</f>
        <v>-173881.32200074865</v>
      </c>
      <c r="O101" s="468">
        <f>$M101*'6c. OE_OR-sfaf'!O101/'6c. OE_OR-sfaf'!$M101</f>
        <v>-176025.23361707927</v>
      </c>
      <c r="P101" s="468">
        <f>$M101*'6c. OE_OR-sfaf'!P101/'6c. OE_OR-sfaf'!$M101</f>
        <v>-48147.541464786831</v>
      </c>
      <c r="Q101" s="468">
        <f>$M101*'6c. OE_OR-sfaf'!Q101/'6c. OE_OR-sfaf'!$M101</f>
        <v>-18275.225095659425</v>
      </c>
      <c r="R101" s="468">
        <f>$M101*'6c. OE_OR-sfaf'!R101/'6c. OE_OR-sfaf'!$M101</f>
        <v>-119100.50103769741</v>
      </c>
      <c r="S101" s="468">
        <f>$M101*'6c. OE_OR-sfaf'!S101/'6c. OE_OR-sfaf'!$M101</f>
        <v>-31295.45293780314</v>
      </c>
      <c r="T101" s="468">
        <f>$M101*'6c. OE_OR-sfaf'!T101/'6c. OE_OR-sfaf'!$M101</f>
        <v>-19977.526423070529</v>
      </c>
      <c r="U101" s="468">
        <f>$M101*'6c. OE_OR-sfaf'!U101/'6c. OE_OR-sfaf'!$M101</f>
        <v>-7965.2027982834234</v>
      </c>
      <c r="V101" s="468">
        <f>$M101*'6c. OE_OR-sfaf'!V101/'6c. OE_OR-sfaf'!$M101</f>
        <v>-20442.388727485231</v>
      </c>
      <c r="W101" s="468">
        <f>$M101*'6c. OE_OR-sfaf'!W101/'6c. OE_OR-sfaf'!$M101</f>
        <v>-1529.2424231251803</v>
      </c>
      <c r="X101" s="468">
        <f>'6a. OE_OR-i'!M103</f>
        <v>-136169.28908547052</v>
      </c>
      <c r="Y101" s="468">
        <f>+X101*'6c. OE_OR-sfaf'!Y101/'6c. OE_OR-sfaf'!X101</f>
        <v>-80973.109610521671</v>
      </c>
      <c r="Z101" s="468">
        <f>+X101*'6c. OE_OR-sfaf'!Z101/'6c. OE_OR-sfaf'!X101</f>
        <v>-55196.179474948847</v>
      </c>
      <c r="AA101" s="468">
        <f>'6a. OE_OR-i'!N103</f>
        <v>-36369.72302746027</v>
      </c>
      <c r="AB101" s="468">
        <f>'6a. OE_OR-i'!O103</f>
        <v>-185752.18288402903</v>
      </c>
      <c r="AC101" s="468">
        <f>+AB101*'6c. OE_OR-sfaf'!AC101/'6c. OE_OR-sfaf'!AB101</f>
        <v>-168553.3897833988</v>
      </c>
      <c r="AD101" s="468">
        <f>+AB101*'6c. OE_OR-sfaf'!AD101/'6c. OE_OR-sfaf'!AB101</f>
        <v>-17198.793100630217</v>
      </c>
      <c r="AE101" s="468">
        <f>+AB101*'6c. OE_OR-sfaf'!AE101/'6c. OE_OR-sfaf'!AB101</f>
        <v>0</v>
      </c>
      <c r="AF101" s="468">
        <f>'6a. OE_OR-i'!P103</f>
        <v>-26361.404695432084</v>
      </c>
      <c r="AG101" s="468">
        <f>+AF101*'6c. OE_OR-sfaf'!AG101/'6c. OE_OR-sfaf'!AF101</f>
        <v>-26361.404695432084</v>
      </c>
      <c r="AH101" s="468">
        <f>'6a. OE_OR-i'!Q103</f>
        <v>0</v>
      </c>
      <c r="AI101" s="62"/>
      <c r="AJ101" s="62">
        <f>'6a. OE_OR-i'!I103</f>
        <v>-2572639.127206495</v>
      </c>
      <c r="AK101" s="62">
        <f t="shared" si="10"/>
        <v>-2572639.1220225594</v>
      </c>
      <c r="AL101" s="62">
        <f t="shared" si="11"/>
        <v>-5.1839356310665607E-3</v>
      </c>
      <c r="AM101" s="62"/>
      <c r="AN101" s="62"/>
      <c r="AO101" s="62"/>
    </row>
    <row r="102" spans="1:41" x14ac:dyDescent="0.3">
      <c r="A102" s="548"/>
      <c r="B102" s="548" t="s">
        <v>119</v>
      </c>
      <c r="C102" s="548" t="s">
        <v>105</v>
      </c>
      <c r="D102" s="468">
        <f>'6a. OE_OR-i'!J104</f>
        <v>0</v>
      </c>
      <c r="E102" s="468">
        <f>$D102*'6c. OE_OR-sfaf'!E102/'6c. OE_OR-sfaf'!$D102</f>
        <v>0</v>
      </c>
      <c r="F102" s="630"/>
      <c r="G102" s="630"/>
      <c r="H102" s="630"/>
      <c r="I102" s="468"/>
      <c r="J102" s="468"/>
      <c r="K102" s="468"/>
      <c r="L102" s="468">
        <f>'6a. OE_OR-i'!K104</f>
        <v>0</v>
      </c>
      <c r="M102" s="468">
        <f>'6a. OE_OR-i'!L104</f>
        <v>0</v>
      </c>
      <c r="N102" s="468"/>
      <c r="O102" s="468"/>
      <c r="P102" s="468"/>
      <c r="Q102" s="468"/>
      <c r="R102" s="468"/>
      <c r="S102" s="468"/>
      <c r="T102" s="468"/>
      <c r="U102" s="468"/>
      <c r="V102" s="468"/>
      <c r="W102" s="468"/>
      <c r="X102" s="468">
        <f>'6a. OE_OR-i'!M104</f>
        <v>0</v>
      </c>
      <c r="Y102" s="468"/>
      <c r="Z102" s="468"/>
      <c r="AA102" s="468">
        <f>'6a. OE_OR-i'!N104</f>
        <v>0</v>
      </c>
      <c r="AB102" s="468">
        <f>'6a. OE_OR-i'!O104</f>
        <v>0</v>
      </c>
      <c r="AC102" s="468"/>
      <c r="AD102" s="468"/>
      <c r="AE102" s="468"/>
      <c r="AF102" s="468"/>
      <c r="AG102" s="468"/>
      <c r="AH102" s="468">
        <f>'6a. OE_OR-i'!Q104</f>
        <v>0</v>
      </c>
      <c r="AI102" s="62"/>
      <c r="AJ102" s="62"/>
      <c r="AK102" s="62">
        <f t="shared" ref="AK102" si="12">SUM(F102:K102,L102,N102:W102,Y102:Z102,AA102:AA102,AC102:AE102,AG102:AH102)</f>
        <v>0</v>
      </c>
      <c r="AL102" s="62"/>
      <c r="AM102" s="62"/>
      <c r="AN102" s="62"/>
      <c r="AO102" s="62"/>
    </row>
    <row r="103" spans="1:41" x14ac:dyDescent="0.3">
      <c r="A103" s="548"/>
      <c r="B103" s="548" t="s">
        <v>120</v>
      </c>
      <c r="C103" s="548" t="s">
        <v>138</v>
      </c>
      <c r="D103" s="468">
        <f>'6a. OE_OR-i'!J105</f>
        <v>0</v>
      </c>
      <c r="E103" s="468"/>
      <c r="F103" s="630"/>
      <c r="G103" s="630"/>
      <c r="H103" s="630"/>
      <c r="I103" s="468"/>
      <c r="J103" s="468"/>
      <c r="K103" s="468"/>
      <c r="L103" s="468">
        <f>'6a. OE_OR-i'!K105</f>
        <v>0</v>
      </c>
      <c r="M103" s="468">
        <f>'6a. OE_OR-i'!L105</f>
        <v>0</v>
      </c>
      <c r="N103" s="468"/>
      <c r="O103" s="468"/>
      <c r="P103" s="468"/>
      <c r="Q103" s="468"/>
      <c r="R103" s="468"/>
      <c r="S103" s="468"/>
      <c r="T103" s="468"/>
      <c r="U103" s="468"/>
      <c r="V103" s="468"/>
      <c r="W103" s="468"/>
      <c r="X103" s="468">
        <f>'6a. OE_OR-i'!M105</f>
        <v>0</v>
      </c>
      <c r="Y103" s="468"/>
      <c r="Z103" s="468"/>
      <c r="AA103" s="468">
        <f>'6a. OE_OR-i'!N105</f>
        <v>-1900021.4503634204</v>
      </c>
      <c r="AB103" s="468">
        <f>'6a. OE_OR-i'!O105</f>
        <v>0</v>
      </c>
      <c r="AC103" s="468"/>
      <c r="AD103" s="468"/>
      <c r="AE103" s="468"/>
      <c r="AF103" s="468"/>
      <c r="AG103" s="468"/>
      <c r="AH103" s="468" t="str">
        <f>'6a. OE_OR-i'!Q105</f>
        <v xml:space="preserve"> </v>
      </c>
      <c r="AI103" s="62"/>
      <c r="AJ103" s="62">
        <f>'6a. OE_OR-i'!I105</f>
        <v>-1900021.4503634204</v>
      </c>
      <c r="AK103" s="62">
        <f t="shared" ref="AK103:AK110" si="13">SUM(E103,I103:K103,L103,N103:W103,Y103:Z103,AA103:AA103,AC103:AE103,AG103:AH103)</f>
        <v>-1900021.4503634204</v>
      </c>
      <c r="AL103" s="62">
        <f t="shared" si="11"/>
        <v>0</v>
      </c>
      <c r="AM103" s="62"/>
      <c r="AN103" s="62"/>
      <c r="AO103" s="62"/>
    </row>
    <row r="104" spans="1:41" x14ac:dyDescent="0.3">
      <c r="A104" s="548"/>
      <c r="B104" s="548" t="s">
        <v>121</v>
      </c>
      <c r="C104" s="548" t="s">
        <v>138</v>
      </c>
      <c r="D104" s="468">
        <f>'6a. OE_OR-i'!J106</f>
        <v>0</v>
      </c>
      <c r="E104" s="468"/>
      <c r="F104" s="630"/>
      <c r="G104" s="630"/>
      <c r="H104" s="630"/>
      <c r="I104" s="468"/>
      <c r="J104" s="468"/>
      <c r="K104" s="468"/>
      <c r="L104" s="468">
        <f>'6a. OE_OR-i'!K106</f>
        <v>0</v>
      </c>
      <c r="M104" s="468">
        <f>'6a. OE_OR-i'!L106</f>
        <v>0</v>
      </c>
      <c r="N104" s="468"/>
      <c r="O104" s="468"/>
      <c r="P104" s="468"/>
      <c r="Q104" s="468"/>
      <c r="R104" s="468"/>
      <c r="S104" s="468"/>
      <c r="T104" s="468"/>
      <c r="U104" s="468"/>
      <c r="V104" s="468"/>
      <c r="W104" s="468"/>
      <c r="X104" s="468">
        <f>'6a. OE_OR-i'!M106</f>
        <v>0</v>
      </c>
      <c r="Y104" s="468"/>
      <c r="Z104" s="468"/>
      <c r="AA104" s="468">
        <f>'6a. OE_OR-i'!N106</f>
        <v>-1590054.4191704746</v>
      </c>
      <c r="AB104" s="468">
        <f>'6a. OE_OR-i'!O106</f>
        <v>0</v>
      </c>
      <c r="AC104" s="468"/>
      <c r="AD104" s="468"/>
      <c r="AE104" s="468"/>
      <c r="AF104" s="468"/>
      <c r="AG104" s="468"/>
      <c r="AH104" s="468" t="str">
        <f>'6a. OE_OR-i'!Q106</f>
        <v xml:space="preserve"> </v>
      </c>
      <c r="AI104" s="62"/>
      <c r="AJ104" s="62">
        <f>'6a. OE_OR-i'!I106</f>
        <v>-1590054.4191704746</v>
      </c>
      <c r="AK104" s="62">
        <f t="shared" si="13"/>
        <v>-1590054.4191704746</v>
      </c>
      <c r="AL104" s="62">
        <f t="shared" si="11"/>
        <v>0</v>
      </c>
      <c r="AM104" s="62"/>
      <c r="AN104" s="62"/>
      <c r="AO104" s="62"/>
    </row>
    <row r="105" spans="1:41" x14ac:dyDescent="0.3">
      <c r="A105" s="548"/>
      <c r="B105" s="548" t="s">
        <v>122</v>
      </c>
      <c r="C105" s="548" t="s">
        <v>138</v>
      </c>
      <c r="D105" s="468">
        <f>'6a. OE_OR-i'!J107</f>
        <v>0</v>
      </c>
      <c r="E105" s="468"/>
      <c r="F105" s="630"/>
      <c r="G105" s="630"/>
      <c r="H105" s="630"/>
      <c r="I105" s="468"/>
      <c r="J105" s="468"/>
      <c r="K105" s="468"/>
      <c r="L105" s="468">
        <f>'6a. OE_OR-i'!K107</f>
        <v>0</v>
      </c>
      <c r="M105" s="468">
        <f>'6a. OE_OR-i'!L107</f>
        <v>0</v>
      </c>
      <c r="N105" s="468"/>
      <c r="O105" s="468"/>
      <c r="P105" s="468"/>
      <c r="Q105" s="468"/>
      <c r="R105" s="468"/>
      <c r="S105" s="468"/>
      <c r="T105" s="468"/>
      <c r="U105" s="468"/>
      <c r="V105" s="468"/>
      <c r="W105" s="468"/>
      <c r="X105" s="468">
        <f>'6a. OE_OR-i'!M107</f>
        <v>0</v>
      </c>
      <c r="Y105" s="468"/>
      <c r="Z105" s="468"/>
      <c r="AA105" s="468">
        <f>'6a. OE_OR-i'!N107</f>
        <v>-674225.20498741895</v>
      </c>
      <c r="AB105" s="468">
        <f>'6a. OE_OR-i'!O107</f>
        <v>0</v>
      </c>
      <c r="AC105" s="468"/>
      <c r="AD105" s="468"/>
      <c r="AE105" s="468"/>
      <c r="AF105" s="468"/>
      <c r="AG105" s="468"/>
      <c r="AH105" s="468" t="str">
        <f>'6a. OE_OR-i'!Q107</f>
        <v xml:space="preserve"> </v>
      </c>
      <c r="AI105" s="62"/>
      <c r="AJ105" s="62">
        <f>'6a. OE_OR-i'!I107</f>
        <v>-674225.20498741895</v>
      </c>
      <c r="AK105" s="62">
        <f t="shared" si="13"/>
        <v>-674225.20498741895</v>
      </c>
      <c r="AL105" s="62">
        <f t="shared" si="11"/>
        <v>0</v>
      </c>
      <c r="AM105" s="62"/>
      <c r="AN105" s="62"/>
      <c r="AO105" s="62"/>
    </row>
    <row r="106" spans="1:41" x14ac:dyDescent="0.3">
      <c r="A106" s="548"/>
      <c r="B106" s="548" t="s">
        <v>123</v>
      </c>
      <c r="C106" s="548" t="s">
        <v>138</v>
      </c>
      <c r="D106" s="468">
        <f>'6a. OE_OR-i'!J108</f>
        <v>0</v>
      </c>
      <c r="E106" s="468">
        <f>+D106*'6c. OE_OR-sfaf'!E106</f>
        <v>0</v>
      </c>
      <c r="F106" s="630"/>
      <c r="G106" s="630"/>
      <c r="H106" s="630"/>
      <c r="I106" s="468"/>
      <c r="J106" s="468"/>
      <c r="K106" s="468"/>
      <c r="L106" s="468">
        <f>'6a. OE_OR-i'!K108</f>
        <v>0</v>
      </c>
      <c r="M106" s="468">
        <f>'6a. OE_OR-i'!L108</f>
        <v>0</v>
      </c>
      <c r="N106" s="468"/>
      <c r="O106" s="468"/>
      <c r="P106" s="468"/>
      <c r="Q106" s="468"/>
      <c r="R106" s="468"/>
      <c r="S106" s="468"/>
      <c r="T106" s="468"/>
      <c r="U106" s="468"/>
      <c r="V106" s="468"/>
      <c r="W106" s="468"/>
      <c r="X106" s="468">
        <f>'6a. OE_OR-i'!M108</f>
        <v>0</v>
      </c>
      <c r="Y106" s="468"/>
      <c r="Z106" s="468"/>
      <c r="AA106" s="468">
        <f>'6a. OE_OR-i'!N108</f>
        <v>0</v>
      </c>
      <c r="AB106" s="468">
        <f>'6a. OE_OR-i'!O108</f>
        <v>0</v>
      </c>
      <c r="AC106" s="468"/>
      <c r="AD106" s="468"/>
      <c r="AE106" s="468"/>
      <c r="AF106" s="468"/>
      <c r="AG106" s="468"/>
      <c r="AH106" s="468" t="str">
        <f>'6a. OE_OR-i'!Q108</f>
        <v xml:space="preserve"> </v>
      </c>
      <c r="AI106" s="62"/>
      <c r="AJ106" s="62">
        <f>'6a. OE_OR-i'!I108</f>
        <v>0</v>
      </c>
      <c r="AK106" s="62">
        <f t="shared" si="13"/>
        <v>0</v>
      </c>
      <c r="AL106" s="62">
        <f t="shared" si="11"/>
        <v>0</v>
      </c>
      <c r="AM106" s="62"/>
      <c r="AN106" s="62"/>
      <c r="AO106" s="62"/>
    </row>
    <row r="107" spans="1:41" x14ac:dyDescent="0.3">
      <c r="A107" s="548"/>
      <c r="B107" s="548" t="s">
        <v>124</v>
      </c>
      <c r="C107" s="548" t="s">
        <v>125</v>
      </c>
      <c r="D107" s="468">
        <f>'6a. OE_OR-i'!J109</f>
        <v>0</v>
      </c>
      <c r="E107" s="468"/>
      <c r="F107" s="630"/>
      <c r="G107" s="630"/>
      <c r="H107" s="630"/>
      <c r="I107" s="468"/>
      <c r="J107" s="468"/>
      <c r="K107" s="468"/>
      <c r="L107" s="468">
        <f>'6a. OE_OR-i'!K109</f>
        <v>0</v>
      </c>
      <c r="M107" s="468">
        <f>'6a. OE_OR-i'!L109</f>
        <v>0</v>
      </c>
      <c r="N107" s="468"/>
      <c r="O107" s="468"/>
      <c r="P107" s="468"/>
      <c r="Q107" s="468"/>
      <c r="R107" s="468"/>
      <c r="S107" s="468"/>
      <c r="T107" s="468"/>
      <c r="U107" s="468"/>
      <c r="V107" s="468"/>
      <c r="W107" s="468"/>
      <c r="X107" s="468">
        <f>'6a. OE_OR-i'!M109</f>
        <v>0</v>
      </c>
      <c r="Y107" s="468"/>
      <c r="Z107" s="468"/>
      <c r="AA107" s="468">
        <f>'6a. OE_OR-i'!N109</f>
        <v>0</v>
      </c>
      <c r="AB107" s="468">
        <f>'6a. OE_OR-i'!O109</f>
        <v>0</v>
      </c>
      <c r="AC107" s="468"/>
      <c r="AD107" s="468"/>
      <c r="AE107" s="468"/>
      <c r="AF107" s="468"/>
      <c r="AG107" s="468"/>
      <c r="AH107" s="468"/>
      <c r="AI107" s="62"/>
      <c r="AJ107" s="62">
        <f>'6a. OE_OR-i'!I109</f>
        <v>0</v>
      </c>
      <c r="AK107" s="62">
        <f t="shared" si="13"/>
        <v>0</v>
      </c>
      <c r="AL107" s="62">
        <f t="shared" si="11"/>
        <v>0</v>
      </c>
      <c r="AM107" s="62"/>
      <c r="AN107" s="62"/>
      <c r="AO107" s="62"/>
    </row>
    <row r="108" spans="1:41" ht="12" customHeight="1" x14ac:dyDescent="0.3">
      <c r="A108" s="548"/>
      <c r="B108" s="548" t="s">
        <v>1101</v>
      </c>
      <c r="C108" s="548" t="s">
        <v>151</v>
      </c>
      <c r="D108" s="468">
        <f>'6a. OE_OR-i'!J110</f>
        <v>0</v>
      </c>
      <c r="E108" s="468">
        <f>$D108*'6c. OE_OR-sfaf'!E108/'6c. OE_OR-sfaf'!$D108</f>
        <v>0</v>
      </c>
      <c r="F108" s="630"/>
      <c r="G108" s="630"/>
      <c r="H108" s="630"/>
      <c r="I108" s="468">
        <f>$D108*'6c. OE_OR-sfaf'!I108/'6c. OE_OR-sfaf'!$D108</f>
        <v>0</v>
      </c>
      <c r="J108" s="468">
        <f>$D108*'6c. OE_OR-sfaf'!J108/'6c. OE_OR-sfaf'!$D108</f>
        <v>0</v>
      </c>
      <c r="K108" s="468"/>
      <c r="L108" s="468">
        <f>'6a. OE_OR-i'!K110</f>
        <v>0</v>
      </c>
      <c r="M108" s="468">
        <f>'6a. OE_OR-i'!L110</f>
        <v>0</v>
      </c>
      <c r="N108" s="468">
        <f>$M108*'6c. OE_OR-sfaf'!N108/'6c. OE_OR-sfaf'!$M108</f>
        <v>0</v>
      </c>
      <c r="O108" s="468">
        <f>$M108*'6c. OE_OR-sfaf'!O108/'6c. OE_OR-sfaf'!$M108</f>
        <v>0</v>
      </c>
      <c r="P108" s="468">
        <f>$M108*'6c. OE_OR-sfaf'!P108/'6c. OE_OR-sfaf'!$M108</f>
        <v>0</v>
      </c>
      <c r="Q108" s="468">
        <f>$M108*'6c. OE_OR-sfaf'!Q108/'6c. OE_OR-sfaf'!$M108</f>
        <v>0</v>
      </c>
      <c r="R108" s="468">
        <f>$M108*'6c. OE_OR-sfaf'!R108/'6c. OE_OR-sfaf'!$M108</f>
        <v>0</v>
      </c>
      <c r="S108" s="468">
        <f>$M108*'6c. OE_OR-sfaf'!S108/'6c. OE_OR-sfaf'!$M108</f>
        <v>0</v>
      </c>
      <c r="T108" s="468">
        <f>$M108*'6c. OE_OR-sfaf'!T108/'6c. OE_OR-sfaf'!$M108</f>
        <v>0</v>
      </c>
      <c r="U108" s="468">
        <f>$M108*'6c. OE_OR-sfaf'!U108/'6c. OE_OR-sfaf'!$M108</f>
        <v>0</v>
      </c>
      <c r="V108" s="468">
        <f>$M108*'6c. OE_OR-sfaf'!V108/'6c. OE_OR-sfaf'!$M108</f>
        <v>0</v>
      </c>
      <c r="W108" s="468">
        <f>$M108*'6c. OE_OR-sfaf'!W108/'6c. OE_OR-sfaf'!$M108</f>
        <v>0</v>
      </c>
      <c r="X108" s="468">
        <f>'6a. OE_OR-i'!M110</f>
        <v>0</v>
      </c>
      <c r="Y108" s="468">
        <f>+X108*'6c. OE_OR-sfaf'!Y108/'6c. OE_OR-sfaf'!X108</f>
        <v>0</v>
      </c>
      <c r="Z108" s="468">
        <f>+X108*'6c. OE_OR-sfaf'!Z108/'6c. OE_OR-sfaf'!X108</f>
        <v>0</v>
      </c>
      <c r="AA108" s="468">
        <f>'6a. OE_OR-i'!N110</f>
        <v>0</v>
      </c>
      <c r="AB108" s="468">
        <f>'6a. OE_OR-i'!O110</f>
        <v>0</v>
      </c>
      <c r="AC108" s="468">
        <f>+AB108*'6c. OE_OR-sfaf'!AC108/'6c. OE_OR-sfaf'!AB108</f>
        <v>0</v>
      </c>
      <c r="AD108" s="468">
        <f>+AB108*'6c. OE_OR-sfaf'!AD108/'6c. OE_OR-sfaf'!AB108</f>
        <v>0</v>
      </c>
      <c r="AE108" s="468">
        <f>+AB108*'6c. OE_OR-sfaf'!AE108/'6c. OE_OR-sfaf'!AB108</f>
        <v>0</v>
      </c>
      <c r="AF108" s="468">
        <f>'6a. OE_OR-i'!P110</f>
        <v>0</v>
      </c>
      <c r="AG108" s="468">
        <f>+AF108*'6c. OE_OR-sfaf'!AG108/'6c. OE_OR-sfaf'!AF108</f>
        <v>0</v>
      </c>
      <c r="AH108" s="468">
        <f>'6a. OE_OR-i'!Q110</f>
        <v>0</v>
      </c>
      <c r="AI108" s="62"/>
      <c r="AJ108" s="62">
        <f>'6a. OE_OR-i'!I110</f>
        <v>0</v>
      </c>
      <c r="AK108" s="62">
        <f t="shared" si="13"/>
        <v>0</v>
      </c>
      <c r="AL108" s="62">
        <f t="shared" si="11"/>
        <v>0</v>
      </c>
      <c r="AM108" s="62"/>
      <c r="AN108" s="62"/>
      <c r="AO108" s="62"/>
    </row>
    <row r="109" spans="1:41" hidden="1" x14ac:dyDescent="0.3">
      <c r="A109" s="548"/>
      <c r="B109" s="548" t="s">
        <v>638</v>
      </c>
      <c r="C109" s="548" t="s">
        <v>151</v>
      </c>
      <c r="D109" s="468">
        <f>'6a. OE_OR-i'!J111</f>
        <v>-243412.8163069713</v>
      </c>
      <c r="E109" s="468">
        <f>$D109*'6c. OE_OR-sfaf'!E109/'6c. OE_OR-sfaf'!$D109</f>
        <v>-166964.58016049722</v>
      </c>
      <c r="F109" s="630"/>
      <c r="G109" s="630"/>
      <c r="H109" s="630"/>
      <c r="I109" s="468">
        <f>$D109*'6c. OE_OR-sfaf'!I109/'6c. OE_OR-sfaf'!$D109</f>
        <v>-76448.236146474068</v>
      </c>
      <c r="J109" s="468">
        <f>$D109*'6c. OE_OR-sfaf'!J109/'6c. OE_OR-sfaf'!$D109</f>
        <v>0</v>
      </c>
      <c r="K109" s="468"/>
      <c r="L109" s="468">
        <f>'6a. OE_OR-i'!K111</f>
        <v>-75937.85701668782</v>
      </c>
      <c r="M109" s="468">
        <f>'6a. OE_OR-i'!L111</f>
        <v>-125321.96735270121</v>
      </c>
      <c r="N109" s="468">
        <f>$M109*'6c. OE_OR-sfaf'!N109/'6c. OE_OR-sfaf'!$M109</f>
        <v>-35338.547943167723</v>
      </c>
      <c r="O109" s="468">
        <f>$M109*'6c. OE_OR-sfaf'!O109/'6c. OE_OR-sfaf'!$M109</f>
        <v>-35774.263076730414</v>
      </c>
      <c r="P109" s="468">
        <f>$M109*'6c. OE_OR-sfaf'!P109/'6c. OE_OR-sfaf'!$M109</f>
        <v>-9785.203970278646</v>
      </c>
      <c r="Q109" s="468">
        <f>$M109*'6c. OE_OR-sfaf'!Q109/'6c. OE_OR-sfaf'!$M109</f>
        <v>-3714.1419836476853</v>
      </c>
      <c r="R109" s="468">
        <f>$M109*'6c. OE_OR-sfaf'!R109/'6c. OE_OR-sfaf'!$M109</f>
        <v>-24205.237903343328</v>
      </c>
      <c r="S109" s="468">
        <f>$M109*'6c. OE_OR-sfaf'!S109/'6c. OE_OR-sfaf'!$M109</f>
        <v>-6360.2913258328217</v>
      </c>
      <c r="T109" s="468">
        <f>$M109*'6c. OE_OR-sfaf'!T109/'6c. OE_OR-sfaf'!$M109</f>
        <v>-4060.1070153155274</v>
      </c>
      <c r="U109" s="468">
        <f>$M109*'6c. OE_OR-sfaf'!U109/'6c. OE_OR-sfaf'!$M109</f>
        <v>-1618.7977968270825</v>
      </c>
      <c r="V109" s="468">
        <f>$M109*'6c. OE_OR-sfaf'!V109/'6c. OE_OR-sfaf'!$M109</f>
        <v>-4154.5827108215681</v>
      </c>
      <c r="W109" s="468">
        <f>$M109*'6c. OE_OR-sfaf'!W109/'6c. OE_OR-sfaf'!$M109</f>
        <v>-310.7936267364156</v>
      </c>
      <c r="X109" s="468">
        <f>'6a. OE_OR-i'!M111</f>
        <v>-27674.191197564309</v>
      </c>
      <c r="Y109" s="468">
        <f>+X109*'6c. OE_OR-sfaf'!Y109/'6c. OE_OR-sfaf'!X109</f>
        <v>-16456.466302151039</v>
      </c>
      <c r="Z109" s="468">
        <f>+X109*'6c. OE_OR-sfaf'!Z109/'6c. OE_OR-sfaf'!X109</f>
        <v>-11217.72489541327</v>
      </c>
      <c r="AA109" s="468">
        <f>'6a. OE_OR-i'!N111</f>
        <v>-7391.5541134435462</v>
      </c>
      <c r="AB109" s="468">
        <f>'6a. OE_OR-i'!O111</f>
        <v>-37751.107162430329</v>
      </c>
      <c r="AC109" s="468">
        <f>+AB109*'6c. OE_OR-sfaf'!AC109/'6c. OE_OR-sfaf'!AB109</f>
        <v>-34255.732457672639</v>
      </c>
      <c r="AD109" s="468">
        <f>+AB109*'6c. OE_OR-sfaf'!AD109/'6c. OE_OR-sfaf'!AB109</f>
        <v>-3495.3747047576858</v>
      </c>
      <c r="AE109" s="468">
        <f>+AB109*'6c. OE_OR-sfaf'!AE109/'6c. OE_OR-sfaf'!AB109</f>
        <v>0</v>
      </c>
      <c r="AF109" s="468">
        <f>'6a. OE_OR-i'!P111</f>
        <v>-5357.5263458990858</v>
      </c>
      <c r="AG109" s="468">
        <f>+AF109*'6c. OE_OR-sfaf'!AG109/'6c. OE_OR-sfaf'!AF109</f>
        <v>-5357.5263458990858</v>
      </c>
      <c r="AH109" s="468">
        <f>'6a. OE_OR-i'!Q111</f>
        <v>0</v>
      </c>
      <c r="AI109" s="62"/>
      <c r="AJ109" s="62">
        <f>'6a. OE_OR-i'!I111</f>
        <v>-522847.02054924809</v>
      </c>
      <c r="AK109" s="62">
        <f t="shared" si="13"/>
        <v>-522847.01949569769</v>
      </c>
      <c r="AL109" s="62">
        <f t="shared" si="11"/>
        <v>-1.0535503970459104E-3</v>
      </c>
      <c r="AM109" s="62"/>
      <c r="AN109" s="62"/>
      <c r="AO109" s="62"/>
    </row>
    <row r="110" spans="1:41" x14ac:dyDescent="0.3">
      <c r="A110" s="548"/>
      <c r="B110" s="548" t="s">
        <v>126</v>
      </c>
      <c r="C110" s="548" t="s">
        <v>152</v>
      </c>
      <c r="D110" s="468">
        <v>0</v>
      </c>
      <c r="E110" s="468">
        <v>0</v>
      </c>
      <c r="F110" s="630"/>
      <c r="G110" s="630"/>
      <c r="H110" s="630"/>
      <c r="I110" s="468">
        <v>0</v>
      </c>
      <c r="J110" s="468">
        <v>0</v>
      </c>
      <c r="K110" s="468"/>
      <c r="L110" s="468">
        <f>'6a. OE_OR-i'!K112</f>
        <v>0</v>
      </c>
      <c r="M110" s="468">
        <f>'6a. OE_OR-i'!L112</f>
        <v>0</v>
      </c>
      <c r="N110" s="468">
        <f>+M110*'6c. OE_OR-sfaf'!N110/'6c. OE_OR-sfaf'!M110</f>
        <v>0</v>
      </c>
      <c r="O110" s="468">
        <f>+M110*'6c. OE_OR-sfaf'!O110/'6c. OE_OR-sfaf'!M110</f>
        <v>0</v>
      </c>
      <c r="P110" s="468">
        <f>+M110*'6c. OE_OR-sfaf'!P110/'6c. OE_OR-sfaf'!M110</f>
        <v>0</v>
      </c>
      <c r="Q110" s="468">
        <f>+M110*'6c. OE_OR-sfaf'!Q110/'6c. OE_OR-sfaf'!M110</f>
        <v>0</v>
      </c>
      <c r="R110" s="468">
        <f>+M110*'6c. OE_OR-sfaf'!R110/'6c. OE_OR-sfaf'!M110</f>
        <v>0</v>
      </c>
      <c r="S110" s="468">
        <f>+M110*'6c. OE_OR-sfaf'!S110/'6c. OE_OR-sfaf'!M110</f>
        <v>0</v>
      </c>
      <c r="T110" s="468">
        <f>+M110*'6c. OE_OR-sfaf'!T110/'6c. OE_OR-sfaf'!M110</f>
        <v>0</v>
      </c>
      <c r="U110" s="468">
        <f>+M110*'6c. OE_OR-sfaf'!U110/'6c. OE_OR-sfaf'!M110</f>
        <v>0</v>
      </c>
      <c r="V110" s="468">
        <f>+M110*'6c. OE_OR-sfaf'!V110/'6c. OE_OR-sfaf'!M110</f>
        <v>0</v>
      </c>
      <c r="W110" s="468">
        <f>+M110*'6c. OE_OR-sfaf'!W110/'6c. OE_OR-sfaf'!M110</f>
        <v>0</v>
      </c>
      <c r="X110" s="468">
        <f>'6a. OE_OR-i'!M112</f>
        <v>0</v>
      </c>
      <c r="Y110" s="468"/>
      <c r="Z110" s="468"/>
      <c r="AA110" s="468">
        <f>'6a. OE_OR-i'!N112</f>
        <v>0</v>
      </c>
      <c r="AB110" s="468">
        <f>'6a. OE_OR-i'!O112</f>
        <v>0</v>
      </c>
      <c r="AC110" s="468"/>
      <c r="AD110" s="468"/>
      <c r="AE110" s="468"/>
      <c r="AF110" s="468">
        <f>'6a. OE_OR-i'!P112</f>
        <v>0</v>
      </c>
      <c r="AG110" s="468"/>
      <c r="AH110" s="468">
        <f>'6a. OE_OR-i'!Q112</f>
        <v>0</v>
      </c>
      <c r="AI110" s="62"/>
      <c r="AJ110" s="62">
        <f>'6a. OE_OR-i'!I112</f>
        <v>0</v>
      </c>
      <c r="AK110" s="62">
        <f t="shared" si="13"/>
        <v>0</v>
      </c>
      <c r="AL110" s="62">
        <f t="shared" si="11"/>
        <v>0</v>
      </c>
      <c r="AM110" s="62"/>
      <c r="AN110" s="62"/>
      <c r="AO110" s="62"/>
    </row>
    <row r="111" spans="1:41" x14ac:dyDescent="0.3">
      <c r="A111" s="548"/>
      <c r="B111" s="548"/>
      <c r="C111" s="548"/>
      <c r="D111" s="468"/>
      <c r="E111" s="468"/>
      <c r="F111" s="630"/>
      <c r="G111" s="630"/>
      <c r="H111" s="630"/>
      <c r="I111" s="468"/>
      <c r="J111" s="468"/>
      <c r="K111" s="468"/>
      <c r="L111" s="468"/>
      <c r="M111" s="468"/>
      <c r="N111" s="468"/>
      <c r="O111" s="468"/>
      <c r="P111" s="468"/>
      <c r="Q111" s="468"/>
      <c r="R111" s="468"/>
      <c r="S111" s="468"/>
      <c r="T111" s="468"/>
      <c r="U111" s="468"/>
      <c r="V111" s="468"/>
      <c r="W111" s="468"/>
      <c r="X111" s="468"/>
      <c r="Y111" s="468"/>
      <c r="Z111" s="468"/>
      <c r="AA111" s="468"/>
      <c r="AB111" s="468"/>
      <c r="AC111" s="468"/>
      <c r="AD111" s="468"/>
      <c r="AE111" s="468"/>
      <c r="AF111" s="468"/>
      <c r="AG111" s="468"/>
      <c r="AH111" s="468"/>
      <c r="AI111" s="62"/>
      <c r="AJ111" s="62"/>
      <c r="AK111" s="62"/>
      <c r="AL111" s="62"/>
      <c r="AM111" s="62"/>
      <c r="AN111" s="62"/>
      <c r="AO111" s="62"/>
    </row>
    <row r="112" spans="1:41" x14ac:dyDescent="0.3">
      <c r="A112" s="548"/>
      <c r="B112" s="548" t="s">
        <v>355</v>
      </c>
      <c r="C112" s="548"/>
      <c r="D112" s="468">
        <f>SUM(D100:D110)</f>
        <v>-1441111.7811724641</v>
      </c>
      <c r="E112" s="468">
        <f t="shared" ref="E112:AH112" si="14">SUM(E100:E110)</f>
        <v>-988504.33250960952</v>
      </c>
      <c r="F112" s="630"/>
      <c r="G112" s="630"/>
      <c r="H112" s="630"/>
      <c r="I112" s="468">
        <f t="shared" si="14"/>
        <v>-452607.44866285473</v>
      </c>
      <c r="J112" s="468">
        <f t="shared" si="14"/>
        <v>0</v>
      </c>
      <c r="K112" s="468">
        <f t="shared" si="14"/>
        <v>0</v>
      </c>
      <c r="L112" s="468">
        <f t="shared" si="14"/>
        <v>-449585.77795562317</v>
      </c>
      <c r="M112" s="468">
        <f t="shared" si="14"/>
        <v>-741961.60387844045</v>
      </c>
      <c r="N112" s="468">
        <f t="shared" si="14"/>
        <v>-209219.86994391639</v>
      </c>
      <c r="O112" s="468">
        <f t="shared" si="14"/>
        <v>-211799.49669380969</v>
      </c>
      <c r="P112" s="468">
        <f t="shared" si="14"/>
        <v>-57932.745435065473</v>
      </c>
      <c r="Q112" s="468">
        <f t="shared" si="14"/>
        <v>-21989.367079307111</v>
      </c>
      <c r="R112" s="468">
        <f t="shared" si="14"/>
        <v>-143305.73894104073</v>
      </c>
      <c r="S112" s="468">
        <f t="shared" si="14"/>
        <v>-37655.744263635963</v>
      </c>
      <c r="T112" s="468">
        <f t="shared" si="14"/>
        <v>-24037.633438386056</v>
      </c>
      <c r="U112" s="468">
        <f t="shared" si="14"/>
        <v>-9584.0005951105049</v>
      </c>
      <c r="V112" s="468">
        <f t="shared" si="14"/>
        <v>-24596.971438306799</v>
      </c>
      <c r="W112" s="468">
        <f t="shared" si="14"/>
        <v>-1840.036049861596</v>
      </c>
      <c r="X112" s="468">
        <f t="shared" si="14"/>
        <v>-163843.48028303482</v>
      </c>
      <c r="Y112" s="468">
        <f t="shared" si="14"/>
        <v>-97429.575912672706</v>
      </c>
      <c r="Z112" s="468">
        <f t="shared" si="14"/>
        <v>-66413.904370362114</v>
      </c>
      <c r="AA112" s="468">
        <f t="shared" si="14"/>
        <v>-4208062.3516622186</v>
      </c>
      <c r="AB112" s="468">
        <f t="shared" si="14"/>
        <v>-223503.29004645935</v>
      </c>
      <c r="AC112" s="468">
        <f t="shared" si="14"/>
        <v>-202809.12224107143</v>
      </c>
      <c r="AD112" s="468">
        <f t="shared" si="14"/>
        <v>-20694.167805387904</v>
      </c>
      <c r="AE112" s="468">
        <f t="shared" si="14"/>
        <v>0</v>
      </c>
      <c r="AF112" s="468">
        <f t="shared" si="14"/>
        <v>-31718.931041331169</v>
      </c>
      <c r="AG112" s="468">
        <f t="shared" si="14"/>
        <v>-31718.931041331169</v>
      </c>
      <c r="AH112" s="468">
        <f t="shared" si="14"/>
        <v>0</v>
      </c>
      <c r="AI112" s="62"/>
      <c r="AJ112" s="62">
        <f>'6a. OE_OR-i'!I114</f>
        <v>-7259787.2222770564</v>
      </c>
      <c r="AK112" s="62">
        <f>SUM(E112,I112:K112,L112,N112:W112,Y112:Z112,AA112:AA112,AC112:AE112,AG112:AH112)</f>
        <v>-7259787.216039571</v>
      </c>
      <c r="AL112" s="62">
        <f>AJ112-AK112</f>
        <v>-6.237485446035862E-3</v>
      </c>
      <c r="AM112" s="62"/>
      <c r="AN112" s="62"/>
      <c r="AO112" s="62"/>
    </row>
    <row r="113" spans="1:41" x14ac:dyDescent="0.3">
      <c r="A113" s="548"/>
      <c r="B113" s="548"/>
      <c r="C113" s="548"/>
      <c r="D113" s="468"/>
      <c r="E113" s="468"/>
      <c r="F113" s="630"/>
      <c r="G113" s="630"/>
      <c r="H113" s="630"/>
      <c r="I113" s="468"/>
      <c r="J113" s="468"/>
      <c r="K113" s="468"/>
      <c r="L113" s="468"/>
      <c r="M113" s="468"/>
      <c r="N113" s="468"/>
      <c r="O113" s="468"/>
      <c r="P113" s="468"/>
      <c r="Q113" s="468"/>
      <c r="R113" s="468"/>
      <c r="S113" s="468"/>
      <c r="T113" s="468"/>
      <c r="U113" s="468"/>
      <c r="V113" s="468"/>
      <c r="W113" s="468"/>
      <c r="X113" s="468"/>
      <c r="Y113" s="468"/>
      <c r="Z113" s="468"/>
      <c r="AA113" s="468"/>
      <c r="AB113" s="468"/>
      <c r="AC113" s="468"/>
      <c r="AD113" s="468"/>
      <c r="AE113" s="468"/>
      <c r="AF113" s="468"/>
      <c r="AG113" s="468"/>
      <c r="AH113" s="468"/>
      <c r="AI113" s="62"/>
      <c r="AJ113" s="62"/>
      <c r="AK113" s="62"/>
      <c r="AL113" s="62"/>
      <c r="AM113" s="62"/>
      <c r="AN113" s="62"/>
      <c r="AO113" s="62"/>
    </row>
    <row r="114" spans="1:41" x14ac:dyDescent="0.3">
      <c r="A114" s="548"/>
      <c r="B114" s="548"/>
      <c r="C114" s="548"/>
      <c r="D114" s="468"/>
      <c r="E114" s="468"/>
      <c r="F114" s="630"/>
      <c r="G114" s="630"/>
      <c r="H114" s="630"/>
      <c r="I114" s="468"/>
      <c r="J114" s="468"/>
      <c r="K114" s="468"/>
      <c r="L114" s="468"/>
      <c r="M114" s="468"/>
      <c r="N114" s="468"/>
      <c r="O114" s="468"/>
      <c r="P114" s="468"/>
      <c r="Q114" s="468"/>
      <c r="R114" s="468"/>
      <c r="S114" s="468"/>
      <c r="T114" s="468"/>
      <c r="U114" s="468"/>
      <c r="V114" s="468"/>
      <c r="W114" s="468"/>
      <c r="X114" s="468"/>
      <c r="Y114" s="468"/>
      <c r="Z114" s="468"/>
      <c r="AA114" s="468"/>
      <c r="AB114" s="468"/>
      <c r="AC114" s="468"/>
      <c r="AD114" s="468"/>
      <c r="AE114" s="468"/>
      <c r="AF114" s="468"/>
      <c r="AG114" s="468"/>
      <c r="AH114" s="468"/>
      <c r="AI114" s="62"/>
      <c r="AJ114" s="62"/>
      <c r="AK114" s="62"/>
      <c r="AL114" s="62"/>
      <c r="AM114" s="62"/>
      <c r="AN114" s="62"/>
      <c r="AO114" s="62"/>
    </row>
    <row r="115" spans="1:41" x14ac:dyDescent="0.3">
      <c r="A115" s="549" t="s">
        <v>127</v>
      </c>
      <c r="B115" s="548"/>
      <c r="C115" s="548"/>
      <c r="D115" s="468">
        <f t="shared" ref="D115:AH115" si="15">D112+D97</f>
        <v>-3175736.6711724643</v>
      </c>
      <c r="E115" s="468">
        <f t="shared" si="15"/>
        <v>-988504.33250960952</v>
      </c>
      <c r="F115" s="630"/>
      <c r="G115" s="630"/>
      <c r="H115" s="630"/>
      <c r="I115" s="468">
        <f t="shared" si="15"/>
        <v>-2187232.3386628544</v>
      </c>
      <c r="J115" s="468">
        <f t="shared" si="15"/>
        <v>0</v>
      </c>
      <c r="K115" s="468">
        <f t="shared" si="15"/>
        <v>0</v>
      </c>
      <c r="L115" s="468">
        <f t="shared" si="15"/>
        <v>-472318.52795562317</v>
      </c>
      <c r="M115" s="468">
        <f t="shared" si="15"/>
        <v>-7436415.7638784405</v>
      </c>
      <c r="N115" s="468">
        <f t="shared" si="15"/>
        <v>-209219.86994391639</v>
      </c>
      <c r="O115" s="468">
        <f t="shared" si="15"/>
        <v>-266573.8386527478</v>
      </c>
      <c r="P115" s="468">
        <f t="shared" si="15"/>
        <v>-57932.745435065473</v>
      </c>
      <c r="Q115" s="468">
        <f t="shared" si="15"/>
        <v>-21989.367079307111</v>
      </c>
      <c r="R115" s="468">
        <f t="shared" si="15"/>
        <v>-6782985.5569821028</v>
      </c>
      <c r="S115" s="468">
        <f t="shared" si="15"/>
        <v>-37655.744263635963</v>
      </c>
      <c r="T115" s="468">
        <f t="shared" si="15"/>
        <v>-24037.633438386056</v>
      </c>
      <c r="U115" s="468">
        <f t="shared" si="15"/>
        <v>-9584.0005951105049</v>
      </c>
      <c r="V115" s="468">
        <f t="shared" si="15"/>
        <v>-24596.971438306799</v>
      </c>
      <c r="W115" s="468">
        <f t="shared" si="15"/>
        <v>-1840.036049861596</v>
      </c>
      <c r="X115" s="468">
        <f t="shared" si="15"/>
        <v>-415139.35028303484</v>
      </c>
      <c r="Y115" s="468">
        <f t="shared" si="15"/>
        <v>-348725.44591267267</v>
      </c>
      <c r="Z115" s="468">
        <f t="shared" si="15"/>
        <v>-66413.904370362114</v>
      </c>
      <c r="AA115" s="468">
        <f t="shared" si="15"/>
        <v>-4208062.3516622186</v>
      </c>
      <c r="AB115" s="468">
        <f t="shared" si="15"/>
        <v>-223503.29004645935</v>
      </c>
      <c r="AC115" s="468">
        <f t="shared" si="15"/>
        <v>-202809.12224107143</v>
      </c>
      <c r="AD115" s="468">
        <f t="shared" si="15"/>
        <v>-20694.167805387904</v>
      </c>
      <c r="AE115" s="468">
        <f t="shared" si="15"/>
        <v>0</v>
      </c>
      <c r="AF115" s="468">
        <f t="shared" si="15"/>
        <v>-62293.171041331167</v>
      </c>
      <c r="AG115" s="468">
        <f t="shared" si="15"/>
        <v>-62293.171041331167</v>
      </c>
      <c r="AH115" s="468">
        <f t="shared" si="15"/>
        <v>-8553473.5699999984</v>
      </c>
      <c r="AI115" s="121"/>
      <c r="AJ115" s="121">
        <f>'6a. OE_OR-i'!I117</f>
        <v>-24546942.702277057</v>
      </c>
      <c r="AK115" s="62">
        <f t="shared" ref="AK115:AK116" si="16">SUM(E115,I115:K115,L115,N115:W115,Y115:Z115,AA115:AA115,AC115:AE115,AG115:AH115)</f>
        <v>-24546942.696039569</v>
      </c>
      <c r="AL115" s="121">
        <f>AJ115-AK115</f>
        <v>-6.2374882400035858E-3</v>
      </c>
      <c r="AM115" s="62"/>
      <c r="AN115" s="62"/>
      <c r="AO115" s="62"/>
    </row>
    <row r="116" spans="1:41" x14ac:dyDescent="0.3">
      <c r="A116" s="549" t="s">
        <v>174</v>
      </c>
      <c r="B116" s="62"/>
      <c r="C116" s="548"/>
      <c r="D116" s="468">
        <f t="shared" ref="D116:AH116" si="17">D115-D90</f>
        <v>-3175736.6711724643</v>
      </c>
      <c r="E116" s="468">
        <f t="shared" si="17"/>
        <v>-988504.33250960952</v>
      </c>
      <c r="F116" s="630"/>
      <c r="G116" s="630"/>
      <c r="H116" s="630"/>
      <c r="I116" s="468">
        <f t="shared" si="17"/>
        <v>-2187232.3386628544</v>
      </c>
      <c r="J116" s="468">
        <f t="shared" si="17"/>
        <v>0</v>
      </c>
      <c r="K116" s="468">
        <f t="shared" si="17"/>
        <v>0</v>
      </c>
      <c r="L116" s="468">
        <f t="shared" si="17"/>
        <v>-472318.52795562317</v>
      </c>
      <c r="M116" s="468">
        <f t="shared" si="17"/>
        <v>-7436415.7638784405</v>
      </c>
      <c r="N116" s="468">
        <f t="shared" si="17"/>
        <v>-209219.86994391639</v>
      </c>
      <c r="O116" s="468">
        <f t="shared" si="17"/>
        <v>-266573.8386527478</v>
      </c>
      <c r="P116" s="468">
        <f t="shared" si="17"/>
        <v>-57932.745435065473</v>
      </c>
      <c r="Q116" s="468">
        <f t="shared" si="17"/>
        <v>-21989.367079307111</v>
      </c>
      <c r="R116" s="468">
        <f t="shared" si="17"/>
        <v>-6782985.5569821028</v>
      </c>
      <c r="S116" s="468">
        <f t="shared" si="17"/>
        <v>-37655.744263635963</v>
      </c>
      <c r="T116" s="468">
        <f t="shared" si="17"/>
        <v>-24037.633438386056</v>
      </c>
      <c r="U116" s="468">
        <f t="shared" si="17"/>
        <v>-9584.0005951105049</v>
      </c>
      <c r="V116" s="468">
        <f t="shared" si="17"/>
        <v>-24596.971438306799</v>
      </c>
      <c r="W116" s="468">
        <f t="shared" si="17"/>
        <v>-1840.036049861596</v>
      </c>
      <c r="X116" s="468">
        <f t="shared" si="17"/>
        <v>-415139.35028303484</v>
      </c>
      <c r="Y116" s="468">
        <f t="shared" si="17"/>
        <v>-348725.44591267267</v>
      </c>
      <c r="Z116" s="468">
        <f t="shared" si="17"/>
        <v>-66413.904370362114</v>
      </c>
      <c r="AA116" s="468">
        <f t="shared" si="17"/>
        <v>-4208062.3516622186</v>
      </c>
      <c r="AB116" s="468">
        <f t="shared" si="17"/>
        <v>-223503.29004645935</v>
      </c>
      <c r="AC116" s="468">
        <f t="shared" si="17"/>
        <v>-202809.12224107143</v>
      </c>
      <c r="AD116" s="468">
        <f t="shared" si="17"/>
        <v>-20694.167805387904</v>
      </c>
      <c r="AE116" s="468">
        <f t="shared" si="17"/>
        <v>0</v>
      </c>
      <c r="AF116" s="468">
        <f t="shared" si="17"/>
        <v>-62293.171041331167</v>
      </c>
      <c r="AG116" s="468">
        <f t="shared" si="17"/>
        <v>-62293.171041331167</v>
      </c>
      <c r="AH116" s="468">
        <f t="shared" si="17"/>
        <v>-1379375.0499999989</v>
      </c>
      <c r="AI116" s="62"/>
      <c r="AJ116" s="121">
        <f>'6a. OE_OR-i'!I118</f>
        <v>-17372844.182277057</v>
      </c>
      <c r="AK116" s="62">
        <f t="shared" si="16"/>
        <v>-17372844.176039569</v>
      </c>
      <c r="AL116" s="121">
        <f>AJ116-AK116</f>
        <v>-6.2374882400035858E-3</v>
      </c>
      <c r="AM116" s="62"/>
      <c r="AN116" s="62"/>
      <c r="AO116" s="62"/>
    </row>
    <row r="117" spans="1:41" x14ac:dyDescent="0.3">
      <c r="A117" s="62"/>
      <c r="B117" s="62"/>
      <c r="C117" s="62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</row>
    <row r="118" spans="1:41" x14ac:dyDescent="0.3">
      <c r="A118" s="62"/>
      <c r="B118" s="62"/>
      <c r="C118" s="62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</row>
    <row r="119" spans="1:41" x14ac:dyDescent="0.3">
      <c r="A119" s="62"/>
      <c r="B119" s="62"/>
      <c r="C119" s="62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</row>
    <row r="120" spans="1:41" x14ac:dyDescent="0.3">
      <c r="A120" s="62"/>
      <c r="B120" s="62"/>
      <c r="C120" s="62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</row>
    <row r="121" spans="1:41" x14ac:dyDescent="0.3">
      <c r="A121" s="62"/>
      <c r="B121" s="62"/>
      <c r="C121" s="62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</row>
    <row r="122" spans="1:41" x14ac:dyDescent="0.3">
      <c r="A122" s="62"/>
      <c r="B122" s="62"/>
      <c r="C122" s="62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</row>
    <row r="123" spans="1:41" x14ac:dyDescent="0.3">
      <c r="A123" s="62"/>
      <c r="B123" s="62"/>
      <c r="C123" s="62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</row>
    <row r="124" spans="1:41" x14ac:dyDescent="0.3">
      <c r="A124" s="62"/>
      <c r="B124" s="62"/>
      <c r="C124" s="62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</row>
    <row r="125" spans="1:41" x14ac:dyDescent="0.3">
      <c r="A125" s="62"/>
      <c r="B125" s="62"/>
      <c r="C125" s="62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</row>
    <row r="126" spans="1:41" x14ac:dyDescent="0.3">
      <c r="A126" s="62"/>
      <c r="B126" s="62"/>
      <c r="C126" s="62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</row>
    <row r="127" spans="1:41" x14ac:dyDescent="0.3">
      <c r="A127" s="62"/>
      <c r="B127" s="62"/>
      <c r="C127" s="62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</row>
    <row r="128" spans="1:41" x14ac:dyDescent="0.3">
      <c r="A128" s="62"/>
      <c r="B128" s="62"/>
      <c r="C128" s="62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</row>
    <row r="129" spans="1:41" x14ac:dyDescent="0.3">
      <c r="A129" s="62"/>
      <c r="B129" s="62"/>
      <c r="C129" s="62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</row>
    <row r="130" spans="1:41" x14ac:dyDescent="0.3">
      <c r="A130" s="62"/>
      <c r="B130" s="62"/>
      <c r="C130" s="62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</row>
    <row r="131" spans="1:41" x14ac:dyDescent="0.3">
      <c r="A131" s="62"/>
      <c r="B131" s="62"/>
      <c r="C131" s="62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</row>
    <row r="132" spans="1:41" x14ac:dyDescent="0.3">
      <c r="A132" s="62"/>
      <c r="B132" s="62"/>
      <c r="C132" s="62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</row>
    <row r="133" spans="1:41" x14ac:dyDescent="0.3">
      <c r="A133" s="62"/>
      <c r="B133" s="62"/>
      <c r="C133" s="62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</row>
    <row r="134" spans="1:41" x14ac:dyDescent="0.3">
      <c r="A134" s="62"/>
      <c r="B134" s="62"/>
      <c r="C134" s="62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</row>
    <row r="135" spans="1:41" x14ac:dyDescent="0.3">
      <c r="A135" s="62"/>
      <c r="B135" s="62"/>
      <c r="C135" s="62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</row>
    <row r="136" spans="1:41" x14ac:dyDescent="0.3">
      <c r="A136" s="62"/>
      <c r="B136" s="62"/>
      <c r="C136" s="62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</row>
    <row r="137" spans="1:41" x14ac:dyDescent="0.3">
      <c r="A137" s="62"/>
      <c r="B137" s="62"/>
      <c r="C137" s="62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</row>
    <row r="138" spans="1:41" x14ac:dyDescent="0.3">
      <c r="A138" s="62"/>
      <c r="B138" s="62"/>
      <c r="C138" s="62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</row>
    <row r="139" spans="1:41" x14ac:dyDescent="0.3">
      <c r="A139" s="62"/>
      <c r="B139" s="62"/>
      <c r="C139" s="62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</row>
    <row r="140" spans="1:41" x14ac:dyDescent="0.3">
      <c r="A140" s="62"/>
      <c r="B140" s="62"/>
      <c r="C140" s="62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</row>
    <row r="141" spans="1:41" x14ac:dyDescent="0.3">
      <c r="A141" s="62"/>
      <c r="B141" s="62"/>
      <c r="C141" s="62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</row>
    <row r="142" spans="1:41" x14ac:dyDescent="0.3">
      <c r="A142" s="62"/>
      <c r="B142" s="62"/>
      <c r="C142" s="62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</row>
    <row r="143" spans="1:41" x14ac:dyDescent="0.3">
      <c r="A143" s="62"/>
      <c r="B143" s="62"/>
      <c r="C143" s="62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</row>
    <row r="144" spans="1:41" x14ac:dyDescent="0.3">
      <c r="A144" s="62"/>
      <c r="B144" s="62"/>
      <c r="C144" s="62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</row>
    <row r="145" spans="1:41" x14ac:dyDescent="0.3">
      <c r="A145" s="62"/>
      <c r="B145" s="62"/>
      <c r="C145" s="62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</row>
    <row r="146" spans="1:41" x14ac:dyDescent="0.3">
      <c r="A146" s="62"/>
      <c r="B146" s="62"/>
      <c r="C146" s="62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</row>
    <row r="147" spans="1:41" x14ac:dyDescent="0.3">
      <c r="A147" s="62"/>
      <c r="B147" s="62"/>
      <c r="C147" s="62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</row>
    <row r="148" spans="1:41" x14ac:dyDescent="0.3">
      <c r="A148" s="62"/>
      <c r="B148" s="62"/>
      <c r="C148" s="62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</row>
    <row r="149" spans="1:41" x14ac:dyDescent="0.3">
      <c r="A149" s="62"/>
      <c r="B149" s="62"/>
      <c r="C149" s="62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</row>
    <row r="150" spans="1:41" x14ac:dyDescent="0.3">
      <c r="A150" s="62"/>
      <c r="B150" s="62"/>
      <c r="C150" s="62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</row>
    <row r="151" spans="1:41" x14ac:dyDescent="0.3">
      <c r="A151" s="62"/>
      <c r="B151" s="62"/>
      <c r="C151" s="62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</row>
    <row r="152" spans="1:41" x14ac:dyDescent="0.3">
      <c r="A152" s="62"/>
      <c r="B152" s="62"/>
      <c r="C152" s="62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</row>
    <row r="153" spans="1:41" x14ac:dyDescent="0.3">
      <c r="A153" s="62"/>
      <c r="B153" s="62"/>
      <c r="C153" s="62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</row>
    <row r="154" spans="1:41" x14ac:dyDescent="0.3">
      <c r="A154" s="62"/>
      <c r="B154" s="62"/>
      <c r="C154" s="62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</row>
    <row r="155" spans="1:41" x14ac:dyDescent="0.3">
      <c r="A155" s="62"/>
      <c r="B155" s="62"/>
      <c r="C155" s="62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</row>
  </sheetData>
  <customSheetViews>
    <customSheetView guid="{121E4431-22F3-11D5-8242-00600818425F}" scale="75" showRuler="0">
      <pane xSplit="2" ySplit="7" topLeftCell="C8" activePane="bottomRight" state="frozen"/>
      <selection pane="bottomRight" activeCell="D32" sqref="D32"/>
      <rowBreaks count="1" manualBreakCount="1">
        <brk id="48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300" vertic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showRuler="0">
      <pane xSplit="2" ySplit="7" topLeftCell="C8" activePane="bottomRight" state="frozen"/>
      <selection pane="bottomRight" activeCell="D32" sqref="D32"/>
      <rowBreaks count="1" manualBreakCount="1">
        <brk id="48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300" vertic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showRuler="0">
      <pane xSplit="2" ySplit="7" topLeftCell="C8" activePane="bottomRight" state="frozen"/>
      <selection pane="bottomRight" activeCell="D32" sqref="D32"/>
      <rowBreaks count="1" manualBreakCount="1">
        <brk id="48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300" verticalDpi="30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56" fitToHeight="0" orientation="landscape" horizontalDpi="300" verticalDpi="300" r:id="rId4"/>
  <headerFooter alignWithMargins="0">
    <oddFooter>&amp;L&amp;8&amp;F&amp;C&amp;8&amp;A
page &amp;P&amp;R&amp;8&amp;D
&amp;T</oddFooter>
  </headerFooter>
  <rowBreaks count="1" manualBreakCount="1">
    <brk id="48" max="16383" man="1"/>
  </rowBreaks>
  <colBreaks count="2" manualBreakCount="2">
    <brk id="12" max="113" man="1"/>
    <brk id="23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V164"/>
  <sheetViews>
    <sheetView zoomScale="80" zoomScaleNormal="80" workbookViewId="0">
      <pane xSplit="1" ySplit="7" topLeftCell="B8" activePane="bottomRight" state="frozen"/>
      <selection activeCell="C368" sqref="C368"/>
      <selection pane="topRight" activeCell="C368" sqref="C368"/>
      <selection pane="bottomLeft" activeCell="C368" sqref="C368"/>
      <selection pane="bottomRight" activeCell="B8" sqref="B8"/>
    </sheetView>
  </sheetViews>
  <sheetFormatPr defaultColWidth="9.1796875" defaultRowHeight="13" x14ac:dyDescent="0.3"/>
  <cols>
    <col min="1" max="1" width="8" style="4" customWidth="1"/>
    <col min="2" max="2" width="38.81640625" style="4" customWidth="1"/>
    <col min="3" max="3" width="21" style="4" customWidth="1"/>
    <col min="4" max="11" width="13.54296875" style="17" customWidth="1"/>
    <col min="12" max="12" width="11.54296875" style="17" customWidth="1"/>
    <col min="13" max="13" width="15.1796875" style="17" bestFit="1" customWidth="1"/>
    <col min="14" max="14" width="11.453125" style="4" customWidth="1"/>
    <col min="15" max="15" width="12.453125" style="4" bestFit="1" customWidth="1"/>
    <col min="16" max="17" width="12.54296875" style="4" bestFit="1" customWidth="1"/>
    <col min="18" max="18" width="14" style="4" customWidth="1"/>
    <col min="19" max="19" width="11.81640625" style="4" bestFit="1" customWidth="1"/>
    <col min="20" max="20" width="13.453125" style="4" bestFit="1" customWidth="1"/>
    <col min="21" max="21" width="12.453125" style="4" customWidth="1"/>
    <col min="22" max="22" width="12" style="4" bestFit="1" customWidth="1"/>
    <col min="23" max="23" width="10.453125" style="4" bestFit="1" customWidth="1"/>
    <col min="24" max="24" width="12.54296875" style="4" bestFit="1" customWidth="1"/>
    <col min="25" max="26" width="11.54296875" style="4" customWidth="1"/>
    <col min="27" max="27" width="12.453125" style="4" bestFit="1" customWidth="1"/>
    <col min="28" max="28" width="11.54296875" style="4" bestFit="1" customWidth="1"/>
    <col min="29" max="31" width="11.54296875" style="4" customWidth="1"/>
    <col min="32" max="32" width="12.1796875" style="4" bestFit="1" customWidth="1"/>
    <col min="33" max="33" width="12" style="4" customWidth="1"/>
    <col min="34" max="34" width="11.54296875" style="4" bestFit="1" customWidth="1"/>
    <col min="35" max="35" width="9.1796875" style="4"/>
    <col min="36" max="36" width="9.453125" style="4" bestFit="1" customWidth="1"/>
    <col min="37" max="16384" width="9.1796875" style="4"/>
  </cols>
  <sheetData>
    <row r="1" spans="1:35" x14ac:dyDescent="0.3">
      <c r="A1" s="343" t="str">
        <f>'1. RB-i'!A1</f>
        <v>CPS Energy</v>
      </c>
      <c r="B1" s="207"/>
      <c r="C1" s="207"/>
      <c r="D1" s="207"/>
      <c r="E1" s="207"/>
      <c r="F1" s="353"/>
      <c r="G1" s="353"/>
      <c r="H1" s="353"/>
      <c r="I1" s="353"/>
      <c r="J1" s="353"/>
      <c r="K1" s="353"/>
      <c r="L1" s="353"/>
      <c r="M1" s="353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345"/>
    </row>
    <row r="2" spans="1:35" x14ac:dyDescent="0.3">
      <c r="A2" s="346" t="s">
        <v>1303</v>
      </c>
      <c r="B2" s="191"/>
      <c r="C2" s="191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347"/>
    </row>
    <row r="3" spans="1:35" x14ac:dyDescent="0.3">
      <c r="A3" s="346" t="str">
        <f>'6b. OE_OR-sf'!A3</f>
        <v>FYE 2017</v>
      </c>
      <c r="B3" s="191"/>
      <c r="C3" s="191"/>
      <c r="D3" s="256"/>
      <c r="E3" s="445"/>
      <c r="F3" s="445"/>
      <c r="G3" s="445"/>
      <c r="H3" s="445"/>
      <c r="I3" s="445"/>
      <c r="J3" s="445"/>
      <c r="K3" s="445"/>
      <c r="L3" s="256"/>
      <c r="M3" s="257" t="s">
        <v>367</v>
      </c>
      <c r="N3" s="258"/>
      <c r="O3" s="258"/>
      <c r="P3" s="258"/>
      <c r="Q3" s="258"/>
      <c r="R3" s="258"/>
      <c r="S3" s="258"/>
      <c r="T3" s="258"/>
      <c r="U3" s="258"/>
      <c r="V3" s="259"/>
      <c r="W3" s="259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347"/>
    </row>
    <row r="4" spans="1:35" x14ac:dyDescent="0.3">
      <c r="A4" s="261"/>
      <c r="B4" s="262"/>
      <c r="C4" s="262"/>
      <c r="D4" s="257" t="s">
        <v>544</v>
      </c>
      <c r="E4" s="258"/>
      <c r="F4" s="258"/>
      <c r="G4" s="258"/>
      <c r="H4" s="258"/>
      <c r="I4" s="259"/>
      <c r="J4" s="258"/>
      <c r="K4" s="259"/>
      <c r="L4" s="262"/>
      <c r="M4" s="191"/>
      <c r="N4" s="257" t="s">
        <v>922</v>
      </c>
      <c r="O4" s="258"/>
      <c r="P4" s="258"/>
      <c r="Q4" s="259"/>
      <c r="R4" s="257" t="s">
        <v>923</v>
      </c>
      <c r="S4" s="258"/>
      <c r="T4" s="258"/>
      <c r="U4" s="258"/>
      <c r="V4" s="259"/>
      <c r="W4" s="265"/>
      <c r="X4" s="257" t="s">
        <v>907</v>
      </c>
      <c r="Y4" s="258"/>
      <c r="Z4" s="259"/>
      <c r="AA4" s="191"/>
      <c r="AB4" s="257" t="s">
        <v>85</v>
      </c>
      <c r="AC4" s="258"/>
      <c r="AD4" s="258"/>
      <c r="AE4" s="258"/>
      <c r="AF4" s="257" t="s">
        <v>912</v>
      </c>
      <c r="AG4" s="259"/>
      <c r="AH4" s="347"/>
    </row>
    <row r="5" spans="1:35" x14ac:dyDescent="0.3">
      <c r="A5" s="268"/>
      <c r="B5" s="194"/>
      <c r="C5" s="194"/>
      <c r="D5" s="195" t="s">
        <v>357</v>
      </c>
      <c r="E5" s="417" t="s">
        <v>924</v>
      </c>
      <c r="F5" s="417"/>
      <c r="G5" s="417"/>
      <c r="H5" s="417"/>
      <c r="I5" s="417" t="s">
        <v>924</v>
      </c>
      <c r="J5" s="269"/>
      <c r="K5" s="197" t="s">
        <v>79</v>
      </c>
      <c r="L5" s="198" t="s">
        <v>357</v>
      </c>
      <c r="M5" s="199" t="s">
        <v>357</v>
      </c>
      <c r="N5" s="270"/>
      <c r="O5" s="271" t="s">
        <v>925</v>
      </c>
      <c r="P5" s="271" t="s">
        <v>926</v>
      </c>
      <c r="Q5" s="216"/>
      <c r="R5" s="270" t="s">
        <v>925</v>
      </c>
      <c r="S5" s="271" t="s">
        <v>926</v>
      </c>
      <c r="T5" s="271"/>
      <c r="U5" s="263"/>
      <c r="V5" s="263"/>
      <c r="W5" s="216" t="s">
        <v>1010</v>
      </c>
      <c r="X5" s="271" t="s">
        <v>357</v>
      </c>
      <c r="Y5" s="270"/>
      <c r="Z5" s="270" t="s">
        <v>994</v>
      </c>
      <c r="AA5" s="215" t="s">
        <v>357</v>
      </c>
      <c r="AB5" s="215" t="s">
        <v>357</v>
      </c>
      <c r="AC5" s="215" t="s">
        <v>86</v>
      </c>
      <c r="AD5" s="215" t="s">
        <v>1003</v>
      </c>
      <c r="AE5" s="272"/>
      <c r="AF5" s="215" t="s">
        <v>911</v>
      </c>
      <c r="AG5" s="215"/>
      <c r="AH5" s="217" t="s">
        <v>357</v>
      </c>
    </row>
    <row r="6" spans="1:35" x14ac:dyDescent="0.3">
      <c r="A6" s="268" t="s">
        <v>539</v>
      </c>
      <c r="B6" s="186" t="s">
        <v>359</v>
      </c>
      <c r="C6" s="194"/>
      <c r="D6" s="186" t="s">
        <v>544</v>
      </c>
      <c r="E6" s="417" t="s">
        <v>928</v>
      </c>
      <c r="F6" s="417" t="s">
        <v>1140</v>
      </c>
      <c r="G6" s="417" t="s">
        <v>1139</v>
      </c>
      <c r="H6" s="417" t="s">
        <v>947</v>
      </c>
      <c r="I6" s="417" t="s">
        <v>927</v>
      </c>
      <c r="J6" s="417" t="s">
        <v>617</v>
      </c>
      <c r="K6" s="187" t="s">
        <v>80</v>
      </c>
      <c r="L6" s="198" t="s">
        <v>366</v>
      </c>
      <c r="M6" s="199" t="s">
        <v>367</v>
      </c>
      <c r="N6" s="200" t="s">
        <v>929</v>
      </c>
      <c r="O6" s="417" t="s">
        <v>930</v>
      </c>
      <c r="P6" s="417" t="s">
        <v>930</v>
      </c>
      <c r="Q6" s="187" t="s">
        <v>931</v>
      </c>
      <c r="R6" s="200" t="s">
        <v>930</v>
      </c>
      <c r="S6" s="417" t="s">
        <v>930</v>
      </c>
      <c r="T6" s="417" t="s">
        <v>931</v>
      </c>
      <c r="U6" s="417" t="s">
        <v>456</v>
      </c>
      <c r="V6" s="417" t="s">
        <v>932</v>
      </c>
      <c r="W6" s="187" t="s">
        <v>1011</v>
      </c>
      <c r="X6" s="417" t="s">
        <v>907</v>
      </c>
      <c r="Y6" s="200" t="s">
        <v>907</v>
      </c>
      <c r="Z6" s="200" t="s">
        <v>995</v>
      </c>
      <c r="AA6" s="186" t="s">
        <v>84</v>
      </c>
      <c r="AB6" s="186" t="s">
        <v>82</v>
      </c>
      <c r="AC6" s="186" t="s">
        <v>87</v>
      </c>
      <c r="AD6" s="186" t="s">
        <v>1004</v>
      </c>
      <c r="AE6" s="186" t="s">
        <v>1005</v>
      </c>
      <c r="AF6" s="186" t="s">
        <v>912</v>
      </c>
      <c r="AG6" s="186" t="s">
        <v>1006</v>
      </c>
      <c r="AH6" s="219" t="s">
        <v>913</v>
      </c>
    </row>
    <row r="7" spans="1:35" ht="13.5" thickBot="1" x14ac:dyDescent="0.35">
      <c r="A7" s="278" t="s">
        <v>545</v>
      </c>
      <c r="B7" s="279"/>
      <c r="C7" s="279"/>
      <c r="D7" s="281" t="s">
        <v>815</v>
      </c>
      <c r="E7" s="282" t="s">
        <v>816</v>
      </c>
      <c r="F7" s="282"/>
      <c r="G7" s="282"/>
      <c r="H7" s="282"/>
      <c r="I7" s="282" t="s">
        <v>817</v>
      </c>
      <c r="J7" s="282" t="s">
        <v>818</v>
      </c>
      <c r="K7" s="282" t="s">
        <v>819</v>
      </c>
      <c r="L7" s="234" t="s">
        <v>820</v>
      </c>
      <c r="M7" s="282" t="s">
        <v>821</v>
      </c>
      <c r="N7" s="281" t="s">
        <v>822</v>
      </c>
      <c r="O7" s="282" t="s">
        <v>823</v>
      </c>
      <c r="P7" s="282" t="s">
        <v>908</v>
      </c>
      <c r="Q7" s="282" t="s">
        <v>914</v>
      </c>
      <c r="R7" s="281" t="s">
        <v>915</v>
      </c>
      <c r="S7" s="282" t="s">
        <v>916</v>
      </c>
      <c r="T7" s="282" t="s">
        <v>917</v>
      </c>
      <c r="U7" s="282" t="s">
        <v>918</v>
      </c>
      <c r="V7" s="282" t="s">
        <v>934</v>
      </c>
      <c r="W7" s="283" t="s">
        <v>935</v>
      </c>
      <c r="X7" s="282" t="s">
        <v>936</v>
      </c>
      <c r="Y7" s="234" t="s">
        <v>937</v>
      </c>
      <c r="Z7" s="234" t="s">
        <v>938</v>
      </c>
      <c r="AA7" s="234" t="s">
        <v>939</v>
      </c>
      <c r="AB7" s="234" t="s">
        <v>985</v>
      </c>
      <c r="AC7" s="234" t="s">
        <v>986</v>
      </c>
      <c r="AD7" s="234" t="s">
        <v>987</v>
      </c>
      <c r="AE7" s="234" t="s">
        <v>988</v>
      </c>
      <c r="AF7" s="234" t="s">
        <v>989</v>
      </c>
      <c r="AG7" s="234" t="s">
        <v>990</v>
      </c>
      <c r="AH7" s="235" t="s">
        <v>991</v>
      </c>
    </row>
    <row r="8" spans="1:35" x14ac:dyDescent="0.3">
      <c r="A8" s="44"/>
      <c r="B8" s="31"/>
      <c r="C8" s="31"/>
      <c r="D8" s="5"/>
      <c r="E8" s="5"/>
      <c r="F8" s="626"/>
      <c r="G8" s="626"/>
      <c r="H8" s="626"/>
      <c r="I8" s="5"/>
      <c r="J8" s="5"/>
      <c r="K8" s="5"/>
      <c r="L8" s="5"/>
      <c r="M8" s="6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</row>
    <row r="9" spans="1:35" x14ac:dyDescent="0.3">
      <c r="A9" s="544" t="s">
        <v>757</v>
      </c>
      <c r="B9" s="464"/>
      <c r="C9" s="464"/>
      <c r="D9" s="486"/>
      <c r="E9" s="486"/>
      <c r="F9" s="665"/>
      <c r="G9" s="665"/>
      <c r="H9" s="665"/>
      <c r="I9" s="486"/>
      <c r="J9" s="486"/>
      <c r="K9" s="486"/>
      <c r="L9" s="486"/>
      <c r="M9" s="489"/>
      <c r="N9" s="486"/>
      <c r="O9" s="486"/>
      <c r="P9" s="486"/>
      <c r="Q9" s="486"/>
      <c r="R9" s="486"/>
      <c r="S9" s="486"/>
      <c r="T9" s="486"/>
      <c r="U9" s="486"/>
      <c r="V9" s="486"/>
      <c r="W9" s="486"/>
      <c r="X9" s="489"/>
      <c r="Y9" s="489"/>
      <c r="Z9" s="489"/>
      <c r="AA9" s="489"/>
      <c r="AB9" s="489"/>
      <c r="AC9" s="489"/>
      <c r="AD9" s="489"/>
      <c r="AE9" s="489"/>
      <c r="AF9" s="489"/>
      <c r="AG9" s="489"/>
      <c r="AH9" s="489"/>
      <c r="AI9" s="62"/>
    </row>
    <row r="10" spans="1:35" x14ac:dyDescent="0.3">
      <c r="A10" s="462"/>
      <c r="B10" s="461"/>
      <c r="C10" s="461"/>
      <c r="D10" s="486"/>
      <c r="E10" s="486"/>
      <c r="F10" s="665"/>
      <c r="G10" s="665"/>
      <c r="H10" s="665"/>
      <c r="I10" s="486"/>
      <c r="J10" s="486"/>
      <c r="K10" s="486"/>
      <c r="L10" s="486"/>
      <c r="M10" s="489"/>
      <c r="N10" s="486"/>
      <c r="O10" s="486"/>
      <c r="P10" s="486"/>
      <c r="Q10" s="486"/>
      <c r="R10" s="486"/>
      <c r="S10" s="486"/>
      <c r="T10" s="486"/>
      <c r="U10" s="486"/>
      <c r="V10" s="486"/>
      <c r="W10" s="486"/>
      <c r="X10" s="489"/>
      <c r="Y10" s="489"/>
      <c r="Z10" s="489"/>
      <c r="AA10" s="489"/>
      <c r="AB10" s="489"/>
      <c r="AC10" s="489"/>
      <c r="AD10" s="489"/>
      <c r="AE10" s="489"/>
      <c r="AF10" s="489"/>
      <c r="AG10" s="489"/>
      <c r="AH10" s="489"/>
      <c r="AI10" s="62"/>
    </row>
    <row r="11" spans="1:35" x14ac:dyDescent="0.3">
      <c r="A11" s="460" t="s">
        <v>758</v>
      </c>
      <c r="B11" s="461"/>
      <c r="C11" s="461"/>
      <c r="D11" s="486"/>
      <c r="E11" s="486"/>
      <c r="F11" s="665"/>
      <c r="G11" s="665"/>
      <c r="H11" s="665"/>
      <c r="I11" s="486"/>
      <c r="J11" s="486"/>
      <c r="K11" s="486"/>
      <c r="L11" s="486"/>
      <c r="M11" s="489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9"/>
      <c r="Y11" s="489"/>
      <c r="Z11" s="489"/>
      <c r="AA11" s="489"/>
      <c r="AB11" s="489"/>
      <c r="AC11" s="489"/>
      <c r="AD11" s="489"/>
      <c r="AE11" s="489"/>
      <c r="AF11" s="489"/>
      <c r="AG11" s="489"/>
      <c r="AH11" s="489"/>
      <c r="AI11" s="62"/>
    </row>
    <row r="12" spans="1:35" x14ac:dyDescent="0.3">
      <c r="A12" s="462"/>
      <c r="B12" s="461"/>
      <c r="C12" s="461"/>
      <c r="D12" s="486"/>
      <c r="E12" s="486"/>
      <c r="F12" s="665"/>
      <c r="G12" s="665"/>
      <c r="H12" s="665"/>
      <c r="I12" s="486"/>
      <c r="J12" s="486"/>
      <c r="K12" s="486"/>
      <c r="L12" s="486"/>
      <c r="M12" s="489"/>
      <c r="N12" s="486"/>
      <c r="O12" s="486"/>
      <c r="P12" s="486"/>
      <c r="Q12" s="486"/>
      <c r="R12" s="486"/>
      <c r="S12" s="486"/>
      <c r="T12" s="486"/>
      <c r="U12" s="486"/>
      <c r="V12" s="486"/>
      <c r="W12" s="486"/>
      <c r="X12" s="489"/>
      <c r="Y12" s="489"/>
      <c r="Z12" s="489"/>
      <c r="AA12" s="489"/>
      <c r="AB12" s="489"/>
      <c r="AC12" s="489"/>
      <c r="AD12" s="489"/>
      <c r="AE12" s="489"/>
      <c r="AF12" s="489"/>
      <c r="AG12" s="489"/>
      <c r="AH12" s="489"/>
      <c r="AI12" s="62"/>
    </row>
    <row r="13" spans="1:35" x14ac:dyDescent="0.3">
      <c r="A13" s="462"/>
      <c r="B13" s="461" t="s">
        <v>759</v>
      </c>
      <c r="C13" s="461"/>
      <c r="D13" s="486"/>
      <c r="E13" s="486"/>
      <c r="F13" s="665"/>
      <c r="G13" s="665"/>
      <c r="H13" s="665"/>
      <c r="I13" s="486"/>
      <c r="J13" s="486"/>
      <c r="K13" s="486"/>
      <c r="L13" s="486"/>
      <c r="M13" s="489"/>
      <c r="N13" s="486"/>
      <c r="O13" s="486"/>
      <c r="P13" s="486"/>
      <c r="Q13" s="486"/>
      <c r="R13" s="486"/>
      <c r="S13" s="486"/>
      <c r="T13" s="486"/>
      <c r="U13" s="486"/>
      <c r="V13" s="486"/>
      <c r="W13" s="486"/>
      <c r="X13" s="489"/>
      <c r="Y13" s="489"/>
      <c r="Z13" s="489"/>
      <c r="AA13" s="489"/>
      <c r="AB13" s="489"/>
      <c r="AC13" s="489"/>
      <c r="AD13" s="489"/>
      <c r="AE13" s="489"/>
      <c r="AF13" s="489"/>
      <c r="AG13" s="489"/>
      <c r="AH13" s="489"/>
      <c r="AI13" s="62"/>
    </row>
    <row r="14" spans="1:35" x14ac:dyDescent="0.3">
      <c r="A14" s="462"/>
      <c r="B14" s="461" t="s">
        <v>760</v>
      </c>
      <c r="C14" s="461"/>
      <c r="D14" s="486"/>
      <c r="E14" s="486"/>
      <c r="F14" s="665"/>
      <c r="G14" s="665"/>
      <c r="H14" s="665"/>
      <c r="I14" s="486"/>
      <c r="J14" s="486"/>
      <c r="K14" s="486"/>
      <c r="L14" s="486"/>
      <c r="M14" s="489"/>
      <c r="N14" s="486"/>
      <c r="O14" s="486"/>
      <c r="P14" s="486"/>
      <c r="Q14" s="486"/>
      <c r="R14" s="486"/>
      <c r="S14" s="486"/>
      <c r="T14" s="486"/>
      <c r="U14" s="486"/>
      <c r="V14" s="486"/>
      <c r="W14" s="486"/>
      <c r="X14" s="489"/>
      <c r="Y14" s="489"/>
      <c r="Z14" s="489"/>
      <c r="AA14" s="489"/>
      <c r="AB14" s="489"/>
      <c r="AC14" s="489"/>
      <c r="AD14" s="489"/>
      <c r="AE14" s="489"/>
      <c r="AF14" s="489"/>
      <c r="AG14" s="489"/>
      <c r="AH14" s="489"/>
      <c r="AI14" s="62"/>
    </row>
    <row r="15" spans="1:35" x14ac:dyDescent="0.3">
      <c r="A15" s="462"/>
      <c r="B15" s="461"/>
      <c r="C15" s="461"/>
      <c r="D15" s="486"/>
      <c r="E15" s="486"/>
      <c r="F15" s="665"/>
      <c r="G15" s="665"/>
      <c r="H15" s="665"/>
      <c r="I15" s="486"/>
      <c r="J15" s="486"/>
      <c r="K15" s="486"/>
      <c r="L15" s="486"/>
      <c r="M15" s="489"/>
      <c r="N15" s="486"/>
      <c r="O15" s="486"/>
      <c r="P15" s="486"/>
      <c r="Q15" s="486"/>
      <c r="R15" s="486"/>
      <c r="S15" s="486"/>
      <c r="T15" s="486"/>
      <c r="U15" s="486"/>
      <c r="V15" s="486"/>
      <c r="W15" s="486"/>
      <c r="X15" s="489"/>
      <c r="Y15" s="489"/>
      <c r="Z15" s="489"/>
      <c r="AA15" s="489"/>
      <c r="AB15" s="489"/>
      <c r="AC15" s="489"/>
      <c r="AD15" s="489"/>
      <c r="AE15" s="489"/>
      <c r="AF15" s="489"/>
      <c r="AG15" s="489"/>
      <c r="AH15" s="489"/>
      <c r="AI15" s="62"/>
    </row>
    <row r="16" spans="1:35" x14ac:dyDescent="0.3">
      <c r="A16" s="462"/>
      <c r="B16" s="479" t="s">
        <v>761</v>
      </c>
      <c r="C16" s="479"/>
      <c r="D16" s="486"/>
      <c r="E16" s="486"/>
      <c r="F16" s="665"/>
      <c r="G16" s="665"/>
      <c r="H16" s="665"/>
      <c r="I16" s="486"/>
      <c r="J16" s="486"/>
      <c r="K16" s="486"/>
      <c r="L16" s="486"/>
      <c r="M16" s="489"/>
      <c r="N16" s="486"/>
      <c r="O16" s="486"/>
      <c r="P16" s="486"/>
      <c r="Q16" s="486"/>
      <c r="R16" s="486"/>
      <c r="S16" s="486"/>
      <c r="T16" s="486"/>
      <c r="U16" s="486"/>
      <c r="V16" s="486"/>
      <c r="W16" s="486"/>
      <c r="X16" s="489"/>
      <c r="Y16" s="489"/>
      <c r="Z16" s="489"/>
      <c r="AA16" s="489"/>
      <c r="AB16" s="489"/>
      <c r="AC16" s="489"/>
      <c r="AD16" s="489"/>
      <c r="AE16" s="489"/>
      <c r="AF16" s="489"/>
      <c r="AG16" s="489"/>
      <c r="AH16" s="489"/>
      <c r="AI16" s="62"/>
    </row>
    <row r="17" spans="1:35" x14ac:dyDescent="0.3">
      <c r="A17" s="462"/>
      <c r="B17" s="461"/>
      <c r="C17" s="461"/>
      <c r="D17" s="486"/>
      <c r="E17" s="486"/>
      <c r="F17" s="665"/>
      <c r="G17" s="665"/>
      <c r="H17" s="665"/>
      <c r="I17" s="486"/>
      <c r="J17" s="486"/>
      <c r="K17" s="486"/>
      <c r="L17" s="486"/>
      <c r="M17" s="489"/>
      <c r="N17" s="486"/>
      <c r="O17" s="486"/>
      <c r="P17" s="486"/>
      <c r="Q17" s="486"/>
      <c r="R17" s="486"/>
      <c r="S17" s="486"/>
      <c r="T17" s="486"/>
      <c r="U17" s="486"/>
      <c r="V17" s="486"/>
      <c r="W17" s="486"/>
      <c r="X17" s="489"/>
      <c r="Y17" s="489"/>
      <c r="Z17" s="489"/>
      <c r="AA17" s="489"/>
      <c r="AB17" s="489"/>
      <c r="AC17" s="489"/>
      <c r="AD17" s="489"/>
      <c r="AE17" s="489"/>
      <c r="AF17" s="489"/>
      <c r="AG17" s="489"/>
      <c r="AH17" s="489"/>
      <c r="AI17" s="62"/>
    </row>
    <row r="18" spans="1:35" x14ac:dyDescent="0.3">
      <c r="A18" s="462"/>
      <c r="B18" s="479" t="s">
        <v>762</v>
      </c>
      <c r="C18" s="479"/>
      <c r="D18" s="486"/>
      <c r="E18" s="486"/>
      <c r="F18" s="665"/>
      <c r="G18" s="665"/>
      <c r="H18" s="665"/>
      <c r="I18" s="486"/>
      <c r="J18" s="486"/>
      <c r="K18" s="486"/>
      <c r="L18" s="486"/>
      <c r="M18" s="489"/>
      <c r="N18" s="486"/>
      <c r="O18" s="486"/>
      <c r="P18" s="486"/>
      <c r="Q18" s="486"/>
      <c r="R18" s="486"/>
      <c r="S18" s="486"/>
      <c r="T18" s="486"/>
      <c r="U18" s="486"/>
      <c r="V18" s="486"/>
      <c r="W18" s="486"/>
      <c r="X18" s="489"/>
      <c r="Y18" s="489"/>
      <c r="Z18" s="489"/>
      <c r="AA18" s="489"/>
      <c r="AB18" s="489"/>
      <c r="AC18" s="489"/>
      <c r="AD18" s="489"/>
      <c r="AE18" s="489"/>
      <c r="AF18" s="489"/>
      <c r="AG18" s="489"/>
      <c r="AH18" s="489"/>
      <c r="AI18" s="62"/>
    </row>
    <row r="19" spans="1:35" x14ac:dyDescent="0.3">
      <c r="A19" s="462"/>
      <c r="B19" s="461" t="s">
        <v>544</v>
      </c>
      <c r="C19" s="461"/>
      <c r="D19" s="486"/>
      <c r="E19" s="486"/>
      <c r="F19" s="665"/>
      <c r="G19" s="665"/>
      <c r="H19" s="665"/>
      <c r="I19" s="486"/>
      <c r="J19" s="486"/>
      <c r="K19" s="486"/>
      <c r="L19" s="486"/>
      <c r="M19" s="489"/>
      <c r="N19" s="486"/>
      <c r="O19" s="486"/>
      <c r="P19" s="486"/>
      <c r="Q19" s="486"/>
      <c r="R19" s="486"/>
      <c r="S19" s="486"/>
      <c r="T19" s="486"/>
      <c r="U19" s="486"/>
      <c r="V19" s="486"/>
      <c r="W19" s="486"/>
      <c r="X19" s="489"/>
      <c r="Y19" s="489"/>
      <c r="Z19" s="489"/>
      <c r="AA19" s="489"/>
      <c r="AB19" s="489"/>
      <c r="AC19" s="489"/>
      <c r="AD19" s="489"/>
      <c r="AE19" s="489"/>
      <c r="AF19" s="489"/>
      <c r="AG19" s="489"/>
      <c r="AH19" s="489"/>
      <c r="AI19" s="62"/>
    </row>
    <row r="20" spans="1:35" x14ac:dyDescent="0.3">
      <c r="A20" s="462"/>
      <c r="B20" s="466" t="s">
        <v>366</v>
      </c>
      <c r="C20" s="466"/>
      <c r="D20" s="486"/>
      <c r="E20" s="486"/>
      <c r="F20" s="665"/>
      <c r="G20" s="665"/>
      <c r="H20" s="665"/>
      <c r="I20" s="486"/>
      <c r="J20" s="486"/>
      <c r="K20" s="486"/>
      <c r="L20" s="486"/>
      <c r="M20" s="489"/>
      <c r="N20" s="486"/>
      <c r="O20" s="486"/>
      <c r="P20" s="486"/>
      <c r="Q20" s="486"/>
      <c r="R20" s="486"/>
      <c r="S20" s="486"/>
      <c r="T20" s="486"/>
      <c r="U20" s="486"/>
      <c r="V20" s="486"/>
      <c r="W20" s="486"/>
      <c r="X20" s="489"/>
      <c r="Y20" s="489"/>
      <c r="Z20" s="489"/>
      <c r="AA20" s="489"/>
      <c r="AB20" s="489"/>
      <c r="AC20" s="489"/>
      <c r="AD20" s="489"/>
      <c r="AE20" s="489"/>
      <c r="AF20" s="489"/>
      <c r="AG20" s="489"/>
      <c r="AH20" s="489"/>
      <c r="AI20" s="62"/>
    </row>
    <row r="21" spans="1:35" x14ac:dyDescent="0.3">
      <c r="A21" s="462"/>
      <c r="B21" s="461" t="s">
        <v>367</v>
      </c>
      <c r="C21" s="461"/>
      <c r="D21" s="486"/>
      <c r="E21" s="486"/>
      <c r="F21" s="665"/>
      <c r="G21" s="665"/>
      <c r="H21" s="665"/>
      <c r="I21" s="486"/>
      <c r="J21" s="486"/>
      <c r="K21" s="486"/>
      <c r="L21" s="486"/>
      <c r="M21" s="489"/>
      <c r="N21" s="486"/>
      <c r="O21" s="486"/>
      <c r="P21" s="486"/>
      <c r="Q21" s="486"/>
      <c r="R21" s="486"/>
      <c r="S21" s="486"/>
      <c r="T21" s="486"/>
      <c r="U21" s="486"/>
      <c r="V21" s="486"/>
      <c r="W21" s="486"/>
      <c r="X21" s="489"/>
      <c r="Y21" s="489"/>
      <c r="Z21" s="489"/>
      <c r="AA21" s="489"/>
      <c r="AB21" s="489"/>
      <c r="AC21" s="489"/>
      <c r="AD21" s="489"/>
      <c r="AE21" s="489"/>
      <c r="AF21" s="489"/>
      <c r="AG21" s="489"/>
      <c r="AH21" s="489"/>
      <c r="AI21" s="62"/>
    </row>
    <row r="22" spans="1:35" x14ac:dyDescent="0.3">
      <c r="A22" s="462"/>
      <c r="B22" s="466" t="s">
        <v>540</v>
      </c>
      <c r="C22" s="466"/>
      <c r="D22" s="486"/>
      <c r="E22" s="486"/>
      <c r="F22" s="665"/>
      <c r="G22" s="665"/>
      <c r="H22" s="665"/>
      <c r="I22" s="486"/>
      <c r="J22" s="486"/>
      <c r="K22" s="486"/>
      <c r="L22" s="486"/>
      <c r="M22" s="489"/>
      <c r="N22" s="486"/>
      <c r="O22" s="486"/>
      <c r="P22" s="486"/>
      <c r="Q22" s="486"/>
      <c r="R22" s="486"/>
      <c r="S22" s="486"/>
      <c r="T22" s="486"/>
      <c r="U22" s="486"/>
      <c r="V22" s="486"/>
      <c r="W22" s="486"/>
      <c r="X22" s="489"/>
      <c r="Y22" s="489"/>
      <c r="Z22" s="489"/>
      <c r="AA22" s="489"/>
      <c r="AB22" s="489"/>
      <c r="AC22" s="489"/>
      <c r="AD22" s="489"/>
      <c r="AE22" s="489"/>
      <c r="AF22" s="489"/>
      <c r="AG22" s="489"/>
      <c r="AH22" s="489"/>
      <c r="AI22" s="62"/>
    </row>
    <row r="23" spans="1:35" x14ac:dyDescent="0.3">
      <c r="A23" s="462"/>
      <c r="B23" s="461"/>
      <c r="C23" s="461"/>
      <c r="D23" s="486"/>
      <c r="E23" s="486"/>
      <c r="F23" s="665"/>
      <c r="G23" s="665"/>
      <c r="H23" s="665"/>
      <c r="I23" s="486"/>
      <c r="J23" s="486"/>
      <c r="K23" s="486"/>
      <c r="L23" s="486"/>
      <c r="M23" s="489"/>
      <c r="N23" s="486"/>
      <c r="O23" s="486"/>
      <c r="P23" s="486"/>
      <c r="Q23" s="486"/>
      <c r="R23" s="486"/>
      <c r="S23" s="486"/>
      <c r="T23" s="486"/>
      <c r="U23" s="486"/>
      <c r="V23" s="486"/>
      <c r="W23" s="486"/>
      <c r="X23" s="489"/>
      <c r="Y23" s="489"/>
      <c r="Z23" s="489"/>
      <c r="AA23" s="489"/>
      <c r="AB23" s="489"/>
      <c r="AC23" s="489"/>
      <c r="AD23" s="489"/>
      <c r="AE23" s="489"/>
      <c r="AF23" s="489"/>
      <c r="AG23" s="489"/>
      <c r="AH23" s="489"/>
      <c r="AI23" s="62"/>
    </row>
    <row r="24" spans="1:35" x14ac:dyDescent="0.3">
      <c r="A24" s="462"/>
      <c r="B24" s="479" t="s">
        <v>763</v>
      </c>
      <c r="C24" s="479"/>
      <c r="D24" s="486"/>
      <c r="E24" s="486"/>
      <c r="F24" s="665"/>
      <c r="G24" s="665"/>
      <c r="H24" s="665"/>
      <c r="I24" s="486"/>
      <c r="J24" s="486"/>
      <c r="K24" s="486"/>
      <c r="L24" s="486"/>
      <c r="M24" s="489"/>
      <c r="N24" s="486"/>
      <c r="O24" s="486"/>
      <c r="P24" s="486"/>
      <c r="Q24" s="486"/>
      <c r="R24" s="486"/>
      <c r="S24" s="486"/>
      <c r="T24" s="486"/>
      <c r="U24" s="486"/>
      <c r="V24" s="486"/>
      <c r="W24" s="486"/>
      <c r="X24" s="489"/>
      <c r="Y24" s="489"/>
      <c r="Z24" s="489"/>
      <c r="AA24" s="489"/>
      <c r="AB24" s="489"/>
      <c r="AC24" s="489"/>
      <c r="AD24" s="489"/>
      <c r="AE24" s="489"/>
      <c r="AF24" s="489"/>
      <c r="AG24" s="489"/>
      <c r="AH24" s="489"/>
      <c r="AI24" s="62"/>
    </row>
    <row r="25" spans="1:35" x14ac:dyDescent="0.3">
      <c r="A25" s="462"/>
      <c r="B25" s="461"/>
      <c r="C25" s="461"/>
      <c r="D25" s="486"/>
      <c r="E25" s="486"/>
      <c r="F25" s="665"/>
      <c r="G25" s="665"/>
      <c r="H25" s="665"/>
      <c r="I25" s="486"/>
      <c r="J25" s="486"/>
      <c r="K25" s="486"/>
      <c r="L25" s="486"/>
      <c r="M25" s="489"/>
      <c r="N25" s="486"/>
      <c r="O25" s="486"/>
      <c r="P25" s="486"/>
      <c r="Q25" s="486"/>
      <c r="R25" s="486"/>
      <c r="S25" s="486"/>
      <c r="T25" s="486"/>
      <c r="U25" s="486"/>
      <c r="V25" s="486"/>
      <c r="W25" s="486"/>
      <c r="X25" s="489"/>
      <c r="Y25" s="489"/>
      <c r="Z25" s="489"/>
      <c r="AA25" s="489"/>
      <c r="AB25" s="489"/>
      <c r="AC25" s="489"/>
      <c r="AD25" s="489"/>
      <c r="AE25" s="489"/>
      <c r="AF25" s="489"/>
      <c r="AG25" s="489"/>
      <c r="AH25" s="489"/>
      <c r="AI25" s="62"/>
    </row>
    <row r="26" spans="1:35" x14ac:dyDescent="0.3">
      <c r="A26" s="462"/>
      <c r="B26" s="461" t="s">
        <v>764</v>
      </c>
      <c r="C26" s="461"/>
      <c r="D26" s="486"/>
      <c r="E26" s="486"/>
      <c r="F26" s="665"/>
      <c r="G26" s="665"/>
      <c r="H26" s="665"/>
      <c r="I26" s="486"/>
      <c r="J26" s="486"/>
      <c r="K26" s="486"/>
      <c r="L26" s="486"/>
      <c r="M26" s="489"/>
      <c r="N26" s="486"/>
      <c r="O26" s="486"/>
      <c r="P26" s="486"/>
      <c r="Q26" s="486"/>
      <c r="R26" s="486"/>
      <c r="S26" s="486"/>
      <c r="T26" s="486"/>
      <c r="U26" s="486"/>
      <c r="V26" s="486"/>
      <c r="W26" s="486"/>
      <c r="X26" s="489"/>
      <c r="Y26" s="489"/>
      <c r="Z26" s="489"/>
      <c r="AA26" s="489"/>
      <c r="AB26" s="489"/>
      <c r="AC26" s="489"/>
      <c r="AD26" s="489"/>
      <c r="AE26" s="489"/>
      <c r="AF26" s="489"/>
      <c r="AG26" s="489"/>
      <c r="AH26" s="489"/>
      <c r="AI26" s="62"/>
    </row>
    <row r="27" spans="1:35" x14ac:dyDescent="0.3">
      <c r="A27" s="462"/>
      <c r="B27" s="461" t="s">
        <v>765</v>
      </c>
      <c r="C27" s="461"/>
      <c r="D27" s="486"/>
      <c r="E27" s="486"/>
      <c r="F27" s="665"/>
      <c r="G27" s="665"/>
      <c r="H27" s="665"/>
      <c r="I27" s="486"/>
      <c r="J27" s="486"/>
      <c r="K27" s="486"/>
      <c r="L27" s="486"/>
      <c r="M27" s="489"/>
      <c r="N27" s="486"/>
      <c r="O27" s="486"/>
      <c r="P27" s="486"/>
      <c r="Q27" s="486"/>
      <c r="R27" s="486"/>
      <c r="S27" s="486"/>
      <c r="T27" s="486"/>
      <c r="U27" s="486"/>
      <c r="V27" s="486"/>
      <c r="W27" s="486"/>
      <c r="X27" s="489"/>
      <c r="Y27" s="489"/>
      <c r="Z27" s="489"/>
      <c r="AA27" s="489"/>
      <c r="AB27" s="489"/>
      <c r="AC27" s="489"/>
      <c r="AD27" s="489"/>
      <c r="AE27" s="489"/>
      <c r="AF27" s="489"/>
      <c r="AG27" s="489"/>
      <c r="AH27" s="489"/>
      <c r="AI27" s="62"/>
    </row>
    <row r="28" spans="1:35" x14ac:dyDescent="0.3">
      <c r="A28" s="462"/>
      <c r="B28" s="461" t="s">
        <v>766</v>
      </c>
      <c r="C28" s="461"/>
      <c r="D28" s="486"/>
      <c r="E28" s="486"/>
      <c r="F28" s="665"/>
      <c r="G28" s="665"/>
      <c r="H28" s="665"/>
      <c r="I28" s="486"/>
      <c r="J28" s="486"/>
      <c r="K28" s="486"/>
      <c r="L28" s="486"/>
      <c r="M28" s="489"/>
      <c r="N28" s="486"/>
      <c r="O28" s="486"/>
      <c r="P28" s="486"/>
      <c r="Q28" s="486"/>
      <c r="R28" s="486"/>
      <c r="S28" s="486"/>
      <c r="T28" s="486"/>
      <c r="U28" s="486"/>
      <c r="V28" s="486"/>
      <c r="W28" s="486"/>
      <c r="X28" s="489"/>
      <c r="Y28" s="489"/>
      <c r="Z28" s="489"/>
      <c r="AA28" s="489"/>
      <c r="AB28" s="489"/>
      <c r="AC28" s="489"/>
      <c r="AD28" s="489"/>
      <c r="AE28" s="489"/>
      <c r="AF28" s="489"/>
      <c r="AG28" s="489"/>
      <c r="AH28" s="489"/>
      <c r="AI28" s="62"/>
    </row>
    <row r="29" spans="1:35" x14ac:dyDescent="0.3">
      <c r="A29" s="462"/>
      <c r="B29" s="461"/>
      <c r="C29" s="461"/>
      <c r="D29" s="486"/>
      <c r="E29" s="486"/>
      <c r="F29" s="665"/>
      <c r="G29" s="665"/>
      <c r="H29" s="665"/>
      <c r="I29" s="486"/>
      <c r="J29" s="486"/>
      <c r="K29" s="486"/>
      <c r="L29" s="486"/>
      <c r="M29" s="489"/>
      <c r="N29" s="486"/>
      <c r="O29" s="486"/>
      <c r="P29" s="486"/>
      <c r="Q29" s="486"/>
      <c r="R29" s="486"/>
      <c r="S29" s="486"/>
      <c r="T29" s="486"/>
      <c r="U29" s="486"/>
      <c r="V29" s="486"/>
      <c r="W29" s="486"/>
      <c r="X29" s="489"/>
      <c r="Y29" s="489"/>
      <c r="Z29" s="489"/>
      <c r="AA29" s="489"/>
      <c r="AB29" s="489"/>
      <c r="AC29" s="489"/>
      <c r="AD29" s="489"/>
      <c r="AE29" s="489"/>
      <c r="AF29" s="489"/>
      <c r="AG29" s="489"/>
      <c r="AH29" s="489"/>
      <c r="AI29" s="62"/>
    </row>
    <row r="30" spans="1:35" x14ac:dyDescent="0.3">
      <c r="A30" s="462"/>
      <c r="B30" s="479" t="s">
        <v>767</v>
      </c>
      <c r="C30" s="479"/>
      <c r="D30" s="486"/>
      <c r="E30" s="486"/>
      <c r="F30" s="665"/>
      <c r="G30" s="665"/>
      <c r="H30" s="665"/>
      <c r="I30" s="486"/>
      <c r="J30" s="486"/>
      <c r="K30" s="486"/>
      <c r="L30" s="486"/>
      <c r="M30" s="489"/>
      <c r="N30" s="486"/>
      <c r="O30" s="486"/>
      <c r="P30" s="486"/>
      <c r="Q30" s="486"/>
      <c r="R30" s="486"/>
      <c r="S30" s="486"/>
      <c r="T30" s="486"/>
      <c r="U30" s="486"/>
      <c r="V30" s="486"/>
      <c r="W30" s="486"/>
      <c r="X30" s="489"/>
      <c r="Y30" s="489"/>
      <c r="Z30" s="489"/>
      <c r="AA30" s="489"/>
      <c r="AB30" s="489"/>
      <c r="AC30" s="489"/>
      <c r="AD30" s="489"/>
      <c r="AE30" s="489"/>
      <c r="AF30" s="489"/>
      <c r="AG30" s="489"/>
      <c r="AH30" s="489"/>
      <c r="AI30" s="62"/>
    </row>
    <row r="31" spans="1:35" x14ac:dyDescent="0.3">
      <c r="A31" s="462"/>
      <c r="B31" s="461"/>
      <c r="C31" s="461"/>
      <c r="D31" s="550"/>
      <c r="E31" s="550"/>
      <c r="F31" s="666"/>
      <c r="G31" s="666"/>
      <c r="H31" s="666"/>
      <c r="I31" s="550"/>
      <c r="J31" s="486"/>
      <c r="K31" s="486"/>
      <c r="L31" s="486"/>
      <c r="M31" s="489"/>
      <c r="N31" s="486"/>
      <c r="O31" s="486"/>
      <c r="P31" s="486"/>
      <c r="Q31" s="486"/>
      <c r="R31" s="486"/>
      <c r="S31" s="486"/>
      <c r="T31" s="486"/>
      <c r="U31" s="486"/>
      <c r="V31" s="486"/>
      <c r="W31" s="486"/>
      <c r="X31" s="489"/>
      <c r="Y31" s="489"/>
      <c r="Z31" s="489"/>
      <c r="AA31" s="489"/>
      <c r="AB31" s="489"/>
      <c r="AC31" s="489"/>
      <c r="AD31" s="489"/>
      <c r="AE31" s="489"/>
      <c r="AF31" s="489"/>
      <c r="AG31" s="489"/>
      <c r="AH31" s="489"/>
      <c r="AI31" s="62"/>
    </row>
    <row r="32" spans="1:35" s="1" customFormat="1" x14ac:dyDescent="0.3">
      <c r="A32" s="462"/>
      <c r="B32" s="461" t="s">
        <v>768</v>
      </c>
      <c r="C32" s="461" t="s">
        <v>546</v>
      </c>
      <c r="D32" s="535">
        <v>1</v>
      </c>
      <c r="E32" s="535">
        <v>0.4</v>
      </c>
      <c r="F32" s="667"/>
      <c r="G32" s="667"/>
      <c r="H32" s="667"/>
      <c r="I32" s="535">
        <v>0.6</v>
      </c>
      <c r="J32" s="551" t="s">
        <v>546</v>
      </c>
      <c r="K32" s="468" t="s">
        <v>546</v>
      </c>
      <c r="L32" s="468" t="s">
        <v>546</v>
      </c>
      <c r="M32" s="522" t="s">
        <v>546</v>
      </c>
      <c r="N32" s="468" t="s">
        <v>546</v>
      </c>
      <c r="O32" s="468" t="s">
        <v>546</v>
      </c>
      <c r="P32" s="468" t="s">
        <v>546</v>
      </c>
      <c r="Q32" s="468" t="s">
        <v>546</v>
      </c>
      <c r="R32" s="468" t="s">
        <v>546</v>
      </c>
      <c r="S32" s="468" t="s">
        <v>546</v>
      </c>
      <c r="T32" s="468" t="s">
        <v>546</v>
      </c>
      <c r="U32" s="468" t="s">
        <v>546</v>
      </c>
      <c r="V32" s="468" t="s">
        <v>546</v>
      </c>
      <c r="W32" s="468" t="s">
        <v>546</v>
      </c>
      <c r="X32" s="522" t="s">
        <v>546</v>
      </c>
      <c r="Y32" s="468" t="s">
        <v>546</v>
      </c>
      <c r="Z32" s="468" t="s">
        <v>546</v>
      </c>
      <c r="AA32" s="468" t="s">
        <v>546</v>
      </c>
      <c r="AB32" s="527" t="s">
        <v>546</v>
      </c>
      <c r="AC32" s="468" t="s">
        <v>546</v>
      </c>
      <c r="AD32" s="527" t="s">
        <v>546</v>
      </c>
      <c r="AE32" s="468" t="s">
        <v>546</v>
      </c>
      <c r="AF32" s="527" t="s">
        <v>546</v>
      </c>
      <c r="AG32" s="468" t="s">
        <v>546</v>
      </c>
      <c r="AH32" s="526"/>
      <c r="AI32" s="62"/>
    </row>
    <row r="33" spans="1:35" x14ac:dyDescent="0.3">
      <c r="A33" s="462"/>
      <c r="B33" s="461"/>
      <c r="C33" s="461"/>
      <c r="D33" s="486"/>
      <c r="E33" s="486"/>
      <c r="F33" s="665"/>
      <c r="G33" s="665"/>
      <c r="H33" s="665"/>
      <c r="I33" s="486"/>
      <c r="J33" s="486"/>
      <c r="K33" s="486"/>
      <c r="L33" s="486"/>
      <c r="M33" s="489"/>
      <c r="N33" s="486"/>
      <c r="O33" s="486"/>
      <c r="P33" s="486"/>
      <c r="Q33" s="486"/>
      <c r="R33" s="486"/>
      <c r="S33" s="486"/>
      <c r="T33" s="486" t="s">
        <v>546</v>
      </c>
      <c r="U33" s="486"/>
      <c r="V33" s="486"/>
      <c r="W33" s="486"/>
      <c r="X33" s="489"/>
      <c r="Y33" s="489"/>
      <c r="Z33" s="489"/>
      <c r="AA33" s="489"/>
      <c r="AB33" s="489"/>
      <c r="AC33" s="489"/>
      <c r="AD33" s="489"/>
      <c r="AE33" s="489"/>
      <c r="AF33" s="489"/>
      <c r="AG33" s="489"/>
      <c r="AH33" s="489"/>
      <c r="AI33" s="62"/>
    </row>
    <row r="34" spans="1:35" x14ac:dyDescent="0.3">
      <c r="A34" s="462"/>
      <c r="B34" s="479" t="s">
        <v>769</v>
      </c>
      <c r="C34" s="479"/>
      <c r="D34" s="486"/>
      <c r="E34" s="486"/>
      <c r="F34" s="665"/>
      <c r="G34" s="665"/>
      <c r="H34" s="665"/>
      <c r="I34" s="486"/>
      <c r="J34" s="486"/>
      <c r="K34" s="486"/>
      <c r="L34" s="486"/>
      <c r="M34" s="489"/>
      <c r="N34" s="486"/>
      <c r="O34" s="486"/>
      <c r="P34" s="486"/>
      <c r="Q34" s="486"/>
      <c r="R34" s="486"/>
      <c r="S34" s="486"/>
      <c r="T34" s="486"/>
      <c r="U34" s="486"/>
      <c r="V34" s="486"/>
      <c r="W34" s="486"/>
      <c r="X34" s="489"/>
      <c r="Y34" s="489"/>
      <c r="Z34" s="489"/>
      <c r="AA34" s="489"/>
      <c r="AB34" s="489"/>
      <c r="AC34" s="489"/>
      <c r="AD34" s="489"/>
      <c r="AE34" s="489"/>
      <c r="AF34" s="489"/>
      <c r="AG34" s="489"/>
      <c r="AH34" s="489"/>
      <c r="AI34" s="62"/>
    </row>
    <row r="35" spans="1:35" x14ac:dyDescent="0.3">
      <c r="A35" s="462"/>
      <c r="B35" s="461"/>
      <c r="C35" s="461"/>
      <c r="D35" s="486"/>
      <c r="E35" s="486"/>
      <c r="F35" s="665"/>
      <c r="G35" s="665"/>
      <c r="H35" s="665"/>
      <c r="I35" s="486"/>
      <c r="J35" s="486"/>
      <c r="K35" s="486"/>
      <c r="L35" s="486"/>
      <c r="M35" s="489"/>
      <c r="N35" s="486"/>
      <c r="O35" s="486"/>
      <c r="P35" s="486"/>
      <c r="Q35" s="486"/>
      <c r="R35" s="486"/>
      <c r="S35" s="486"/>
      <c r="T35" s="486"/>
      <c r="U35" s="486"/>
      <c r="V35" s="486"/>
      <c r="W35" s="486"/>
      <c r="X35" s="489"/>
      <c r="Y35" s="489"/>
      <c r="Z35" s="489"/>
      <c r="AA35" s="489"/>
      <c r="AB35" s="489"/>
      <c r="AC35" s="489"/>
      <c r="AD35" s="489"/>
      <c r="AE35" s="489"/>
      <c r="AF35" s="489"/>
      <c r="AG35" s="489"/>
      <c r="AH35" s="489"/>
      <c r="AI35" s="62"/>
    </row>
    <row r="36" spans="1:35" x14ac:dyDescent="0.3">
      <c r="A36" s="460" t="s">
        <v>770</v>
      </c>
      <c r="B36" s="461"/>
      <c r="C36" s="461"/>
      <c r="D36" s="486"/>
      <c r="E36" s="486"/>
      <c r="F36" s="665"/>
      <c r="G36" s="665"/>
      <c r="H36" s="665"/>
      <c r="I36" s="486"/>
      <c r="J36" s="486"/>
      <c r="K36" s="486"/>
      <c r="L36" s="486"/>
      <c r="M36" s="489"/>
      <c r="N36" s="486"/>
      <c r="O36" s="486"/>
      <c r="P36" s="486"/>
      <c r="Q36" s="486"/>
      <c r="R36" s="486"/>
      <c r="S36" s="486"/>
      <c r="T36" s="486"/>
      <c r="U36" s="486"/>
      <c r="V36" s="486"/>
      <c r="W36" s="486"/>
      <c r="X36" s="489"/>
      <c r="Y36" s="489"/>
      <c r="Z36" s="489"/>
      <c r="AA36" s="489"/>
      <c r="AB36" s="489"/>
      <c r="AC36" s="489"/>
      <c r="AD36" s="489"/>
      <c r="AE36" s="489"/>
      <c r="AF36" s="489"/>
      <c r="AG36" s="489"/>
      <c r="AH36" s="489"/>
      <c r="AI36" s="62"/>
    </row>
    <row r="37" spans="1:35" x14ac:dyDescent="0.3">
      <c r="A37" s="462"/>
      <c r="B37" s="461"/>
      <c r="C37" s="461"/>
      <c r="D37" s="486"/>
      <c r="E37" s="486"/>
      <c r="F37" s="665"/>
      <c r="G37" s="665"/>
      <c r="H37" s="665"/>
      <c r="I37" s="486"/>
      <c r="J37" s="486"/>
      <c r="K37" s="486"/>
      <c r="L37" s="486"/>
      <c r="M37" s="489"/>
      <c r="N37" s="486"/>
      <c r="O37" s="486"/>
      <c r="P37" s="486"/>
      <c r="Q37" s="486"/>
      <c r="R37" s="486"/>
      <c r="S37" s="486"/>
      <c r="T37" s="486"/>
      <c r="U37" s="486"/>
      <c r="V37" s="486"/>
      <c r="W37" s="486"/>
      <c r="X37" s="489"/>
      <c r="Y37" s="489"/>
      <c r="Z37" s="489"/>
      <c r="AA37" s="489"/>
      <c r="AB37" s="489"/>
      <c r="AC37" s="489"/>
      <c r="AD37" s="489"/>
      <c r="AE37" s="489"/>
      <c r="AF37" s="489"/>
      <c r="AG37" s="489"/>
      <c r="AH37" s="489"/>
      <c r="AI37" s="62"/>
    </row>
    <row r="38" spans="1:35" x14ac:dyDescent="0.3">
      <c r="A38" s="460" t="s">
        <v>771</v>
      </c>
      <c r="B38" s="461"/>
      <c r="C38" s="461"/>
      <c r="D38" s="486"/>
      <c r="E38" s="486"/>
      <c r="F38" s="665"/>
      <c r="G38" s="665"/>
      <c r="H38" s="665"/>
      <c r="I38" s="486"/>
      <c r="J38" s="486"/>
      <c r="K38" s="486"/>
      <c r="L38" s="486"/>
      <c r="M38" s="489"/>
      <c r="N38" s="486"/>
      <c r="O38" s="486"/>
      <c r="P38" s="486"/>
      <c r="Q38" s="486"/>
      <c r="R38" s="486"/>
      <c r="S38" s="486"/>
      <c r="T38" s="486"/>
      <c r="U38" s="486"/>
      <c r="V38" s="486"/>
      <c r="W38" s="486"/>
      <c r="X38" s="489"/>
      <c r="Y38" s="489"/>
      <c r="Z38" s="489"/>
      <c r="AA38" s="489"/>
      <c r="AB38" s="489"/>
      <c r="AC38" s="489"/>
      <c r="AD38" s="489"/>
      <c r="AE38" s="489"/>
      <c r="AF38" s="489"/>
      <c r="AG38" s="489"/>
      <c r="AH38" s="489"/>
      <c r="AI38" s="62"/>
    </row>
    <row r="39" spans="1:35" x14ac:dyDescent="0.3">
      <c r="A39" s="462"/>
      <c r="B39" s="461"/>
      <c r="C39" s="461"/>
      <c r="D39" s="486"/>
      <c r="E39" s="486"/>
      <c r="F39" s="665"/>
      <c r="G39" s="665"/>
      <c r="H39" s="665"/>
      <c r="I39" s="486"/>
      <c r="J39" s="486"/>
      <c r="K39" s="486"/>
      <c r="L39" s="486"/>
      <c r="M39" s="489"/>
      <c r="N39" s="486"/>
      <c r="O39" s="486"/>
      <c r="P39" s="486"/>
      <c r="Q39" s="486"/>
      <c r="R39" s="486"/>
      <c r="S39" s="486"/>
      <c r="T39" s="486"/>
      <c r="U39" s="486"/>
      <c r="V39" s="486"/>
      <c r="W39" s="486"/>
      <c r="X39" s="489"/>
      <c r="Y39" s="489"/>
      <c r="Z39" s="489"/>
      <c r="AA39" s="489"/>
      <c r="AB39" s="489"/>
      <c r="AC39" s="489"/>
      <c r="AD39" s="489"/>
      <c r="AE39" s="489"/>
      <c r="AF39" s="489"/>
      <c r="AG39" s="489"/>
      <c r="AH39" s="489"/>
      <c r="AI39" s="62"/>
    </row>
    <row r="40" spans="1:35" x14ac:dyDescent="0.3">
      <c r="A40" s="464" t="s">
        <v>772</v>
      </c>
      <c r="B40" s="62"/>
      <c r="C40" s="62"/>
      <c r="D40" s="486"/>
      <c r="E40" s="486"/>
      <c r="F40" s="665"/>
      <c r="G40" s="665"/>
      <c r="H40" s="665"/>
      <c r="I40" s="486"/>
      <c r="J40" s="486"/>
      <c r="K40" s="486"/>
      <c r="L40" s="486"/>
      <c r="M40" s="489"/>
      <c r="N40" s="486"/>
      <c r="O40" s="486"/>
      <c r="P40" s="486"/>
      <c r="Q40" s="486"/>
      <c r="R40" s="486"/>
      <c r="S40" s="486"/>
      <c r="T40" s="486"/>
      <c r="U40" s="486"/>
      <c r="V40" s="486"/>
      <c r="W40" s="486"/>
      <c r="X40" s="489"/>
      <c r="Y40" s="489"/>
      <c r="Z40" s="489"/>
      <c r="AA40" s="489"/>
      <c r="AB40" s="489"/>
      <c r="AC40" s="489"/>
      <c r="AD40" s="489"/>
      <c r="AE40" s="489"/>
      <c r="AF40" s="489"/>
      <c r="AG40" s="489"/>
      <c r="AH40" s="489"/>
      <c r="AI40" s="62"/>
    </row>
    <row r="41" spans="1:35" x14ac:dyDescent="0.3">
      <c r="A41" s="462"/>
      <c r="B41" s="461" t="s">
        <v>773</v>
      </c>
      <c r="C41" s="461"/>
      <c r="D41" s="486"/>
      <c r="E41" s="486"/>
      <c r="F41" s="665"/>
      <c r="G41" s="665"/>
      <c r="H41" s="665"/>
      <c r="I41" s="486"/>
      <c r="J41" s="486"/>
      <c r="K41" s="486"/>
      <c r="L41" s="486"/>
      <c r="M41" s="489"/>
      <c r="N41" s="486"/>
      <c r="O41" s="486"/>
      <c r="P41" s="486"/>
      <c r="Q41" s="486"/>
      <c r="R41" s="486"/>
      <c r="S41" s="486"/>
      <c r="T41" s="486"/>
      <c r="U41" s="486"/>
      <c r="V41" s="486"/>
      <c r="W41" s="486"/>
      <c r="X41" s="489"/>
      <c r="Y41" s="489"/>
      <c r="Z41" s="489"/>
      <c r="AA41" s="489"/>
      <c r="AB41" s="489"/>
      <c r="AC41" s="489"/>
      <c r="AD41" s="489"/>
      <c r="AE41" s="489"/>
      <c r="AF41" s="489"/>
      <c r="AG41" s="489"/>
      <c r="AH41" s="489"/>
      <c r="AI41" s="62"/>
    </row>
    <row r="42" spans="1:35" x14ac:dyDescent="0.3">
      <c r="A42" s="462"/>
      <c r="B42" s="461" t="s">
        <v>774</v>
      </c>
      <c r="C42" s="461"/>
      <c r="D42" s="486"/>
      <c r="E42" s="486"/>
      <c r="F42" s="665"/>
      <c r="G42" s="665"/>
      <c r="H42" s="665"/>
      <c r="I42" s="486"/>
      <c r="J42" s="486"/>
      <c r="K42" s="486"/>
      <c r="L42" s="486"/>
      <c r="M42" s="489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9"/>
      <c r="Y42" s="489"/>
      <c r="Z42" s="489"/>
      <c r="AA42" s="489"/>
      <c r="AB42" s="489"/>
      <c r="AC42" s="489"/>
      <c r="AD42" s="489"/>
      <c r="AE42" s="489"/>
      <c r="AF42" s="489"/>
      <c r="AG42" s="489"/>
      <c r="AH42" s="489"/>
      <c r="AI42" s="62"/>
    </row>
    <row r="43" spans="1:35" x14ac:dyDescent="0.3">
      <c r="A43" s="462"/>
      <c r="B43" s="461" t="s">
        <v>775</v>
      </c>
      <c r="C43" s="461"/>
      <c r="D43" s="486"/>
      <c r="E43" s="486"/>
      <c r="F43" s="665"/>
      <c r="G43" s="665"/>
      <c r="H43" s="665"/>
      <c r="I43" s="486"/>
      <c r="J43" s="486"/>
      <c r="K43" s="486"/>
      <c r="L43" s="486"/>
      <c r="M43" s="489"/>
      <c r="N43" s="486"/>
      <c r="O43" s="486"/>
      <c r="P43" s="486"/>
      <c r="Q43" s="486"/>
      <c r="R43" s="486"/>
      <c r="S43" s="486"/>
      <c r="T43" s="486"/>
      <c r="U43" s="486"/>
      <c r="V43" s="486"/>
      <c r="W43" s="486"/>
      <c r="X43" s="489"/>
      <c r="Y43" s="489"/>
      <c r="Z43" s="489"/>
      <c r="AA43" s="489"/>
      <c r="AB43" s="489"/>
      <c r="AC43" s="489"/>
      <c r="AD43" s="489"/>
      <c r="AE43" s="489"/>
      <c r="AF43" s="489"/>
      <c r="AG43" s="489"/>
      <c r="AH43" s="489"/>
      <c r="AI43" s="62"/>
    </row>
    <row r="44" spans="1:35" x14ac:dyDescent="0.3">
      <c r="A44" s="462"/>
      <c r="B44" s="461"/>
      <c r="C44" s="461"/>
      <c r="D44" s="486"/>
      <c r="E44" s="486"/>
      <c r="F44" s="665"/>
      <c r="G44" s="665"/>
      <c r="H44" s="665"/>
      <c r="I44" s="486"/>
      <c r="J44" s="486"/>
      <c r="K44" s="486"/>
      <c r="L44" s="486"/>
      <c r="M44" s="489"/>
      <c r="N44" s="486"/>
      <c r="O44" s="486"/>
      <c r="P44" s="486"/>
      <c r="Q44" s="486"/>
      <c r="R44" s="486"/>
      <c r="S44" s="486"/>
      <c r="T44" s="486"/>
      <c r="U44" s="486"/>
      <c r="V44" s="486"/>
      <c r="W44" s="486"/>
      <c r="X44" s="489"/>
      <c r="Y44" s="489"/>
      <c r="Z44" s="489"/>
      <c r="AA44" s="489"/>
      <c r="AB44" s="489"/>
      <c r="AC44" s="489"/>
      <c r="AD44" s="489"/>
      <c r="AE44" s="489"/>
      <c r="AF44" s="489"/>
      <c r="AG44" s="489"/>
      <c r="AH44" s="489"/>
      <c r="AI44" s="62"/>
    </row>
    <row r="45" spans="1:35" x14ac:dyDescent="0.3">
      <c r="A45" s="460" t="s">
        <v>776</v>
      </c>
      <c r="B45" s="461"/>
      <c r="C45" s="461"/>
      <c r="D45" s="486"/>
      <c r="E45" s="486"/>
      <c r="F45" s="665"/>
      <c r="G45" s="665"/>
      <c r="H45" s="665"/>
      <c r="I45" s="486"/>
      <c r="J45" s="486"/>
      <c r="K45" s="486"/>
      <c r="L45" s="486"/>
      <c r="M45" s="489"/>
      <c r="N45" s="486"/>
      <c r="O45" s="486"/>
      <c r="P45" s="486"/>
      <c r="Q45" s="486"/>
      <c r="R45" s="486"/>
      <c r="S45" s="486"/>
      <c r="T45" s="486"/>
      <c r="U45" s="486"/>
      <c r="V45" s="486"/>
      <c r="W45" s="486"/>
      <c r="X45" s="489"/>
      <c r="Y45" s="489"/>
      <c r="Z45" s="489"/>
      <c r="AA45" s="489"/>
      <c r="AB45" s="489"/>
      <c r="AC45" s="489"/>
      <c r="AD45" s="489"/>
      <c r="AE45" s="489"/>
      <c r="AF45" s="489"/>
      <c r="AG45" s="489"/>
      <c r="AH45" s="489"/>
      <c r="AI45" s="62"/>
    </row>
    <row r="46" spans="1:35" x14ac:dyDescent="0.3">
      <c r="A46" s="462"/>
      <c r="B46" s="461"/>
      <c r="C46" s="461"/>
      <c r="D46" s="486"/>
      <c r="E46" s="486"/>
      <c r="F46" s="665"/>
      <c r="G46" s="665"/>
      <c r="H46" s="665"/>
      <c r="I46" s="486"/>
      <c r="J46" s="486"/>
      <c r="K46" s="486"/>
      <c r="L46" s="486"/>
      <c r="M46" s="489"/>
      <c r="N46" s="486"/>
      <c r="O46" s="486"/>
      <c r="P46" s="486"/>
      <c r="Q46" s="486"/>
      <c r="R46" s="486"/>
      <c r="S46" s="486"/>
      <c r="T46" s="486"/>
      <c r="U46" s="486"/>
      <c r="V46" s="486"/>
      <c r="W46" s="486"/>
      <c r="X46" s="489"/>
      <c r="Y46" s="489"/>
      <c r="Z46" s="489"/>
      <c r="AA46" s="489"/>
      <c r="AB46" s="489"/>
      <c r="AC46" s="489"/>
      <c r="AD46" s="489"/>
      <c r="AE46" s="489"/>
      <c r="AF46" s="489"/>
      <c r="AG46" s="489"/>
      <c r="AH46" s="489"/>
      <c r="AI46" s="62"/>
    </row>
    <row r="47" spans="1:35" x14ac:dyDescent="0.3">
      <c r="A47" s="544" t="s">
        <v>777</v>
      </c>
      <c r="B47" s="464"/>
      <c r="C47" s="464"/>
      <c r="D47" s="486"/>
      <c r="E47" s="486"/>
      <c r="F47" s="665"/>
      <c r="G47" s="665"/>
      <c r="H47" s="665"/>
      <c r="I47" s="486"/>
      <c r="J47" s="486"/>
      <c r="K47" s="486"/>
      <c r="L47" s="486"/>
      <c r="M47" s="489"/>
      <c r="N47" s="486"/>
      <c r="O47" s="486"/>
      <c r="P47" s="486"/>
      <c r="Q47" s="486"/>
      <c r="R47" s="486"/>
      <c r="S47" s="486"/>
      <c r="T47" s="486"/>
      <c r="U47" s="486"/>
      <c r="V47" s="486"/>
      <c r="W47" s="486"/>
      <c r="X47" s="489"/>
      <c r="Y47" s="489"/>
      <c r="Z47" s="489"/>
      <c r="AA47" s="489"/>
      <c r="AB47" s="489"/>
      <c r="AC47" s="489"/>
      <c r="AD47" s="489"/>
      <c r="AE47" s="489"/>
      <c r="AF47" s="489"/>
      <c r="AG47" s="489"/>
      <c r="AH47" s="489"/>
      <c r="AI47" s="62"/>
    </row>
    <row r="48" spans="1:35" x14ac:dyDescent="0.3">
      <c r="A48" s="460"/>
      <c r="B48" s="461"/>
      <c r="C48" s="461"/>
      <c r="D48" s="486"/>
      <c r="E48" s="486"/>
      <c r="F48" s="665"/>
      <c r="G48" s="665"/>
      <c r="H48" s="665"/>
      <c r="I48" s="486"/>
      <c r="J48" s="486"/>
      <c r="K48" s="486"/>
      <c r="L48" s="486"/>
      <c r="M48" s="489"/>
      <c r="N48" s="486"/>
      <c r="O48" s="486"/>
      <c r="P48" s="486"/>
      <c r="Q48" s="486"/>
      <c r="R48" s="486"/>
      <c r="S48" s="486"/>
      <c r="T48" s="486"/>
      <c r="U48" s="486"/>
      <c r="V48" s="486"/>
      <c r="W48" s="486"/>
      <c r="X48" s="489"/>
      <c r="Y48" s="489"/>
      <c r="Z48" s="489"/>
      <c r="AA48" s="489"/>
      <c r="AB48" s="489"/>
      <c r="AC48" s="489"/>
      <c r="AD48" s="489"/>
      <c r="AE48" s="489"/>
      <c r="AF48" s="489"/>
      <c r="AG48" s="489"/>
      <c r="AH48" s="489"/>
      <c r="AI48" s="62"/>
    </row>
    <row r="49" spans="1:35" x14ac:dyDescent="0.3">
      <c r="A49" s="544" t="s">
        <v>778</v>
      </c>
      <c r="B49" s="461"/>
      <c r="C49" s="461"/>
      <c r="D49" s="486"/>
      <c r="E49" s="486"/>
      <c r="F49" s="665"/>
      <c r="G49" s="665"/>
      <c r="H49" s="665"/>
      <c r="I49" s="486"/>
      <c r="J49" s="486"/>
      <c r="K49" s="486"/>
      <c r="L49" s="486"/>
      <c r="M49" s="489"/>
      <c r="N49" s="486"/>
      <c r="O49" s="486"/>
      <c r="P49" s="486"/>
      <c r="Q49" s="486"/>
      <c r="R49" s="486"/>
      <c r="S49" s="486"/>
      <c r="T49" s="486"/>
      <c r="U49" s="486"/>
      <c r="V49" s="486"/>
      <c r="W49" s="486"/>
      <c r="X49" s="489"/>
      <c r="Y49" s="489"/>
      <c r="Z49" s="489"/>
      <c r="AA49" s="489"/>
      <c r="AB49" s="489"/>
      <c r="AC49" s="489"/>
      <c r="AD49" s="489"/>
      <c r="AE49" s="489"/>
      <c r="AF49" s="489"/>
      <c r="AG49" s="489"/>
      <c r="AH49" s="489"/>
      <c r="AI49" s="62"/>
    </row>
    <row r="50" spans="1:35" x14ac:dyDescent="0.3">
      <c r="A50" s="462"/>
      <c r="B50" s="461"/>
      <c r="C50" s="461"/>
      <c r="D50" s="486"/>
      <c r="E50" s="486"/>
      <c r="F50" s="665"/>
      <c r="G50" s="665"/>
      <c r="H50" s="665"/>
      <c r="I50" s="486"/>
      <c r="J50" s="486"/>
      <c r="K50" s="486"/>
      <c r="L50" s="486"/>
      <c r="M50" s="489"/>
      <c r="N50" s="486"/>
      <c r="O50" s="486"/>
      <c r="P50" s="486"/>
      <c r="Q50" s="486"/>
      <c r="R50" s="486"/>
      <c r="S50" s="486"/>
      <c r="T50" s="486"/>
      <c r="U50" s="486"/>
      <c r="V50" s="486"/>
      <c r="W50" s="486"/>
      <c r="X50" s="489"/>
      <c r="Y50" s="489"/>
      <c r="Z50" s="489"/>
      <c r="AA50" s="489"/>
      <c r="AB50" s="489"/>
      <c r="AC50" s="489"/>
      <c r="AD50" s="489"/>
      <c r="AE50" s="489"/>
      <c r="AF50" s="489"/>
      <c r="AG50" s="489"/>
      <c r="AH50" s="489"/>
      <c r="AI50" s="62"/>
    </row>
    <row r="51" spans="1:35" x14ac:dyDescent="0.3">
      <c r="A51" s="462"/>
      <c r="B51" s="466" t="s">
        <v>779</v>
      </c>
      <c r="C51" s="466"/>
      <c r="D51" s="486"/>
      <c r="E51" s="486"/>
      <c r="F51" s="665"/>
      <c r="G51" s="665"/>
      <c r="H51" s="665"/>
      <c r="I51" s="486"/>
      <c r="J51" s="486"/>
      <c r="K51" s="486"/>
      <c r="L51" s="486"/>
      <c r="M51" s="489"/>
      <c r="N51" s="486"/>
      <c r="O51" s="486"/>
      <c r="P51" s="486"/>
      <c r="Q51" s="486"/>
      <c r="R51" s="486"/>
      <c r="S51" s="486"/>
      <c r="T51" s="486"/>
      <c r="U51" s="486"/>
      <c r="V51" s="486"/>
      <c r="W51" s="486"/>
      <c r="X51" s="489"/>
      <c r="Y51" s="489"/>
      <c r="Z51" s="489"/>
      <c r="AA51" s="489"/>
      <c r="AB51" s="489"/>
      <c r="AC51" s="489"/>
      <c r="AD51" s="489"/>
      <c r="AE51" s="489"/>
      <c r="AF51" s="489"/>
      <c r="AG51" s="489"/>
      <c r="AH51" s="489"/>
      <c r="AI51" s="62"/>
    </row>
    <row r="52" spans="1:35" x14ac:dyDescent="0.3">
      <c r="A52" s="462"/>
      <c r="B52" s="461"/>
      <c r="C52" s="461"/>
      <c r="D52" s="486"/>
      <c r="E52" s="486"/>
      <c r="F52" s="665"/>
      <c r="G52" s="665"/>
      <c r="H52" s="665"/>
      <c r="I52" s="486"/>
      <c r="J52" s="486"/>
      <c r="K52" s="486"/>
      <c r="L52" s="486"/>
      <c r="M52" s="489"/>
      <c r="N52" s="486"/>
      <c r="O52" s="486"/>
      <c r="P52" s="486"/>
      <c r="Q52" s="486"/>
      <c r="R52" s="486"/>
      <c r="S52" s="486"/>
      <c r="T52" s="486"/>
      <c r="U52" s="486"/>
      <c r="V52" s="486"/>
      <c r="W52" s="486"/>
      <c r="X52" s="489"/>
      <c r="Y52" s="489"/>
      <c r="Z52" s="489"/>
      <c r="AA52" s="489"/>
      <c r="AB52" s="489"/>
      <c r="AC52" s="489"/>
      <c r="AD52" s="489"/>
      <c r="AE52" s="489"/>
      <c r="AF52" s="489"/>
      <c r="AG52" s="489"/>
      <c r="AH52" s="489"/>
      <c r="AI52" s="62"/>
    </row>
    <row r="53" spans="1:35" x14ac:dyDescent="0.3">
      <c r="A53" s="462"/>
      <c r="B53" s="461" t="s">
        <v>780</v>
      </c>
      <c r="C53" s="461"/>
      <c r="D53" s="486"/>
      <c r="E53" s="486"/>
      <c r="F53" s="665"/>
      <c r="G53" s="665"/>
      <c r="H53" s="665"/>
      <c r="I53" s="486"/>
      <c r="J53" s="486"/>
      <c r="K53" s="486"/>
      <c r="L53" s="486"/>
      <c r="M53" s="489"/>
      <c r="N53" s="486"/>
      <c r="O53" s="486"/>
      <c r="P53" s="486"/>
      <c r="Q53" s="486"/>
      <c r="R53" s="486"/>
      <c r="S53" s="486"/>
      <c r="T53" s="486"/>
      <c r="U53" s="486"/>
      <c r="V53" s="486"/>
      <c r="W53" s="486"/>
      <c r="X53" s="489"/>
      <c r="Y53" s="489"/>
      <c r="Z53" s="489"/>
      <c r="AA53" s="489"/>
      <c r="AB53" s="489"/>
      <c r="AC53" s="489"/>
      <c r="AD53" s="489"/>
      <c r="AE53" s="489"/>
      <c r="AF53" s="489"/>
      <c r="AG53" s="489"/>
      <c r="AH53" s="489"/>
      <c r="AI53" s="62"/>
    </row>
    <row r="54" spans="1:35" x14ac:dyDescent="0.3">
      <c r="A54" s="462"/>
      <c r="B54" s="461" t="s">
        <v>781</v>
      </c>
      <c r="C54" s="461"/>
      <c r="D54" s="486"/>
      <c r="E54" s="486"/>
      <c r="F54" s="665"/>
      <c r="G54" s="665"/>
      <c r="H54" s="665"/>
      <c r="I54" s="486"/>
      <c r="J54" s="486"/>
      <c r="K54" s="486"/>
      <c r="L54" s="486"/>
      <c r="M54" s="489"/>
      <c r="N54" s="486"/>
      <c r="O54" s="486"/>
      <c r="P54" s="486"/>
      <c r="Q54" s="486"/>
      <c r="R54" s="486"/>
      <c r="S54" s="486"/>
      <c r="T54" s="486"/>
      <c r="U54" s="486"/>
      <c r="V54" s="486"/>
      <c r="W54" s="486"/>
      <c r="X54" s="489"/>
      <c r="Y54" s="489"/>
      <c r="Z54" s="489"/>
      <c r="AA54" s="489"/>
      <c r="AB54" s="489"/>
      <c r="AC54" s="489"/>
      <c r="AD54" s="489"/>
      <c r="AE54" s="489"/>
      <c r="AF54" s="489"/>
      <c r="AG54" s="489"/>
      <c r="AH54" s="489"/>
      <c r="AI54" s="62"/>
    </row>
    <row r="55" spans="1:35" x14ac:dyDescent="0.3">
      <c r="A55" s="462"/>
      <c r="B55" s="461" t="s">
        <v>782</v>
      </c>
      <c r="C55" s="461"/>
      <c r="D55" s="486"/>
      <c r="E55" s="486"/>
      <c r="F55" s="665"/>
      <c r="G55" s="665"/>
      <c r="H55" s="665"/>
      <c r="I55" s="486"/>
      <c r="J55" s="486"/>
      <c r="K55" s="486"/>
      <c r="L55" s="486"/>
      <c r="M55" s="489"/>
      <c r="N55" s="486"/>
      <c r="O55" s="486"/>
      <c r="P55" s="486"/>
      <c r="Q55" s="486"/>
      <c r="R55" s="486"/>
      <c r="S55" s="486"/>
      <c r="T55" s="486"/>
      <c r="U55" s="486"/>
      <c r="V55" s="486"/>
      <c r="W55" s="486"/>
      <c r="X55" s="489"/>
      <c r="Y55" s="489"/>
      <c r="Z55" s="489"/>
      <c r="AA55" s="489"/>
      <c r="AB55" s="489"/>
      <c r="AC55" s="489"/>
      <c r="AD55" s="489"/>
      <c r="AE55" s="489"/>
      <c r="AF55" s="489"/>
      <c r="AG55" s="489"/>
      <c r="AH55" s="489"/>
      <c r="AI55" s="62"/>
    </row>
    <row r="56" spans="1:35" x14ac:dyDescent="0.3">
      <c r="A56" s="462"/>
      <c r="B56" s="466" t="s">
        <v>783</v>
      </c>
      <c r="C56" s="466"/>
      <c r="D56" s="486"/>
      <c r="E56" s="486"/>
      <c r="F56" s="665"/>
      <c r="G56" s="665"/>
      <c r="H56" s="665"/>
      <c r="I56" s="486"/>
      <c r="J56" s="486"/>
      <c r="K56" s="486"/>
      <c r="L56" s="486"/>
      <c r="M56" s="489"/>
      <c r="N56" s="486"/>
      <c r="O56" s="486"/>
      <c r="P56" s="486"/>
      <c r="Q56" s="486"/>
      <c r="R56" s="486"/>
      <c r="S56" s="486"/>
      <c r="T56" s="486"/>
      <c r="U56" s="486"/>
      <c r="V56" s="486"/>
      <c r="W56" s="486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62"/>
    </row>
    <row r="57" spans="1:35" x14ac:dyDescent="0.3">
      <c r="A57" s="462"/>
      <c r="B57" s="461" t="s">
        <v>784</v>
      </c>
      <c r="C57" s="461"/>
      <c r="D57" s="486"/>
      <c r="E57" s="486"/>
      <c r="F57" s="665"/>
      <c r="G57" s="665"/>
      <c r="H57" s="665"/>
      <c r="I57" s="486"/>
      <c r="J57" s="486"/>
      <c r="K57" s="486"/>
      <c r="L57" s="486"/>
      <c r="M57" s="489"/>
      <c r="N57" s="486"/>
      <c r="O57" s="486"/>
      <c r="P57" s="486"/>
      <c r="Q57" s="486"/>
      <c r="R57" s="486"/>
      <c r="S57" s="486"/>
      <c r="T57" s="486"/>
      <c r="U57" s="486"/>
      <c r="V57" s="486"/>
      <c r="W57" s="486"/>
      <c r="X57" s="489"/>
      <c r="Y57" s="489"/>
      <c r="Z57" s="489"/>
      <c r="AA57" s="489"/>
      <c r="AB57" s="489"/>
      <c r="AC57" s="489"/>
      <c r="AD57" s="489"/>
      <c r="AE57" s="489"/>
      <c r="AF57" s="489"/>
      <c r="AG57" s="489"/>
      <c r="AH57" s="489"/>
      <c r="AI57" s="62"/>
    </row>
    <row r="58" spans="1:35" x14ac:dyDescent="0.3">
      <c r="A58" s="462"/>
      <c r="B58" s="461" t="s">
        <v>785</v>
      </c>
      <c r="C58" s="461"/>
      <c r="D58" s="486"/>
      <c r="E58" s="486"/>
      <c r="F58" s="665"/>
      <c r="G58" s="665"/>
      <c r="H58" s="665"/>
      <c r="I58" s="486"/>
      <c r="J58" s="486"/>
      <c r="K58" s="486"/>
      <c r="L58" s="486"/>
      <c r="M58" s="489"/>
      <c r="N58" s="486"/>
      <c r="O58" s="486"/>
      <c r="P58" s="486"/>
      <c r="Q58" s="486"/>
      <c r="R58" s="486"/>
      <c r="S58" s="486"/>
      <c r="T58" s="486"/>
      <c r="U58" s="486"/>
      <c r="V58" s="486"/>
      <c r="W58" s="486"/>
      <c r="X58" s="489"/>
      <c r="Y58" s="489"/>
      <c r="Z58" s="489"/>
      <c r="AA58" s="489"/>
      <c r="AB58" s="489"/>
      <c r="AC58" s="489"/>
      <c r="AD58" s="489"/>
      <c r="AE58" s="489"/>
      <c r="AF58" s="489"/>
      <c r="AG58" s="489"/>
      <c r="AH58" s="489"/>
      <c r="AI58" s="62"/>
    </row>
    <row r="59" spans="1:35" x14ac:dyDescent="0.3">
      <c r="A59" s="462"/>
      <c r="B59" s="461" t="s">
        <v>786</v>
      </c>
      <c r="C59" s="461"/>
      <c r="D59" s="486"/>
      <c r="E59" s="486"/>
      <c r="F59" s="665"/>
      <c r="G59" s="665"/>
      <c r="H59" s="665"/>
      <c r="I59" s="486"/>
      <c r="J59" s="486"/>
      <c r="K59" s="486"/>
      <c r="L59" s="486"/>
      <c r="M59" s="489"/>
      <c r="N59" s="486"/>
      <c r="O59" s="486"/>
      <c r="P59" s="486"/>
      <c r="Q59" s="486"/>
      <c r="R59" s="486"/>
      <c r="S59" s="486"/>
      <c r="T59" s="486"/>
      <c r="U59" s="486"/>
      <c r="V59" s="486"/>
      <c r="W59" s="486"/>
      <c r="X59" s="489"/>
      <c r="Y59" s="489"/>
      <c r="Z59" s="489"/>
      <c r="AA59" s="489"/>
      <c r="AB59" s="489"/>
      <c r="AC59" s="489"/>
      <c r="AD59" s="489"/>
      <c r="AE59" s="489"/>
      <c r="AF59" s="489"/>
      <c r="AG59" s="489"/>
      <c r="AH59" s="489"/>
      <c r="AI59" s="62"/>
    </row>
    <row r="60" spans="1:35" x14ac:dyDescent="0.3">
      <c r="A60" s="462"/>
      <c r="B60" s="461"/>
      <c r="C60" s="461"/>
      <c r="D60" s="486"/>
      <c r="E60" s="486"/>
      <c r="F60" s="665"/>
      <c r="G60" s="665"/>
      <c r="H60" s="665"/>
      <c r="I60" s="486"/>
      <c r="J60" s="486"/>
      <c r="K60" s="486"/>
      <c r="L60" s="486"/>
      <c r="M60" s="489"/>
      <c r="N60" s="486"/>
      <c r="O60" s="486"/>
      <c r="P60" s="486"/>
      <c r="Q60" s="486"/>
      <c r="R60" s="486"/>
      <c r="S60" s="486"/>
      <c r="T60" s="486"/>
      <c r="U60" s="486"/>
      <c r="V60" s="486"/>
      <c r="W60" s="486"/>
      <c r="X60" s="489"/>
      <c r="Y60" s="489"/>
      <c r="Z60" s="489"/>
      <c r="AA60" s="489"/>
      <c r="AB60" s="489"/>
      <c r="AC60" s="489"/>
      <c r="AD60" s="489"/>
      <c r="AE60" s="489"/>
      <c r="AF60" s="489"/>
      <c r="AG60" s="489"/>
      <c r="AH60" s="489"/>
      <c r="AI60" s="62"/>
    </row>
    <row r="61" spans="1:35" x14ac:dyDescent="0.3">
      <c r="A61" s="462"/>
      <c r="B61" s="461" t="s">
        <v>787</v>
      </c>
      <c r="C61" s="461"/>
      <c r="D61" s="486"/>
      <c r="E61" s="486"/>
      <c r="F61" s="665"/>
      <c r="G61" s="665"/>
      <c r="H61" s="665"/>
      <c r="I61" s="486"/>
      <c r="J61" s="486"/>
      <c r="K61" s="486"/>
      <c r="L61" s="486"/>
      <c r="M61" s="489"/>
      <c r="N61" s="486"/>
      <c r="O61" s="486"/>
      <c r="P61" s="486"/>
      <c r="Q61" s="486"/>
      <c r="R61" s="486"/>
      <c r="S61" s="486"/>
      <c r="T61" s="486"/>
      <c r="U61" s="486"/>
      <c r="V61" s="486"/>
      <c r="W61" s="486"/>
      <c r="X61" s="489"/>
      <c r="Y61" s="489"/>
      <c r="Z61" s="489"/>
      <c r="AA61" s="489"/>
      <c r="AB61" s="489"/>
      <c r="AC61" s="489"/>
      <c r="AD61" s="489"/>
      <c r="AE61" s="489"/>
      <c r="AF61" s="489"/>
      <c r="AG61" s="489"/>
      <c r="AH61" s="489"/>
      <c r="AI61" s="62"/>
    </row>
    <row r="62" spans="1:35" x14ac:dyDescent="0.3">
      <c r="A62" s="462"/>
      <c r="B62" s="461" t="s">
        <v>788</v>
      </c>
      <c r="C62" s="461"/>
      <c r="D62" s="486"/>
      <c r="E62" s="486"/>
      <c r="F62" s="665"/>
      <c r="G62" s="665"/>
      <c r="H62" s="665"/>
      <c r="I62" s="486"/>
      <c r="J62" s="486"/>
      <c r="K62" s="486"/>
      <c r="L62" s="486"/>
      <c r="M62" s="489"/>
      <c r="N62" s="486"/>
      <c r="O62" s="486"/>
      <c r="P62" s="486"/>
      <c r="Q62" s="486"/>
      <c r="R62" s="486"/>
      <c r="S62" s="486"/>
      <c r="T62" s="486"/>
      <c r="U62" s="486"/>
      <c r="V62" s="486"/>
      <c r="W62" s="486"/>
      <c r="X62" s="489"/>
      <c r="Y62" s="489"/>
      <c r="Z62" s="489"/>
      <c r="AA62" s="489"/>
      <c r="AB62" s="489"/>
      <c r="AC62" s="489"/>
      <c r="AD62" s="489"/>
      <c r="AE62" s="489"/>
      <c r="AF62" s="489"/>
      <c r="AG62" s="489"/>
      <c r="AH62" s="489"/>
      <c r="AI62" s="62"/>
    </row>
    <row r="63" spans="1:35" x14ac:dyDescent="0.3">
      <c r="A63" s="462"/>
      <c r="B63" s="461" t="s">
        <v>789</v>
      </c>
      <c r="C63" s="461"/>
      <c r="D63" s="486"/>
      <c r="E63" s="486"/>
      <c r="F63" s="665"/>
      <c r="G63" s="665"/>
      <c r="H63" s="665"/>
      <c r="I63" s="486"/>
      <c r="J63" s="486"/>
      <c r="K63" s="486"/>
      <c r="L63" s="486"/>
      <c r="M63" s="489"/>
      <c r="N63" s="486"/>
      <c r="O63" s="486"/>
      <c r="P63" s="486"/>
      <c r="Q63" s="486"/>
      <c r="R63" s="486"/>
      <c r="S63" s="486"/>
      <c r="T63" s="486"/>
      <c r="U63" s="486"/>
      <c r="V63" s="486"/>
      <c r="W63" s="486"/>
      <c r="X63" s="489"/>
      <c r="Y63" s="489"/>
      <c r="Z63" s="489"/>
      <c r="AA63" s="489"/>
      <c r="AB63" s="489"/>
      <c r="AC63" s="489"/>
      <c r="AD63" s="489"/>
      <c r="AE63" s="489"/>
      <c r="AF63" s="489"/>
      <c r="AG63" s="489"/>
      <c r="AH63" s="489"/>
      <c r="AI63" s="62"/>
    </row>
    <row r="64" spans="1:35" x14ac:dyDescent="0.3">
      <c r="A64" s="462"/>
      <c r="B64" s="461" t="s">
        <v>790</v>
      </c>
      <c r="C64" s="461"/>
      <c r="D64" s="486"/>
      <c r="E64" s="486"/>
      <c r="F64" s="665"/>
      <c r="G64" s="665"/>
      <c r="H64" s="665"/>
      <c r="I64" s="486"/>
      <c r="J64" s="486"/>
      <c r="K64" s="486"/>
      <c r="L64" s="486"/>
      <c r="M64" s="489"/>
      <c r="N64" s="486"/>
      <c r="O64" s="486"/>
      <c r="P64" s="486"/>
      <c r="Q64" s="486"/>
      <c r="R64" s="486"/>
      <c r="S64" s="486"/>
      <c r="T64" s="486"/>
      <c r="U64" s="486"/>
      <c r="V64" s="486"/>
      <c r="W64" s="486"/>
      <c r="X64" s="489"/>
      <c r="Y64" s="489"/>
      <c r="Z64" s="489"/>
      <c r="AA64" s="489"/>
      <c r="AB64" s="489"/>
      <c r="AC64" s="489"/>
      <c r="AD64" s="489"/>
      <c r="AE64" s="489"/>
      <c r="AF64" s="489"/>
      <c r="AG64" s="489"/>
      <c r="AH64" s="489"/>
      <c r="AI64" s="62"/>
    </row>
    <row r="65" spans="1:35" x14ac:dyDescent="0.3">
      <c r="A65" s="462"/>
      <c r="B65" s="461" t="s">
        <v>791</v>
      </c>
      <c r="C65" s="461"/>
      <c r="D65" s="486"/>
      <c r="E65" s="486"/>
      <c r="F65" s="665"/>
      <c r="G65" s="665"/>
      <c r="H65" s="665"/>
      <c r="I65" s="486"/>
      <c r="J65" s="486"/>
      <c r="K65" s="486"/>
      <c r="L65" s="486"/>
      <c r="M65" s="489"/>
      <c r="N65" s="486"/>
      <c r="O65" s="486"/>
      <c r="P65" s="486"/>
      <c r="Q65" s="486"/>
      <c r="R65" s="486"/>
      <c r="S65" s="486"/>
      <c r="T65" s="486"/>
      <c r="U65" s="486"/>
      <c r="V65" s="486"/>
      <c r="W65" s="486"/>
      <c r="X65" s="489"/>
      <c r="Y65" s="489"/>
      <c r="Z65" s="489"/>
      <c r="AA65" s="489"/>
      <c r="AB65" s="489"/>
      <c r="AC65" s="489"/>
      <c r="AD65" s="489"/>
      <c r="AE65" s="489"/>
      <c r="AF65" s="489"/>
      <c r="AG65" s="489"/>
      <c r="AH65" s="489"/>
      <c r="AI65" s="62"/>
    </row>
    <row r="66" spans="1:35" x14ac:dyDescent="0.3">
      <c r="A66" s="462"/>
      <c r="B66" s="461" t="s">
        <v>792</v>
      </c>
      <c r="C66" s="461"/>
      <c r="D66" s="486"/>
      <c r="E66" s="486"/>
      <c r="F66" s="665"/>
      <c r="G66" s="665"/>
      <c r="H66" s="665"/>
      <c r="I66" s="486"/>
      <c r="J66" s="486"/>
      <c r="K66" s="486"/>
      <c r="L66" s="486"/>
      <c r="M66" s="489"/>
      <c r="N66" s="486"/>
      <c r="O66" s="486"/>
      <c r="P66" s="486"/>
      <c r="Q66" s="486"/>
      <c r="R66" s="486"/>
      <c r="S66" s="486"/>
      <c r="T66" s="486"/>
      <c r="U66" s="486"/>
      <c r="V66" s="486"/>
      <c r="W66" s="486"/>
      <c r="X66" s="489"/>
      <c r="Y66" s="489"/>
      <c r="Z66" s="489"/>
      <c r="AA66" s="489"/>
      <c r="AB66" s="489"/>
      <c r="AC66" s="489"/>
      <c r="AD66" s="489"/>
      <c r="AE66" s="489"/>
      <c r="AF66" s="489"/>
      <c r="AG66" s="489"/>
      <c r="AH66" s="489"/>
      <c r="AI66" s="62"/>
    </row>
    <row r="67" spans="1:35" x14ac:dyDescent="0.3">
      <c r="A67" s="462"/>
      <c r="B67" s="461"/>
      <c r="C67" s="461"/>
      <c r="D67" s="486"/>
      <c r="E67" s="486"/>
      <c r="F67" s="665"/>
      <c r="G67" s="665"/>
      <c r="H67" s="665"/>
      <c r="I67" s="486"/>
      <c r="J67" s="486"/>
      <c r="K67" s="486"/>
      <c r="L67" s="486"/>
      <c r="M67" s="489"/>
      <c r="N67" s="486"/>
      <c r="O67" s="486"/>
      <c r="P67" s="486"/>
      <c r="Q67" s="486"/>
      <c r="R67" s="486"/>
      <c r="S67" s="486"/>
      <c r="T67" s="486"/>
      <c r="U67" s="486"/>
      <c r="V67" s="486"/>
      <c r="W67" s="486"/>
      <c r="X67" s="489"/>
      <c r="Y67" s="489"/>
      <c r="Z67" s="489"/>
      <c r="AA67" s="489"/>
      <c r="AB67" s="489"/>
      <c r="AC67" s="489"/>
      <c r="AD67" s="489"/>
      <c r="AE67" s="489"/>
      <c r="AF67" s="489"/>
      <c r="AG67" s="489"/>
      <c r="AH67" s="489"/>
      <c r="AI67" s="62"/>
    </row>
    <row r="68" spans="1:35" x14ac:dyDescent="0.3">
      <c r="A68" s="462"/>
      <c r="B68" s="461" t="s">
        <v>793</v>
      </c>
      <c r="C68" s="461"/>
      <c r="D68" s="486"/>
      <c r="E68" s="486"/>
      <c r="F68" s="665"/>
      <c r="G68" s="665"/>
      <c r="H68" s="665"/>
      <c r="I68" s="486"/>
      <c r="J68" s="486"/>
      <c r="K68" s="486"/>
      <c r="L68" s="486"/>
      <c r="M68" s="489"/>
      <c r="N68" s="486"/>
      <c r="O68" s="486"/>
      <c r="P68" s="486"/>
      <c r="Q68" s="486"/>
      <c r="R68" s="486"/>
      <c r="S68" s="486"/>
      <c r="T68" s="486"/>
      <c r="U68" s="486"/>
      <c r="V68" s="486"/>
      <c r="W68" s="486"/>
      <c r="X68" s="489"/>
      <c r="Y68" s="489"/>
      <c r="Z68" s="489"/>
      <c r="AA68" s="489"/>
      <c r="AB68" s="489"/>
      <c r="AC68" s="489"/>
      <c r="AD68" s="489"/>
      <c r="AE68" s="489"/>
      <c r="AF68" s="489"/>
      <c r="AG68" s="489"/>
      <c r="AH68" s="489"/>
      <c r="AI68" s="62"/>
    </row>
    <row r="69" spans="1:35" x14ac:dyDescent="0.3">
      <c r="A69" s="462"/>
      <c r="B69" s="461" t="s">
        <v>794</v>
      </c>
      <c r="C69" s="461"/>
      <c r="D69" s="486"/>
      <c r="E69" s="486"/>
      <c r="F69" s="665"/>
      <c r="G69" s="665"/>
      <c r="H69" s="665"/>
      <c r="I69" s="486"/>
      <c r="J69" s="486"/>
      <c r="K69" s="486"/>
      <c r="L69" s="486"/>
      <c r="M69" s="489"/>
      <c r="N69" s="486"/>
      <c r="O69" s="486"/>
      <c r="P69" s="486"/>
      <c r="Q69" s="486"/>
      <c r="R69" s="486"/>
      <c r="S69" s="486"/>
      <c r="T69" s="486"/>
      <c r="U69" s="486"/>
      <c r="V69" s="486"/>
      <c r="W69" s="486"/>
      <c r="X69" s="489"/>
      <c r="Y69" s="489"/>
      <c r="Z69" s="489"/>
      <c r="AA69" s="489"/>
      <c r="AB69" s="489"/>
      <c r="AC69" s="489"/>
      <c r="AD69" s="489"/>
      <c r="AE69" s="489"/>
      <c r="AF69" s="489"/>
      <c r="AG69" s="489"/>
      <c r="AH69" s="489"/>
      <c r="AI69" s="62"/>
    </row>
    <row r="70" spans="1:35" x14ac:dyDescent="0.3">
      <c r="A70" s="462"/>
      <c r="B70" s="461"/>
      <c r="C70" s="461"/>
      <c r="D70" s="486"/>
      <c r="E70" s="486"/>
      <c r="F70" s="665"/>
      <c r="G70" s="665"/>
      <c r="H70" s="665"/>
      <c r="I70" s="486"/>
      <c r="J70" s="486"/>
      <c r="K70" s="486"/>
      <c r="L70" s="486"/>
      <c r="M70" s="489"/>
      <c r="N70" s="486"/>
      <c r="O70" s="486"/>
      <c r="P70" s="486"/>
      <c r="Q70" s="486"/>
      <c r="R70" s="486"/>
      <c r="S70" s="486"/>
      <c r="T70" s="486"/>
      <c r="U70" s="486"/>
      <c r="V70" s="486"/>
      <c r="W70" s="486"/>
      <c r="X70" s="489"/>
      <c r="Y70" s="489"/>
      <c r="Z70" s="489"/>
      <c r="AA70" s="489"/>
      <c r="AB70" s="489"/>
      <c r="AC70" s="489"/>
      <c r="AD70" s="489"/>
      <c r="AE70" s="489"/>
      <c r="AF70" s="489"/>
      <c r="AG70" s="489"/>
      <c r="AH70" s="489"/>
      <c r="AI70" s="62"/>
    </row>
    <row r="71" spans="1:35" x14ac:dyDescent="0.3">
      <c r="A71" s="462"/>
      <c r="B71" s="461" t="s">
        <v>795</v>
      </c>
      <c r="C71" s="461"/>
      <c r="D71" s="486"/>
      <c r="E71" s="486"/>
      <c r="F71" s="665"/>
      <c r="G71" s="665"/>
      <c r="H71" s="665"/>
      <c r="I71" s="486"/>
      <c r="J71" s="486"/>
      <c r="K71" s="486"/>
      <c r="L71" s="486"/>
      <c r="M71" s="489"/>
      <c r="N71" s="486"/>
      <c r="O71" s="486"/>
      <c r="P71" s="486"/>
      <c r="Q71" s="486"/>
      <c r="R71" s="486"/>
      <c r="S71" s="486"/>
      <c r="T71" s="486"/>
      <c r="U71" s="486"/>
      <c r="V71" s="486"/>
      <c r="W71" s="486"/>
      <c r="X71" s="489"/>
      <c r="Y71" s="489"/>
      <c r="Z71" s="489"/>
      <c r="AA71" s="489"/>
      <c r="AB71" s="489"/>
      <c r="AC71" s="489"/>
      <c r="AD71" s="489"/>
      <c r="AE71" s="489"/>
      <c r="AF71" s="489"/>
      <c r="AG71" s="489"/>
      <c r="AH71" s="489"/>
      <c r="AI71" s="62"/>
    </row>
    <row r="72" spans="1:35" x14ac:dyDescent="0.3">
      <c r="A72" s="462"/>
      <c r="B72" s="461"/>
      <c r="C72" s="461"/>
      <c r="D72" s="486"/>
      <c r="E72" s="486"/>
      <c r="F72" s="665"/>
      <c r="G72" s="665"/>
      <c r="H72" s="665"/>
      <c r="I72" s="486"/>
      <c r="J72" s="486"/>
      <c r="K72" s="486"/>
      <c r="L72" s="486"/>
      <c r="M72" s="489"/>
      <c r="N72" s="486"/>
      <c r="O72" s="486"/>
      <c r="P72" s="486"/>
      <c r="Q72" s="486"/>
      <c r="R72" s="486"/>
      <c r="S72" s="486"/>
      <c r="T72" s="486"/>
      <c r="U72" s="486"/>
      <c r="V72" s="486"/>
      <c r="W72" s="486"/>
      <c r="X72" s="489"/>
      <c r="Y72" s="489"/>
      <c r="Z72" s="489"/>
      <c r="AA72" s="489"/>
      <c r="AB72" s="489"/>
      <c r="AC72" s="489"/>
      <c r="AD72" s="489"/>
      <c r="AE72" s="489"/>
      <c r="AF72" s="489"/>
      <c r="AG72" s="489"/>
      <c r="AH72" s="489"/>
      <c r="AI72" s="62"/>
    </row>
    <row r="73" spans="1:35" x14ac:dyDescent="0.3">
      <c r="A73" s="462"/>
      <c r="B73" s="461" t="s">
        <v>780</v>
      </c>
      <c r="C73" s="461"/>
      <c r="D73" s="486"/>
      <c r="E73" s="486"/>
      <c r="F73" s="665"/>
      <c r="G73" s="665"/>
      <c r="H73" s="665"/>
      <c r="I73" s="486"/>
      <c r="J73" s="486"/>
      <c r="K73" s="486"/>
      <c r="L73" s="486"/>
      <c r="M73" s="489"/>
      <c r="N73" s="486"/>
      <c r="O73" s="486"/>
      <c r="P73" s="486"/>
      <c r="Q73" s="486"/>
      <c r="R73" s="486"/>
      <c r="S73" s="486"/>
      <c r="T73" s="486"/>
      <c r="U73" s="486"/>
      <c r="V73" s="486"/>
      <c r="W73" s="486"/>
      <c r="X73" s="489"/>
      <c r="Y73" s="489"/>
      <c r="Z73" s="489"/>
      <c r="AA73" s="489"/>
      <c r="AB73" s="489"/>
      <c r="AC73" s="489"/>
      <c r="AD73" s="489"/>
      <c r="AE73" s="489"/>
      <c r="AF73" s="489"/>
      <c r="AG73" s="489"/>
      <c r="AH73" s="489"/>
      <c r="AI73" s="62"/>
    </row>
    <row r="74" spans="1:35" x14ac:dyDescent="0.3">
      <c r="A74" s="462"/>
      <c r="B74" s="461" t="s">
        <v>782</v>
      </c>
      <c r="C74" s="461"/>
      <c r="D74" s="486"/>
      <c r="E74" s="486"/>
      <c r="F74" s="665"/>
      <c r="G74" s="665"/>
      <c r="H74" s="665"/>
      <c r="I74" s="486"/>
      <c r="J74" s="486"/>
      <c r="K74" s="486"/>
      <c r="L74" s="486"/>
      <c r="M74" s="489"/>
      <c r="N74" s="486"/>
      <c r="O74" s="486"/>
      <c r="P74" s="486"/>
      <c r="Q74" s="486"/>
      <c r="R74" s="486"/>
      <c r="S74" s="486"/>
      <c r="T74" s="486"/>
      <c r="U74" s="486"/>
      <c r="V74" s="486"/>
      <c r="W74" s="486"/>
      <c r="X74" s="489"/>
      <c r="Y74" s="489"/>
      <c r="Z74" s="489"/>
      <c r="AA74" s="489"/>
      <c r="AB74" s="489"/>
      <c r="AC74" s="489"/>
      <c r="AD74" s="489"/>
      <c r="AE74" s="489"/>
      <c r="AF74" s="489"/>
      <c r="AG74" s="489"/>
      <c r="AH74" s="489"/>
      <c r="AI74" s="62"/>
    </row>
    <row r="75" spans="1:35" x14ac:dyDescent="0.3">
      <c r="A75" s="462"/>
      <c r="B75" s="466" t="s">
        <v>783</v>
      </c>
      <c r="C75" s="461"/>
      <c r="D75" s="486"/>
      <c r="E75" s="486"/>
      <c r="F75" s="665"/>
      <c r="G75" s="665"/>
      <c r="H75" s="665"/>
      <c r="I75" s="486"/>
      <c r="J75" s="486"/>
      <c r="K75" s="486"/>
      <c r="L75" s="486"/>
      <c r="M75" s="489"/>
      <c r="N75" s="486"/>
      <c r="O75" s="486"/>
      <c r="P75" s="486"/>
      <c r="Q75" s="486"/>
      <c r="R75" s="486"/>
      <c r="S75" s="486"/>
      <c r="T75" s="486"/>
      <c r="U75" s="486"/>
      <c r="V75" s="486"/>
      <c r="W75" s="486"/>
      <c r="X75" s="489"/>
      <c r="Y75" s="489"/>
      <c r="Z75" s="489"/>
      <c r="AA75" s="489"/>
      <c r="AB75" s="489"/>
      <c r="AC75" s="489"/>
      <c r="AD75" s="489"/>
      <c r="AE75" s="489"/>
      <c r="AF75" s="489"/>
      <c r="AG75" s="489"/>
      <c r="AH75" s="489"/>
      <c r="AI75" s="62"/>
    </row>
    <row r="76" spans="1:35" x14ac:dyDescent="0.3">
      <c r="A76" s="462"/>
      <c r="B76" s="461"/>
      <c r="C76" s="466"/>
      <c r="D76" s="486"/>
      <c r="E76" s="486"/>
      <c r="F76" s="665"/>
      <c r="G76" s="665"/>
      <c r="H76" s="665"/>
      <c r="I76" s="486"/>
      <c r="J76" s="486"/>
      <c r="K76" s="486"/>
      <c r="L76" s="486"/>
      <c r="M76" s="489"/>
      <c r="N76" s="486"/>
      <c r="O76" s="486"/>
      <c r="P76" s="486"/>
      <c r="Q76" s="486"/>
      <c r="R76" s="486"/>
      <c r="S76" s="486"/>
      <c r="T76" s="486"/>
      <c r="U76" s="486"/>
      <c r="V76" s="486"/>
      <c r="W76" s="486"/>
      <c r="X76" s="489"/>
      <c r="Y76" s="489"/>
      <c r="Z76" s="489"/>
      <c r="AA76" s="489"/>
      <c r="AB76" s="489"/>
      <c r="AC76" s="489"/>
      <c r="AD76" s="489"/>
      <c r="AE76" s="489"/>
      <c r="AF76" s="489"/>
      <c r="AG76" s="489"/>
      <c r="AH76" s="489"/>
      <c r="AI76" s="62"/>
    </row>
    <row r="77" spans="1:35" x14ac:dyDescent="0.3">
      <c r="A77" s="462"/>
      <c r="B77" s="479" t="s">
        <v>778</v>
      </c>
      <c r="C77" s="461"/>
      <c r="D77" s="486"/>
      <c r="E77" s="486"/>
      <c r="F77" s="665"/>
      <c r="G77" s="665"/>
      <c r="H77" s="665"/>
      <c r="I77" s="486"/>
      <c r="J77" s="486"/>
      <c r="K77" s="486"/>
      <c r="L77" s="486"/>
      <c r="M77" s="489"/>
      <c r="N77" s="486"/>
      <c r="O77" s="486"/>
      <c r="P77" s="486"/>
      <c r="Q77" s="486"/>
      <c r="R77" s="486"/>
      <c r="S77" s="486"/>
      <c r="T77" s="486"/>
      <c r="U77" s="486"/>
      <c r="V77" s="486"/>
      <c r="W77" s="486"/>
      <c r="X77" s="489"/>
      <c r="Y77" s="489"/>
      <c r="Z77" s="489"/>
      <c r="AA77" s="489"/>
      <c r="AB77" s="489"/>
      <c r="AC77" s="489"/>
      <c r="AD77" s="489"/>
      <c r="AE77" s="489"/>
      <c r="AF77" s="489"/>
      <c r="AG77" s="489"/>
      <c r="AH77" s="489"/>
      <c r="AI77" s="62"/>
    </row>
    <row r="78" spans="1:35" x14ac:dyDescent="0.3">
      <c r="A78" s="462"/>
      <c r="B78" s="479"/>
      <c r="C78" s="479"/>
      <c r="D78" s="486"/>
      <c r="E78" s="486"/>
      <c r="F78" s="665"/>
      <c r="G78" s="665"/>
      <c r="H78" s="665"/>
      <c r="I78" s="486"/>
      <c r="J78" s="486"/>
      <c r="K78" s="486"/>
      <c r="L78" s="486"/>
      <c r="M78" s="489"/>
      <c r="N78" s="486"/>
      <c r="O78" s="486"/>
      <c r="P78" s="486"/>
      <c r="Q78" s="486"/>
      <c r="R78" s="486"/>
      <c r="S78" s="486"/>
      <c r="T78" s="486"/>
      <c r="U78" s="486"/>
      <c r="V78" s="486"/>
      <c r="W78" s="486"/>
      <c r="X78" s="489"/>
      <c r="Y78" s="489"/>
      <c r="Z78" s="489"/>
      <c r="AA78" s="489"/>
      <c r="AB78" s="489"/>
      <c r="AC78" s="489"/>
      <c r="AD78" s="489"/>
      <c r="AE78" s="489"/>
      <c r="AF78" s="489"/>
      <c r="AG78" s="489"/>
      <c r="AH78" s="489"/>
      <c r="AI78" s="62"/>
    </row>
    <row r="79" spans="1:35" x14ac:dyDescent="0.3">
      <c r="A79" s="462"/>
      <c r="B79" s="461"/>
      <c r="C79" s="461"/>
      <c r="D79" s="486"/>
      <c r="E79" s="486"/>
      <c r="F79" s="665"/>
      <c r="G79" s="665"/>
      <c r="H79" s="665"/>
      <c r="I79" s="486"/>
      <c r="J79" s="486"/>
      <c r="K79" s="486"/>
      <c r="L79" s="486"/>
      <c r="M79" s="489"/>
      <c r="N79" s="486"/>
      <c r="O79" s="486"/>
      <c r="P79" s="486"/>
      <c r="Q79" s="486"/>
      <c r="R79" s="486"/>
      <c r="S79" s="486"/>
      <c r="T79" s="486"/>
      <c r="U79" s="486"/>
      <c r="V79" s="486"/>
      <c r="W79" s="486"/>
      <c r="X79" s="489"/>
      <c r="Y79" s="489"/>
      <c r="Z79" s="489"/>
      <c r="AA79" s="489"/>
      <c r="AB79" s="489"/>
      <c r="AC79" s="489"/>
      <c r="AD79" s="489"/>
      <c r="AE79" s="489"/>
      <c r="AF79" s="489"/>
      <c r="AG79" s="489"/>
      <c r="AH79" s="489"/>
      <c r="AI79" s="62"/>
    </row>
    <row r="80" spans="1:35" x14ac:dyDescent="0.3">
      <c r="A80" s="460" t="s">
        <v>796</v>
      </c>
      <c r="B80" s="461"/>
      <c r="C80" s="461"/>
      <c r="D80" s="486"/>
      <c r="E80" s="486"/>
      <c r="F80" s="665"/>
      <c r="G80" s="665"/>
      <c r="H80" s="665"/>
      <c r="I80" s="486"/>
      <c r="J80" s="486"/>
      <c r="K80" s="486"/>
      <c r="L80" s="486"/>
      <c r="M80" s="489"/>
      <c r="N80" s="486"/>
      <c r="O80" s="486"/>
      <c r="P80" s="486"/>
      <c r="Q80" s="486"/>
      <c r="R80" s="486"/>
      <c r="S80" s="486"/>
      <c r="T80" s="486"/>
      <c r="U80" s="486"/>
      <c r="V80" s="486"/>
      <c r="W80" s="486"/>
      <c r="X80" s="489"/>
      <c r="Y80" s="489"/>
      <c r="Z80" s="489"/>
      <c r="AA80" s="489"/>
      <c r="AB80" s="489"/>
      <c r="AC80" s="489"/>
      <c r="AD80" s="489"/>
      <c r="AE80" s="489"/>
      <c r="AF80" s="489"/>
      <c r="AG80" s="489"/>
      <c r="AH80" s="489"/>
      <c r="AI80" s="62"/>
    </row>
    <row r="81" spans="1:48" x14ac:dyDescent="0.3">
      <c r="A81" s="462"/>
      <c r="B81" s="461"/>
      <c r="C81" s="461"/>
      <c r="D81" s="486"/>
      <c r="E81" s="486"/>
      <c r="F81" s="665"/>
      <c r="G81" s="665"/>
      <c r="H81" s="665"/>
      <c r="I81" s="486"/>
      <c r="J81" s="486"/>
      <c r="K81" s="486"/>
      <c r="L81" s="486"/>
      <c r="M81" s="489"/>
      <c r="N81" s="486"/>
      <c r="O81" s="486"/>
      <c r="P81" s="486"/>
      <c r="Q81" s="486"/>
      <c r="R81" s="486"/>
      <c r="S81" s="486"/>
      <c r="T81" s="486"/>
      <c r="U81" s="486"/>
      <c r="V81" s="486"/>
      <c r="W81" s="486"/>
      <c r="X81" s="489"/>
      <c r="Y81" s="489"/>
      <c r="Z81" s="489"/>
      <c r="AA81" s="489"/>
      <c r="AB81" s="489"/>
      <c r="AC81" s="489"/>
      <c r="AD81" s="489"/>
      <c r="AE81" s="489"/>
      <c r="AF81" s="489"/>
      <c r="AG81" s="489"/>
      <c r="AH81" s="489"/>
      <c r="AI81" s="62"/>
    </row>
    <row r="82" spans="1:48" x14ac:dyDescent="0.3">
      <c r="A82" s="462"/>
      <c r="B82" s="461" t="s">
        <v>797</v>
      </c>
      <c r="C82" s="461"/>
      <c r="D82" s="482"/>
      <c r="E82" s="482"/>
      <c r="F82" s="668"/>
      <c r="G82" s="668"/>
      <c r="H82" s="668"/>
      <c r="I82" s="482"/>
      <c r="J82" s="482"/>
      <c r="K82" s="482"/>
      <c r="L82" s="518"/>
      <c r="M82" s="172"/>
      <c r="N82" s="482"/>
      <c r="O82" s="482"/>
      <c r="P82" s="482"/>
      <c r="Q82" s="482"/>
      <c r="R82" s="482"/>
      <c r="S82" s="482"/>
      <c r="T82" s="482"/>
      <c r="U82" s="552"/>
      <c r="V82" s="482"/>
      <c r="W82" s="482"/>
      <c r="X82" s="518"/>
      <c r="Y82" s="518"/>
      <c r="Z82" s="518"/>
      <c r="AA82" s="526"/>
      <c r="AB82" s="526"/>
      <c r="AC82" s="526"/>
      <c r="AD82" s="526"/>
      <c r="AE82" s="526"/>
      <c r="AF82" s="526"/>
      <c r="AG82" s="526"/>
      <c r="AH82" s="526">
        <v>1</v>
      </c>
      <c r="AI82" s="62"/>
    </row>
    <row r="83" spans="1:48" x14ac:dyDescent="0.3">
      <c r="A83" s="462"/>
      <c r="B83" s="461" t="s">
        <v>88</v>
      </c>
      <c r="C83" s="461"/>
      <c r="D83" s="521">
        <f>SUM(E83:K83)</f>
        <v>1</v>
      </c>
      <c r="E83" s="521">
        <v>0</v>
      </c>
      <c r="F83" s="629"/>
      <c r="G83" s="629"/>
      <c r="H83" s="629"/>
      <c r="I83" s="521">
        <v>0</v>
      </c>
      <c r="J83" s="521"/>
      <c r="K83" s="521">
        <v>1</v>
      </c>
      <c r="L83" s="486"/>
      <c r="M83" s="489"/>
      <c r="N83" s="486"/>
      <c r="O83" s="486"/>
      <c r="P83" s="486"/>
      <c r="Q83" s="486"/>
      <c r="R83" s="486"/>
      <c r="S83" s="486"/>
      <c r="T83" s="486"/>
      <c r="U83" s="486"/>
      <c r="V83" s="486"/>
      <c r="W83" s="486"/>
      <c r="X83" s="489"/>
      <c r="Y83" s="489"/>
      <c r="Z83" s="489"/>
      <c r="AA83" s="489"/>
      <c r="AB83" s="489"/>
      <c r="AC83" s="489"/>
      <c r="AD83" s="489"/>
      <c r="AE83" s="489"/>
      <c r="AF83" s="489"/>
      <c r="AG83" s="489"/>
      <c r="AH83" s="489"/>
      <c r="AI83" s="62"/>
    </row>
    <row r="84" spans="1:48" x14ac:dyDescent="0.3">
      <c r="A84" s="462"/>
      <c r="B84" s="461"/>
      <c r="C84" s="461"/>
      <c r="D84" s="486"/>
      <c r="E84" s="486"/>
      <c r="F84" s="665"/>
      <c r="G84" s="665"/>
      <c r="H84" s="665"/>
      <c r="I84" s="486"/>
      <c r="J84" s="486"/>
      <c r="K84" s="486"/>
      <c r="L84" s="486"/>
      <c r="M84" s="489"/>
      <c r="N84" s="486"/>
      <c r="O84" s="486"/>
      <c r="P84" s="486"/>
      <c r="Q84" s="486"/>
      <c r="R84" s="486"/>
      <c r="S84" s="486"/>
      <c r="T84" s="486"/>
      <c r="U84" s="486"/>
      <c r="V84" s="486"/>
      <c r="W84" s="486"/>
      <c r="X84" s="489"/>
      <c r="Y84" s="489"/>
      <c r="Z84" s="489"/>
      <c r="AA84" s="489"/>
      <c r="AB84" s="489"/>
      <c r="AC84" s="489"/>
      <c r="AD84" s="489"/>
      <c r="AE84" s="489"/>
      <c r="AF84" s="489"/>
      <c r="AG84" s="489"/>
      <c r="AH84" s="489"/>
      <c r="AI84" s="62"/>
    </row>
    <row r="85" spans="1:48" x14ac:dyDescent="0.3">
      <c r="A85" s="460" t="s">
        <v>798</v>
      </c>
      <c r="B85" s="461"/>
      <c r="C85" s="461"/>
      <c r="D85" s="486"/>
      <c r="E85" s="486"/>
      <c r="F85" s="665"/>
      <c r="G85" s="665"/>
      <c r="H85" s="665"/>
      <c r="I85" s="486"/>
      <c r="J85" s="486"/>
      <c r="K85" s="486"/>
      <c r="L85" s="486"/>
      <c r="M85" s="489"/>
      <c r="N85" s="486"/>
      <c r="O85" s="486"/>
      <c r="P85" s="486"/>
      <c r="Q85" s="486"/>
      <c r="R85" s="486"/>
      <c r="S85" s="486"/>
      <c r="T85" s="486"/>
      <c r="U85" s="486"/>
      <c r="V85" s="486"/>
      <c r="W85" s="486"/>
      <c r="X85" s="489"/>
      <c r="Y85" s="489"/>
      <c r="Z85" s="489"/>
      <c r="AA85" s="489"/>
      <c r="AB85" s="489"/>
      <c r="AC85" s="489"/>
      <c r="AD85" s="489"/>
      <c r="AE85" s="489"/>
      <c r="AF85" s="489"/>
      <c r="AG85" s="489"/>
      <c r="AH85" s="489"/>
      <c r="AI85" s="62"/>
    </row>
    <row r="86" spans="1:48" x14ac:dyDescent="0.3">
      <c r="A86" s="461" t="s">
        <v>112</v>
      </c>
      <c r="B86" s="461" t="s">
        <v>113</v>
      </c>
      <c r="C86" s="545"/>
      <c r="D86" s="468" t="s">
        <v>546</v>
      </c>
      <c r="E86" s="468" t="s">
        <v>546</v>
      </c>
      <c r="F86" s="630"/>
      <c r="G86" s="630"/>
      <c r="H86" s="630"/>
      <c r="I86" s="468" t="s">
        <v>546</v>
      </c>
      <c r="J86" s="468"/>
      <c r="K86" s="468"/>
      <c r="L86" s="526" t="s">
        <v>546</v>
      </c>
      <c r="M86" s="522" t="s">
        <v>546</v>
      </c>
      <c r="N86" s="468" t="s">
        <v>546</v>
      </c>
      <c r="O86" s="468" t="s">
        <v>546</v>
      </c>
      <c r="P86" s="468" t="s">
        <v>546</v>
      </c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526"/>
      <c r="AC86" s="526"/>
      <c r="AD86" s="526"/>
      <c r="AE86" s="526"/>
      <c r="AF86" s="526"/>
      <c r="AG86" s="526"/>
      <c r="AH86" s="526"/>
      <c r="AI86" s="62"/>
    </row>
    <row r="87" spans="1:48" x14ac:dyDescent="0.3">
      <c r="A87" s="461" t="s">
        <v>114</v>
      </c>
      <c r="B87" s="461" t="s">
        <v>115</v>
      </c>
      <c r="C87" s="545"/>
      <c r="D87" s="535">
        <f>SUM(E87:K87)</f>
        <v>1</v>
      </c>
      <c r="E87" s="468"/>
      <c r="F87" s="630"/>
      <c r="G87" s="630"/>
      <c r="H87" s="630"/>
      <c r="I87" s="535">
        <v>1</v>
      </c>
      <c r="J87" s="468"/>
      <c r="K87" s="468"/>
      <c r="L87" s="526" t="s">
        <v>546</v>
      </c>
      <c r="M87" s="522" t="s">
        <v>546</v>
      </c>
      <c r="N87" s="468" t="s">
        <v>546</v>
      </c>
      <c r="O87" s="468" t="s">
        <v>546</v>
      </c>
      <c r="P87" s="468" t="s">
        <v>546</v>
      </c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526"/>
      <c r="AC87" s="526"/>
      <c r="AD87" s="526"/>
      <c r="AE87" s="526"/>
      <c r="AF87" s="526"/>
      <c r="AG87" s="526"/>
      <c r="AH87" s="526"/>
      <c r="AI87" s="62"/>
    </row>
    <row r="88" spans="1:48" x14ac:dyDescent="0.3">
      <c r="A88" s="461" t="s">
        <v>332</v>
      </c>
      <c r="B88" s="461" t="s">
        <v>116</v>
      </c>
      <c r="C88" s="545"/>
      <c r="D88" s="535">
        <v>1</v>
      </c>
      <c r="E88" s="535"/>
      <c r="F88" s="667"/>
      <c r="G88" s="667"/>
      <c r="H88" s="667"/>
      <c r="I88" s="535">
        <v>1</v>
      </c>
      <c r="J88" s="62"/>
      <c r="K88" s="62"/>
      <c r="L88" s="62"/>
      <c r="M88" s="535">
        <v>1</v>
      </c>
      <c r="N88" s="535"/>
      <c r="O88" s="535"/>
      <c r="P88" s="535"/>
      <c r="Q88" s="535"/>
      <c r="R88" s="535">
        <v>1</v>
      </c>
      <c r="S88" s="535"/>
      <c r="T88" s="535"/>
      <c r="U88" s="535"/>
      <c r="V88" s="535"/>
      <c r="W88" s="535" t="s">
        <v>546</v>
      </c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</row>
    <row r="89" spans="1:48" x14ac:dyDescent="0.3">
      <c r="A89" s="461" t="s">
        <v>799</v>
      </c>
      <c r="B89" s="461" t="s">
        <v>800</v>
      </c>
      <c r="C89" s="545"/>
      <c r="D89" s="62"/>
      <c r="E89" s="62"/>
      <c r="F89" s="634"/>
      <c r="G89" s="634"/>
      <c r="H89" s="634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</row>
    <row r="90" spans="1:48" x14ac:dyDescent="0.3">
      <c r="A90" s="461" t="s">
        <v>801</v>
      </c>
      <c r="B90" s="484" t="s">
        <v>802</v>
      </c>
      <c r="C90" s="545"/>
      <c r="D90" s="468" t="s">
        <v>546</v>
      </c>
      <c r="E90" s="468" t="s">
        <v>546</v>
      </c>
      <c r="F90" s="630"/>
      <c r="G90" s="630"/>
      <c r="H90" s="630"/>
      <c r="I90" s="468" t="s">
        <v>546</v>
      </c>
      <c r="J90" s="468"/>
      <c r="K90" s="468"/>
      <c r="L90" s="526" t="s">
        <v>546</v>
      </c>
      <c r="M90" s="522" t="s">
        <v>546</v>
      </c>
      <c r="N90" s="468" t="s">
        <v>546</v>
      </c>
      <c r="O90" s="468" t="s">
        <v>546</v>
      </c>
      <c r="P90" s="468" t="s">
        <v>546</v>
      </c>
      <c r="Q90" s="468" t="s">
        <v>546</v>
      </c>
      <c r="R90" s="468" t="s">
        <v>546</v>
      </c>
      <c r="S90" s="468" t="s">
        <v>546</v>
      </c>
      <c r="T90" s="468" t="s">
        <v>546</v>
      </c>
      <c r="U90" s="468"/>
      <c r="V90" s="468" t="s">
        <v>546</v>
      </c>
      <c r="W90" s="468" t="s">
        <v>546</v>
      </c>
      <c r="X90" s="526" t="s">
        <v>546</v>
      </c>
      <c r="Y90" s="526" t="s">
        <v>546</v>
      </c>
      <c r="Z90" s="526" t="s">
        <v>546</v>
      </c>
      <c r="AA90" s="526" t="s">
        <v>546</v>
      </c>
      <c r="AB90" s="526"/>
      <c r="AC90" s="526"/>
      <c r="AD90" s="526"/>
      <c r="AE90" s="526"/>
      <c r="AF90" s="526"/>
      <c r="AG90" s="526"/>
      <c r="AH90" s="526">
        <v>1</v>
      </c>
      <c r="AI90" s="62"/>
    </row>
    <row r="91" spans="1:48" x14ac:dyDescent="0.3">
      <c r="A91" s="461" t="s">
        <v>803</v>
      </c>
      <c r="B91" s="466" t="s">
        <v>804</v>
      </c>
      <c r="C91" s="545"/>
      <c r="D91" s="62"/>
      <c r="E91" s="62"/>
      <c r="F91" s="634"/>
      <c r="G91" s="634"/>
      <c r="H91" s="634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535">
        <f>SUM(Y91:Z91)</f>
        <v>1</v>
      </c>
      <c r="Y91" s="535">
        <v>1</v>
      </c>
      <c r="Z91" s="62"/>
      <c r="AA91" s="62"/>
      <c r="AB91" s="62"/>
      <c r="AC91" s="62"/>
      <c r="AD91" s="62"/>
      <c r="AE91" s="62"/>
      <c r="AF91" s="62"/>
      <c r="AG91" s="62"/>
      <c r="AH91" s="526">
        <v>1</v>
      </c>
      <c r="AI91" s="62"/>
    </row>
    <row r="92" spans="1:48" x14ac:dyDescent="0.3">
      <c r="A92" s="461" t="s">
        <v>805</v>
      </c>
      <c r="B92" s="484" t="s">
        <v>806</v>
      </c>
      <c r="C92" s="545"/>
      <c r="D92" s="62"/>
      <c r="E92" s="62"/>
      <c r="F92" s="634"/>
      <c r="G92" s="634"/>
      <c r="H92" s="634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</row>
    <row r="93" spans="1:48" s="1" customFormat="1" x14ac:dyDescent="0.3">
      <c r="A93" s="461" t="s">
        <v>807</v>
      </c>
      <c r="B93" s="461" t="s">
        <v>808</v>
      </c>
      <c r="C93" s="545"/>
      <c r="D93" s="62"/>
      <c r="E93" s="62"/>
      <c r="F93" s="634"/>
      <c r="G93" s="634"/>
      <c r="H93" s="634"/>
      <c r="I93" s="62"/>
      <c r="J93" s="62"/>
      <c r="K93" s="62"/>
      <c r="L93" s="62"/>
      <c r="M93" s="541">
        <v>1</v>
      </c>
      <c r="N93" s="468"/>
      <c r="O93" s="468"/>
      <c r="P93" s="468"/>
      <c r="Q93" s="468"/>
      <c r="R93" s="535">
        <v>1</v>
      </c>
      <c r="S93" s="468"/>
      <c r="T93" s="468"/>
      <c r="U93" s="468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</row>
    <row r="94" spans="1:48" x14ac:dyDescent="0.3">
      <c r="A94" s="461" t="s">
        <v>809</v>
      </c>
      <c r="B94" s="62" t="s">
        <v>638</v>
      </c>
      <c r="C94" s="545"/>
      <c r="D94" s="468">
        <f>SUM(E94:K94)</f>
        <v>1</v>
      </c>
      <c r="E94" s="468">
        <v>0</v>
      </c>
      <c r="F94" s="630"/>
      <c r="G94" s="630"/>
      <c r="H94" s="630"/>
      <c r="I94" s="541">
        <v>1</v>
      </c>
      <c r="J94" s="468">
        <v>0</v>
      </c>
      <c r="K94" s="468" t="s">
        <v>546</v>
      </c>
      <c r="L94" s="526" t="s">
        <v>546</v>
      </c>
      <c r="M94" s="522">
        <f>SUM(N94:W94)</f>
        <v>1092797763.5818172</v>
      </c>
      <c r="N94" s="468"/>
      <c r="O94" s="468">
        <f>'2b. RB-sf'!O195</f>
        <v>701706767.65630925</v>
      </c>
      <c r="P94" s="468"/>
      <c r="Q94" s="468"/>
      <c r="R94" s="468">
        <f>'2b. RB-sf'!R195</f>
        <v>391090995.9255079</v>
      </c>
      <c r="S94" s="468"/>
      <c r="T94" s="468"/>
      <c r="U94" s="468"/>
      <c r="V94" s="468"/>
      <c r="W94" s="468"/>
      <c r="X94" s="62"/>
      <c r="Y94" s="62"/>
      <c r="Z94" s="62"/>
      <c r="AA94" s="62"/>
      <c r="AB94" s="62"/>
      <c r="AC94" s="62"/>
      <c r="AD94" s="62"/>
      <c r="AE94" s="62"/>
      <c r="AF94" s="171">
        <f>SUM(AG94)</f>
        <v>5541358.3705311799</v>
      </c>
      <c r="AG94" s="171">
        <f>+'2b. RB-sf'!AG$132</f>
        <v>5541358.3705311799</v>
      </c>
      <c r="AH94" s="535">
        <v>1</v>
      </c>
      <c r="AI94" s="62"/>
    </row>
    <row r="95" spans="1:48" x14ac:dyDescent="0.3">
      <c r="A95" s="465"/>
      <c r="B95" s="465" t="s">
        <v>1238</v>
      </c>
      <c r="C95" s="545"/>
      <c r="D95" s="486"/>
      <c r="E95" s="486"/>
      <c r="F95" s="665"/>
      <c r="G95" s="665"/>
      <c r="H95" s="665"/>
      <c r="I95" s="486"/>
      <c r="J95" s="486"/>
      <c r="K95" s="486"/>
      <c r="L95" s="486"/>
      <c r="M95" s="489"/>
      <c r="N95" s="486"/>
      <c r="O95" s="486"/>
      <c r="P95" s="486"/>
      <c r="Q95" s="486"/>
      <c r="R95" s="486"/>
      <c r="S95" s="486"/>
      <c r="T95" s="486"/>
      <c r="U95" s="486"/>
      <c r="V95" s="486"/>
      <c r="W95" s="486"/>
      <c r="X95" s="489"/>
      <c r="Y95" s="489"/>
      <c r="Z95" s="489"/>
      <c r="AA95" s="489"/>
      <c r="AB95" s="489"/>
      <c r="AC95" s="489"/>
      <c r="AD95" s="489"/>
      <c r="AE95" s="489"/>
      <c r="AF95" s="489"/>
      <c r="AG95" s="489"/>
      <c r="AH95" s="489"/>
      <c r="AI95" s="62"/>
    </row>
    <row r="96" spans="1:48" x14ac:dyDescent="0.3">
      <c r="A96" s="462"/>
      <c r="B96" s="474"/>
      <c r="C96" s="548"/>
      <c r="D96" s="486"/>
      <c r="E96" s="486"/>
      <c r="F96" s="665"/>
      <c r="G96" s="665"/>
      <c r="H96" s="665"/>
      <c r="I96" s="486"/>
      <c r="J96" s="486"/>
      <c r="K96" s="486"/>
      <c r="L96" s="486"/>
      <c r="M96" s="489"/>
      <c r="N96" s="486"/>
      <c r="O96" s="486"/>
      <c r="P96" s="486"/>
      <c r="Q96" s="486"/>
      <c r="R96" s="486"/>
      <c r="S96" s="486"/>
      <c r="T96" s="486"/>
      <c r="U96" s="486"/>
      <c r="V96" s="486"/>
      <c r="W96" s="486"/>
      <c r="X96" s="489"/>
      <c r="Y96" s="489"/>
      <c r="Z96" s="489"/>
      <c r="AA96" s="489"/>
      <c r="AB96" s="489"/>
      <c r="AC96" s="489"/>
      <c r="AD96" s="489"/>
      <c r="AE96" s="489"/>
      <c r="AF96" s="489"/>
      <c r="AG96" s="489"/>
      <c r="AH96" s="489"/>
      <c r="AI96" s="62"/>
    </row>
    <row r="97" spans="1:36" x14ac:dyDescent="0.3">
      <c r="A97" s="62"/>
      <c r="B97" s="486" t="s">
        <v>524</v>
      </c>
      <c r="C97" s="548"/>
      <c r="D97" s="486"/>
      <c r="E97" s="486"/>
      <c r="F97" s="665"/>
      <c r="G97" s="665"/>
      <c r="H97" s="665"/>
      <c r="I97" s="486"/>
      <c r="J97" s="486"/>
      <c r="K97" s="486"/>
      <c r="L97" s="486"/>
      <c r="M97" s="489"/>
      <c r="N97" s="486"/>
      <c r="O97" s="486"/>
      <c r="P97" s="486"/>
      <c r="Q97" s="486"/>
      <c r="R97" s="486"/>
      <c r="S97" s="486"/>
      <c r="T97" s="486"/>
      <c r="U97" s="486"/>
      <c r="V97" s="486"/>
      <c r="W97" s="486"/>
      <c r="X97" s="489"/>
      <c r="Y97" s="489"/>
      <c r="Z97" s="489"/>
      <c r="AA97" s="489"/>
      <c r="AB97" s="489"/>
      <c r="AC97" s="489"/>
      <c r="AD97" s="489"/>
      <c r="AE97" s="489"/>
      <c r="AF97" s="489"/>
      <c r="AG97" s="489"/>
      <c r="AH97" s="489"/>
      <c r="AI97" s="62"/>
    </row>
    <row r="98" spans="1:36" x14ac:dyDescent="0.3">
      <c r="A98" s="548"/>
      <c r="B98" s="548"/>
      <c r="C98" s="548"/>
      <c r="D98" s="486"/>
      <c r="E98" s="486"/>
      <c r="F98" s="665"/>
      <c r="G98" s="665"/>
      <c r="H98" s="665"/>
      <c r="I98" s="486"/>
      <c r="J98" s="486"/>
      <c r="K98" s="486"/>
      <c r="L98" s="486"/>
      <c r="M98" s="489"/>
      <c r="N98" s="486"/>
      <c r="O98" s="486"/>
      <c r="P98" s="486"/>
      <c r="Q98" s="486"/>
      <c r="R98" s="486"/>
      <c r="S98" s="486"/>
      <c r="T98" s="486"/>
      <c r="U98" s="486"/>
      <c r="V98" s="486"/>
      <c r="W98" s="486"/>
      <c r="X98" s="489"/>
      <c r="Y98" s="489"/>
      <c r="Z98" s="489"/>
      <c r="AA98" s="489"/>
      <c r="AB98" s="489"/>
      <c r="AC98" s="489"/>
      <c r="AD98" s="489"/>
      <c r="AE98" s="489"/>
      <c r="AF98" s="489"/>
      <c r="AG98" s="489"/>
      <c r="AH98" s="489"/>
      <c r="AI98" s="62"/>
    </row>
    <row r="99" spans="1:36" x14ac:dyDescent="0.3">
      <c r="A99" s="549" t="s">
        <v>117</v>
      </c>
      <c r="B99" s="548"/>
      <c r="C99" s="548"/>
      <c r="D99" s="486"/>
      <c r="E99" s="486"/>
      <c r="F99" s="665"/>
      <c r="G99" s="665"/>
      <c r="H99" s="665"/>
      <c r="I99" s="486"/>
      <c r="J99" s="486"/>
      <c r="K99" s="486"/>
      <c r="L99" s="486"/>
      <c r="M99" s="489"/>
      <c r="N99" s="486"/>
      <c r="O99" s="486"/>
      <c r="P99" s="486"/>
      <c r="Q99" s="486"/>
      <c r="R99" s="486"/>
      <c r="S99" s="486"/>
      <c r="T99" s="486"/>
      <c r="U99" s="486"/>
      <c r="V99" s="486"/>
      <c r="W99" s="486"/>
      <c r="X99" s="489"/>
      <c r="Y99" s="489"/>
      <c r="Z99" s="489"/>
      <c r="AA99" s="489"/>
      <c r="AB99" s="489"/>
      <c r="AC99" s="489"/>
      <c r="AD99" s="489"/>
      <c r="AE99" s="489"/>
      <c r="AF99" s="489"/>
      <c r="AG99" s="489"/>
      <c r="AH99" s="489"/>
      <c r="AI99" s="62"/>
    </row>
    <row r="100" spans="1:36" x14ac:dyDescent="0.3">
      <c r="A100" s="548"/>
      <c r="B100" s="548" t="s">
        <v>118</v>
      </c>
      <c r="C100" s="548" t="s">
        <v>125</v>
      </c>
      <c r="D100" s="468"/>
      <c r="E100" s="468"/>
      <c r="F100" s="630"/>
      <c r="G100" s="630"/>
      <c r="H100" s="630"/>
      <c r="I100" s="468"/>
      <c r="J100" s="468"/>
      <c r="K100" s="468"/>
      <c r="L100" s="526"/>
      <c r="M100" s="522"/>
      <c r="N100" s="468"/>
      <c r="O100" s="468"/>
      <c r="P100" s="468"/>
      <c r="Q100" s="468"/>
      <c r="R100" s="468"/>
      <c r="S100" s="468"/>
      <c r="T100" s="468"/>
      <c r="U100" s="468"/>
      <c r="V100" s="468"/>
      <c r="W100" s="468"/>
      <c r="X100" s="526"/>
      <c r="Y100" s="526"/>
      <c r="Z100" s="526"/>
      <c r="AA100" s="526"/>
      <c r="AB100" s="489"/>
      <c r="AC100" s="489"/>
      <c r="AD100" s="489"/>
      <c r="AE100" s="489"/>
      <c r="AF100" s="489"/>
      <c r="AG100" s="489"/>
      <c r="AH100" s="489"/>
      <c r="AI100" s="62"/>
    </row>
    <row r="101" spans="1:36" x14ac:dyDescent="0.3">
      <c r="A101" s="548"/>
      <c r="B101" s="548" t="s">
        <v>564</v>
      </c>
      <c r="C101" s="548" t="s">
        <v>151</v>
      </c>
      <c r="D101" s="468">
        <f>E101+I101+J101+K101</f>
        <v>251765004.97653562</v>
      </c>
      <c r="E101" s="468">
        <f>+'2b. RB-sf'!E132</f>
        <v>172693611.58863872</v>
      </c>
      <c r="F101" s="630"/>
      <c r="G101" s="630"/>
      <c r="H101" s="630"/>
      <c r="I101" s="468">
        <f>+'2b. RB-sf'!I132</f>
        <v>79071393.387896895</v>
      </c>
      <c r="J101" s="468">
        <f>+'2b. RB-sf'!J132</f>
        <v>0</v>
      </c>
      <c r="K101" s="468">
        <f>+'2b. RB-sf'!K132</f>
        <v>0</v>
      </c>
      <c r="L101" s="468">
        <f>+'2b. RB-sf'!L132</f>
        <v>78543501.693038464</v>
      </c>
      <c r="M101" s="522">
        <f>SUM(N101:W101)</f>
        <v>129622121.84600744</v>
      </c>
      <c r="N101" s="468">
        <f>+'2b. RB-sf'!N132</f>
        <v>36551114.414431736</v>
      </c>
      <c r="O101" s="468">
        <f>+'2b. RB-sf'!O132</f>
        <v>37001780.178190954</v>
      </c>
      <c r="P101" s="468">
        <f>+'2b. RB-sf'!P132</f>
        <v>10120962.2551952</v>
      </c>
      <c r="Q101" s="468">
        <f>+'2b. RB-sf'!Q132</f>
        <v>3841584.7989588315</v>
      </c>
      <c r="R101" s="468">
        <f>+'2b. RB-sf'!R132</f>
        <v>25035788.721610256</v>
      </c>
      <c r="S101" s="468">
        <f>+'2b. RB-sf'!S132</f>
        <v>6578531.0798142049</v>
      </c>
      <c r="T101" s="468">
        <f>+'2b. RB-sf'!T132</f>
        <v>4199420.878591205</v>
      </c>
      <c r="U101" s="468">
        <f>+'2b. RB-sf'!U132</f>
        <v>1674343.3708938316</v>
      </c>
      <c r="V101" s="468">
        <f>+'2b. RB-sf'!V132</f>
        <v>4297138.3049375787</v>
      </c>
      <c r="W101" s="468">
        <f>+'2b. RB-sf'!W132</f>
        <v>321457.84338360757</v>
      </c>
      <c r="X101" s="468">
        <f>SUM(Y101:Z101)</f>
        <v>28623771.707195975</v>
      </c>
      <c r="Y101" s="468">
        <f>+'2b. RB-sf'!Y132</f>
        <v>17021134.644086476</v>
      </c>
      <c r="Z101" s="468">
        <f>+'2b. RB-sf'!Z132</f>
        <v>11602637.063109498</v>
      </c>
      <c r="AA101" s="468">
        <f>+'2b. RB-sf'!AA132</f>
        <v>7645179.4379166793</v>
      </c>
      <c r="AB101" s="171">
        <f>SUM(AC101:AD101)</f>
        <v>39046455.428348757</v>
      </c>
      <c r="AC101" s="171">
        <f>+'2b. RB-sf'!AC132</f>
        <v>35431144.438197859</v>
      </c>
      <c r="AD101" s="171">
        <f>+'2b. RB-sf'!AD132</f>
        <v>3615310.9901508992</v>
      </c>
      <c r="AE101" s="171">
        <f>+'2b. RB-sf'!AE132</f>
        <v>0</v>
      </c>
      <c r="AF101" s="171">
        <f>SUM(AG101)</f>
        <v>5541358.3705311799</v>
      </c>
      <c r="AG101" s="171">
        <f>+'2b. RB-sf'!AG$132</f>
        <v>5541358.3705311799</v>
      </c>
      <c r="AH101" s="171">
        <f>+'2b. RB-sf'!AH132</f>
        <v>0</v>
      </c>
      <c r="AI101" s="62"/>
      <c r="AJ101" s="17">
        <f>SUM(AJ76:AJ99)</f>
        <v>0</v>
      </c>
    </row>
    <row r="102" spans="1:36" x14ac:dyDescent="0.3">
      <c r="A102" s="548"/>
      <c r="B102" s="548" t="s">
        <v>119</v>
      </c>
      <c r="C102" s="548" t="s">
        <v>105</v>
      </c>
      <c r="D102" s="535">
        <f>E102+I102+J102+K102</f>
        <v>1</v>
      </c>
      <c r="E102" s="535">
        <v>1</v>
      </c>
      <c r="F102" s="667"/>
      <c r="G102" s="667"/>
      <c r="H102" s="667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</row>
    <row r="103" spans="1:36" x14ac:dyDescent="0.3">
      <c r="A103" s="548"/>
      <c r="B103" s="548" t="s">
        <v>120</v>
      </c>
      <c r="C103" s="548" t="s">
        <v>138</v>
      </c>
      <c r="D103" s="62"/>
      <c r="E103" s="62"/>
      <c r="F103" s="634"/>
      <c r="G103" s="634"/>
      <c r="H103" s="634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535">
        <v>1</v>
      </c>
      <c r="AB103" s="62"/>
      <c r="AC103" s="62"/>
      <c r="AD103" s="62"/>
      <c r="AE103" s="62"/>
      <c r="AF103" s="62"/>
      <c r="AG103" s="62"/>
      <c r="AH103" s="553" t="s">
        <v>546</v>
      </c>
      <c r="AI103" s="62"/>
    </row>
    <row r="104" spans="1:36" x14ac:dyDescent="0.3">
      <c r="A104" s="548"/>
      <c r="B104" s="548" t="s">
        <v>121</v>
      </c>
      <c r="C104" s="548" t="s">
        <v>138</v>
      </c>
      <c r="D104" s="62"/>
      <c r="E104" s="62"/>
      <c r="F104" s="634"/>
      <c r="G104" s="634"/>
      <c r="H104" s="634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535">
        <v>1</v>
      </c>
      <c r="AB104" s="62"/>
      <c r="AC104" s="62"/>
      <c r="AD104" s="62"/>
      <c r="AE104" s="62"/>
      <c r="AF104" s="62"/>
      <c r="AG104" s="62"/>
      <c r="AH104" s="553" t="s">
        <v>546</v>
      </c>
      <c r="AI104" s="62"/>
    </row>
    <row r="105" spans="1:36" x14ac:dyDescent="0.3">
      <c r="A105" s="548"/>
      <c r="B105" s="548" t="s">
        <v>122</v>
      </c>
      <c r="C105" s="548" t="s">
        <v>138</v>
      </c>
      <c r="D105" s="62"/>
      <c r="E105" s="62"/>
      <c r="F105" s="634"/>
      <c r="G105" s="634"/>
      <c r="H105" s="634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535">
        <v>1</v>
      </c>
      <c r="AB105" s="62"/>
      <c r="AC105" s="62"/>
      <c r="AD105" s="62"/>
      <c r="AE105" s="62"/>
      <c r="AF105" s="62"/>
      <c r="AG105" s="62"/>
      <c r="AH105" s="553" t="s">
        <v>546</v>
      </c>
      <c r="AI105" s="62"/>
    </row>
    <row r="106" spans="1:36" x14ac:dyDescent="0.3">
      <c r="A106" s="548"/>
      <c r="B106" s="548" t="s">
        <v>123</v>
      </c>
      <c r="C106" s="548" t="s">
        <v>138</v>
      </c>
      <c r="D106" s="535">
        <f>E106+I106+J106+K106</f>
        <v>1</v>
      </c>
      <c r="E106" s="535">
        <v>1</v>
      </c>
      <c r="F106" s="667"/>
      <c r="G106" s="667"/>
      <c r="H106" s="667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553" t="s">
        <v>546</v>
      </c>
      <c r="AI106" s="62"/>
    </row>
    <row r="107" spans="1:36" x14ac:dyDescent="0.3">
      <c r="A107" s="548"/>
      <c r="B107" s="548" t="s">
        <v>124</v>
      </c>
      <c r="C107" s="548" t="s">
        <v>125</v>
      </c>
      <c r="D107" s="62"/>
      <c r="E107" s="62"/>
      <c r="F107" s="634"/>
      <c r="G107" s="634"/>
      <c r="H107" s="634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</row>
    <row r="108" spans="1:36" x14ac:dyDescent="0.3">
      <c r="A108" s="548"/>
      <c r="B108" s="548" t="s">
        <v>1101</v>
      </c>
      <c r="C108" s="548" t="s">
        <v>151</v>
      </c>
      <c r="D108" s="468">
        <f t="shared" ref="D108:D109" si="0">E108+I108+J108+K108</f>
        <v>251765004.97653562</v>
      </c>
      <c r="E108" s="468">
        <f>+'2b. RB-sf'!E$132</f>
        <v>172693611.58863872</v>
      </c>
      <c r="F108" s="630"/>
      <c r="G108" s="630"/>
      <c r="H108" s="630"/>
      <c r="I108" s="468">
        <f>+'2b. RB-sf'!I$132</f>
        <v>79071393.387896895</v>
      </c>
      <c r="J108" s="468">
        <f>+'2b. RB-sf'!J$132</f>
        <v>0</v>
      </c>
      <c r="K108" s="468">
        <f>+'2b. RB-sf'!K$132</f>
        <v>0</v>
      </c>
      <c r="L108" s="468">
        <f>+'2b. RB-sf'!L$132</f>
        <v>78543501.693038464</v>
      </c>
      <c r="M108" s="468">
        <f>+'2b. RB-sf'!M$132</f>
        <v>129622121.84600741</v>
      </c>
      <c r="N108" s="468">
        <f>+'2b. RB-sf'!N$132</f>
        <v>36551114.414431736</v>
      </c>
      <c r="O108" s="468">
        <f>+'2b. RB-sf'!O$132</f>
        <v>37001780.178190954</v>
      </c>
      <c r="P108" s="468">
        <f>+'2b. RB-sf'!P$132</f>
        <v>10120962.2551952</v>
      </c>
      <c r="Q108" s="468">
        <f>+'2b. RB-sf'!Q$132</f>
        <v>3841584.7989588315</v>
      </c>
      <c r="R108" s="468">
        <f>+'2b. RB-sf'!R$132</f>
        <v>25035788.721610256</v>
      </c>
      <c r="S108" s="468">
        <f>+'2b. RB-sf'!S$132</f>
        <v>6578531.0798142049</v>
      </c>
      <c r="T108" s="468">
        <f>+'2b. RB-sf'!T$132</f>
        <v>4199420.878591205</v>
      </c>
      <c r="U108" s="468">
        <f>+'2b. RB-sf'!U$132</f>
        <v>1674343.3708938316</v>
      </c>
      <c r="V108" s="468">
        <f>+'2b. RB-sf'!V$132</f>
        <v>4297138.3049375787</v>
      </c>
      <c r="W108" s="468">
        <f>+'2b. RB-sf'!W$132</f>
        <v>321457.84338360757</v>
      </c>
      <c r="X108" s="468">
        <f>+'2b. RB-sf'!X$132</f>
        <v>28623771.707195975</v>
      </c>
      <c r="Y108" s="468">
        <f>+'2b. RB-sf'!Y$132</f>
        <v>17021134.644086476</v>
      </c>
      <c r="Z108" s="468">
        <f>+'2b. RB-sf'!Z$132</f>
        <v>11602637.063109498</v>
      </c>
      <c r="AA108" s="468">
        <f>+'2b. RB-sf'!AA$132</f>
        <v>7645179.4379166793</v>
      </c>
      <c r="AB108" s="468">
        <f>+'2b. RB-sf'!AB$132</f>
        <v>39046455.428348765</v>
      </c>
      <c r="AC108" s="468">
        <f>+'2b. RB-sf'!AC$132</f>
        <v>35431144.438197859</v>
      </c>
      <c r="AD108" s="468">
        <f>+'2b. RB-sf'!AD$132</f>
        <v>3615310.9901508992</v>
      </c>
      <c r="AE108" s="468">
        <f>+'2b. RB-sf'!AE$132</f>
        <v>0</v>
      </c>
      <c r="AF108" s="468">
        <f>+'2b. RB-sf'!AF$132</f>
        <v>5541358.3705311799</v>
      </c>
      <c r="AG108" s="468">
        <f>+'2b. RB-sf'!AG$132</f>
        <v>5541358.3705311799</v>
      </c>
      <c r="AH108" s="468">
        <f>+'2b. RB-sf'!AH$132</f>
        <v>0</v>
      </c>
      <c r="AI108" s="62"/>
    </row>
    <row r="109" spans="1:36" x14ac:dyDescent="0.3">
      <c r="A109" s="548"/>
      <c r="B109" s="548" t="s">
        <v>638</v>
      </c>
      <c r="C109" s="548" t="s">
        <v>151</v>
      </c>
      <c r="D109" s="468">
        <f t="shared" si="0"/>
        <v>251765004.97653562</v>
      </c>
      <c r="E109" s="468">
        <f>+'2b. RB-sf'!E132</f>
        <v>172693611.58863872</v>
      </c>
      <c r="F109" s="630"/>
      <c r="G109" s="630"/>
      <c r="H109" s="630"/>
      <c r="I109" s="468">
        <f>+'2b. RB-sf'!I132</f>
        <v>79071393.387896895</v>
      </c>
      <c r="J109" s="468">
        <f>+'2b. RB-sf'!J132</f>
        <v>0</v>
      </c>
      <c r="K109" s="468">
        <f>+'2b. RB-sf'!K132</f>
        <v>0</v>
      </c>
      <c r="L109" s="468">
        <f>+'2b. RB-sf'!L132</f>
        <v>78543501.693038464</v>
      </c>
      <c r="M109" s="468">
        <f>+'2b. RB-sf'!M132</f>
        <v>129622121.84600741</v>
      </c>
      <c r="N109" s="468">
        <f>+'2b. RB-sf'!N132</f>
        <v>36551114.414431736</v>
      </c>
      <c r="O109" s="468">
        <f>+'2b. RB-sf'!O132</f>
        <v>37001780.178190954</v>
      </c>
      <c r="P109" s="468">
        <f>+'2b. RB-sf'!P132</f>
        <v>10120962.2551952</v>
      </c>
      <c r="Q109" s="468">
        <f>+'2b. RB-sf'!Q132</f>
        <v>3841584.7989588315</v>
      </c>
      <c r="R109" s="468">
        <f>+'2b. RB-sf'!R132</f>
        <v>25035788.721610256</v>
      </c>
      <c r="S109" s="468">
        <f>+'2b. RB-sf'!S132</f>
        <v>6578531.0798142049</v>
      </c>
      <c r="T109" s="468">
        <f>+'2b. RB-sf'!T132</f>
        <v>4199420.878591205</v>
      </c>
      <c r="U109" s="468">
        <f>+'2b. RB-sf'!U132</f>
        <v>1674343.3708938316</v>
      </c>
      <c r="V109" s="468">
        <f>+'2b. RB-sf'!V132</f>
        <v>4297138.3049375787</v>
      </c>
      <c r="W109" s="468">
        <f>+'2b. RB-sf'!W132</f>
        <v>321457.84338360757</v>
      </c>
      <c r="X109" s="468">
        <f>+'2b. RB-sf'!X132</f>
        <v>28623771.707195975</v>
      </c>
      <c r="Y109" s="468">
        <f>+'2b. RB-sf'!Y132</f>
        <v>17021134.644086476</v>
      </c>
      <c r="Z109" s="468">
        <f>+'2b. RB-sf'!Z132</f>
        <v>11602637.063109498</v>
      </c>
      <c r="AA109" s="468">
        <f>+'2b. RB-sf'!AA132</f>
        <v>7645179.4379166793</v>
      </c>
      <c r="AB109" s="468">
        <f>+'2b. RB-sf'!AB132</f>
        <v>39046455.428348765</v>
      </c>
      <c r="AC109" s="468">
        <f>+'2b. RB-sf'!AC132</f>
        <v>35431144.438197859</v>
      </c>
      <c r="AD109" s="468">
        <f>+'2b. RB-sf'!AD132</f>
        <v>3615310.9901508992</v>
      </c>
      <c r="AE109" s="468">
        <f>+'2b. RB-sf'!AE132</f>
        <v>0</v>
      </c>
      <c r="AF109" s="468">
        <f>+'2b. RB-sf'!AF132</f>
        <v>5541358.3705311799</v>
      </c>
      <c r="AG109" s="468">
        <f>+'2b. RB-sf'!AG132</f>
        <v>5541358.3705311799</v>
      </c>
      <c r="AH109" s="468">
        <f>+'2b. RB-sf'!AH132</f>
        <v>0</v>
      </c>
      <c r="AI109" s="62"/>
    </row>
    <row r="110" spans="1:36" x14ac:dyDescent="0.3">
      <c r="A110" s="548"/>
      <c r="B110" s="548" t="s">
        <v>126</v>
      </c>
      <c r="C110" s="548" t="s">
        <v>152</v>
      </c>
      <c r="D110" s="62"/>
      <c r="E110" s="62"/>
      <c r="F110" s="634"/>
      <c r="G110" s="634"/>
      <c r="H110" s="634"/>
      <c r="I110" s="62"/>
      <c r="J110" s="62"/>
      <c r="K110" s="62"/>
      <c r="L110" s="62"/>
      <c r="M110" s="62">
        <f>SUM(N110:W110)</f>
        <v>2099176485.8880477</v>
      </c>
      <c r="N110" s="62">
        <f>+'2b. RB-sf'!N94</f>
        <v>332550668.0280478</v>
      </c>
      <c r="O110" s="62">
        <f>+'2b. RB-sf'!O94</f>
        <v>597523210.07080626</v>
      </c>
      <c r="P110" s="62">
        <f>+'2b. RB-sf'!P94</f>
        <v>159560465.3049843</v>
      </c>
      <c r="Q110" s="62">
        <f>+'2b. RB-sf'!Q94</f>
        <v>174453717.5478189</v>
      </c>
      <c r="R110" s="62">
        <f>+'2b. RB-sf'!R94</f>
        <v>327478213.15558767</v>
      </c>
      <c r="S110" s="62">
        <f>+'2b. RB-sf'!S94</f>
        <v>80642631.368211746</v>
      </c>
      <c r="T110" s="62">
        <f>+'2b. RB-sf'!T94</f>
        <v>190703738.73218107</v>
      </c>
      <c r="U110" s="62">
        <f>+'2b. RB-sf'!U94</f>
        <v>128955756.09999993</v>
      </c>
      <c r="V110" s="62">
        <f>+'2b. RB-sf'!V94</f>
        <v>107308085.5804099</v>
      </c>
      <c r="W110" s="62">
        <f>+'2b. RB-sf'!W94</f>
        <v>0</v>
      </c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</row>
    <row r="111" spans="1:36" x14ac:dyDescent="0.3">
      <c r="A111" s="548"/>
      <c r="B111" s="548"/>
      <c r="C111" s="548"/>
      <c r="D111" s="486"/>
      <c r="E111" s="486"/>
      <c r="F111" s="665"/>
      <c r="G111" s="665"/>
      <c r="H111" s="665"/>
      <c r="I111" s="486"/>
      <c r="J111" s="486"/>
      <c r="K111" s="486"/>
      <c r="L111" s="486"/>
      <c r="M111" s="489"/>
      <c r="N111" s="486"/>
      <c r="O111" s="486"/>
      <c r="P111" s="486"/>
      <c r="Q111" s="486"/>
      <c r="R111" s="486"/>
      <c r="S111" s="486"/>
      <c r="T111" s="486"/>
      <c r="U111" s="486"/>
      <c r="V111" s="486"/>
      <c r="W111" s="486"/>
      <c r="X111" s="489"/>
      <c r="Y111" s="489"/>
      <c r="Z111" s="489"/>
      <c r="AA111" s="489"/>
      <c r="AB111" s="489"/>
      <c r="AC111" s="489"/>
      <c r="AD111" s="489"/>
      <c r="AE111" s="489"/>
      <c r="AF111" s="489"/>
      <c r="AG111" s="489"/>
      <c r="AH111" s="489"/>
      <c r="AI111" s="62"/>
    </row>
    <row r="112" spans="1:36" x14ac:dyDescent="0.3">
      <c r="A112" s="548"/>
      <c r="B112" s="548" t="s">
        <v>355</v>
      </c>
      <c r="C112" s="548"/>
      <c r="D112" s="486"/>
      <c r="E112" s="486"/>
      <c r="F112" s="665"/>
      <c r="G112" s="665"/>
      <c r="H112" s="665"/>
      <c r="I112" s="486"/>
      <c r="J112" s="486"/>
      <c r="K112" s="486"/>
      <c r="L112" s="486"/>
      <c r="M112" s="489"/>
      <c r="N112" s="486"/>
      <c r="O112" s="486"/>
      <c r="P112" s="486"/>
      <c r="Q112" s="486"/>
      <c r="R112" s="486"/>
      <c r="S112" s="486"/>
      <c r="T112" s="486"/>
      <c r="U112" s="486"/>
      <c r="V112" s="486"/>
      <c r="W112" s="486"/>
      <c r="X112" s="489"/>
      <c r="Y112" s="489"/>
      <c r="Z112" s="489"/>
      <c r="AA112" s="489"/>
      <c r="AB112" s="489"/>
      <c r="AC112" s="489"/>
      <c r="AD112" s="489"/>
      <c r="AE112" s="489"/>
      <c r="AF112" s="489"/>
      <c r="AG112" s="489"/>
      <c r="AH112" s="489"/>
      <c r="AI112" s="62"/>
    </row>
    <row r="113" spans="1:35" x14ac:dyDescent="0.3">
      <c r="A113" s="548"/>
      <c r="B113" s="548"/>
      <c r="C113" s="548"/>
      <c r="D113" s="486"/>
      <c r="E113" s="486"/>
      <c r="F113" s="665"/>
      <c r="G113" s="665"/>
      <c r="H113" s="665"/>
      <c r="I113" s="486"/>
      <c r="J113" s="486"/>
      <c r="K113" s="486"/>
      <c r="L113" s="486"/>
      <c r="M113" s="489"/>
      <c r="N113" s="486"/>
      <c r="O113" s="486"/>
      <c r="P113" s="486"/>
      <c r="Q113" s="486"/>
      <c r="R113" s="486"/>
      <c r="S113" s="486"/>
      <c r="T113" s="486"/>
      <c r="U113" s="486"/>
      <c r="V113" s="486"/>
      <c r="W113" s="486"/>
      <c r="X113" s="489"/>
      <c r="Y113" s="489"/>
      <c r="Z113" s="489"/>
      <c r="AA113" s="489"/>
      <c r="AB113" s="489"/>
      <c r="AC113" s="489"/>
      <c r="AD113" s="489"/>
      <c r="AE113" s="489"/>
      <c r="AF113" s="489"/>
      <c r="AG113" s="489"/>
      <c r="AH113" s="489"/>
      <c r="AI113" s="62"/>
    </row>
    <row r="114" spans="1:35" x14ac:dyDescent="0.3">
      <c r="A114" s="548"/>
      <c r="B114" s="548"/>
      <c r="C114" s="548"/>
      <c r="D114" s="486"/>
      <c r="E114" s="486"/>
      <c r="F114" s="665"/>
      <c r="G114" s="665"/>
      <c r="H114" s="665"/>
      <c r="I114" s="486"/>
      <c r="J114" s="486"/>
      <c r="K114" s="486"/>
      <c r="L114" s="486"/>
      <c r="M114" s="489"/>
      <c r="N114" s="486"/>
      <c r="O114" s="486"/>
      <c r="P114" s="486"/>
      <c r="Q114" s="486"/>
      <c r="R114" s="486"/>
      <c r="S114" s="486"/>
      <c r="T114" s="486"/>
      <c r="U114" s="486"/>
      <c r="V114" s="486"/>
      <c r="W114" s="486"/>
      <c r="X114" s="489"/>
      <c r="Y114" s="489"/>
      <c r="Z114" s="489"/>
      <c r="AA114" s="489"/>
      <c r="AB114" s="489"/>
      <c r="AC114" s="489"/>
      <c r="AD114" s="489"/>
      <c r="AE114" s="489"/>
      <c r="AF114" s="489"/>
      <c r="AG114" s="489"/>
      <c r="AH114" s="489"/>
      <c r="AI114" s="62"/>
    </row>
    <row r="115" spans="1:35" x14ac:dyDescent="0.3">
      <c r="A115" s="549" t="s">
        <v>127</v>
      </c>
      <c r="B115" s="548"/>
      <c r="C115" s="548"/>
      <c r="D115" s="486"/>
      <c r="E115" s="486"/>
      <c r="F115" s="665"/>
      <c r="G115" s="665"/>
      <c r="H115" s="665"/>
      <c r="I115" s="486"/>
      <c r="J115" s="486"/>
      <c r="K115" s="486"/>
      <c r="L115" s="486"/>
      <c r="M115" s="489"/>
      <c r="N115" s="486"/>
      <c r="O115" s="486"/>
      <c r="P115" s="486"/>
      <c r="Q115" s="486"/>
      <c r="R115" s="486"/>
      <c r="S115" s="486"/>
      <c r="T115" s="486"/>
      <c r="U115" s="486"/>
      <c r="V115" s="486"/>
      <c r="W115" s="486"/>
      <c r="X115" s="489"/>
      <c r="Y115" s="489"/>
      <c r="Z115" s="489"/>
      <c r="AA115" s="489"/>
      <c r="AB115" s="489"/>
      <c r="AC115" s="489"/>
      <c r="AD115" s="489"/>
      <c r="AE115" s="489"/>
      <c r="AF115" s="489"/>
      <c r="AG115" s="489"/>
      <c r="AH115" s="489"/>
      <c r="AI115" s="62"/>
    </row>
    <row r="116" spans="1:35" x14ac:dyDescent="0.3">
      <c r="A116" s="549" t="s">
        <v>174</v>
      </c>
      <c r="B116" s="62"/>
      <c r="C116" s="548"/>
      <c r="D116" s="486"/>
      <c r="E116" s="486"/>
      <c r="F116" s="486"/>
      <c r="G116" s="486"/>
      <c r="H116" s="486"/>
      <c r="I116" s="486"/>
      <c r="J116" s="486"/>
      <c r="K116" s="486"/>
      <c r="L116" s="486"/>
      <c r="M116" s="489"/>
      <c r="N116" s="486"/>
      <c r="O116" s="486"/>
      <c r="P116" s="486"/>
      <c r="Q116" s="486"/>
      <c r="R116" s="486"/>
      <c r="S116" s="486"/>
      <c r="T116" s="486"/>
      <c r="U116" s="486"/>
      <c r="V116" s="486"/>
      <c r="W116" s="486"/>
      <c r="X116" s="489"/>
      <c r="Y116" s="489"/>
      <c r="Z116" s="489"/>
      <c r="AA116" s="489"/>
      <c r="AB116" s="489"/>
      <c r="AC116" s="489"/>
      <c r="AD116" s="489"/>
      <c r="AE116" s="489"/>
      <c r="AF116" s="489"/>
      <c r="AG116" s="489"/>
      <c r="AH116" s="489"/>
      <c r="AI116" s="62"/>
    </row>
    <row r="117" spans="1:35" x14ac:dyDescent="0.3">
      <c r="A117" s="462"/>
      <c r="B117" s="461"/>
      <c r="C117" s="461"/>
      <c r="D117" s="486"/>
      <c r="E117" s="486"/>
      <c r="F117" s="486"/>
      <c r="G117" s="486"/>
      <c r="H117" s="486"/>
      <c r="I117" s="486"/>
      <c r="J117" s="486"/>
      <c r="K117" s="486"/>
      <c r="L117" s="486"/>
      <c r="M117" s="489"/>
      <c r="N117" s="486"/>
      <c r="O117" s="486"/>
      <c r="P117" s="486"/>
      <c r="Q117" s="486"/>
      <c r="R117" s="486"/>
      <c r="S117" s="486"/>
      <c r="T117" s="486"/>
      <c r="U117" s="486"/>
      <c r="V117" s="486"/>
      <c r="W117" s="486"/>
      <c r="X117" s="489"/>
      <c r="Y117" s="489"/>
      <c r="Z117" s="489"/>
      <c r="AA117" s="489"/>
      <c r="AB117" s="489"/>
      <c r="AC117" s="489"/>
      <c r="AD117" s="489"/>
      <c r="AE117" s="489"/>
      <c r="AF117" s="489"/>
      <c r="AG117" s="489"/>
      <c r="AH117" s="489"/>
      <c r="AI117" s="62"/>
    </row>
    <row r="118" spans="1:35" x14ac:dyDescent="0.3">
      <c r="A118" s="62"/>
      <c r="B118" s="62"/>
      <c r="C118" s="62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</row>
    <row r="119" spans="1:35" x14ac:dyDescent="0.3">
      <c r="A119" s="62"/>
      <c r="B119" s="62"/>
      <c r="C119" s="62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</row>
    <row r="120" spans="1:35" x14ac:dyDescent="0.3">
      <c r="A120" s="62"/>
      <c r="B120" s="62"/>
      <c r="C120" s="62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</row>
    <row r="121" spans="1:35" x14ac:dyDescent="0.3">
      <c r="A121" s="62"/>
      <c r="B121" s="62"/>
      <c r="C121" s="62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</row>
    <row r="122" spans="1:35" x14ac:dyDescent="0.3">
      <c r="A122" s="62"/>
      <c r="B122" s="62"/>
      <c r="C122" s="62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</row>
    <row r="123" spans="1:35" x14ac:dyDescent="0.3">
      <c r="A123" s="62"/>
      <c r="B123" s="62"/>
      <c r="C123" s="62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</row>
    <row r="124" spans="1:35" x14ac:dyDescent="0.3">
      <c r="A124" s="62"/>
      <c r="B124" s="62"/>
      <c r="C124" s="62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</row>
    <row r="125" spans="1:35" x14ac:dyDescent="0.3">
      <c r="A125" s="62"/>
      <c r="B125" s="62"/>
      <c r="C125" s="62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</row>
    <row r="126" spans="1:35" x14ac:dyDescent="0.3">
      <c r="A126" s="62"/>
      <c r="B126" s="62"/>
      <c r="C126" s="62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</row>
    <row r="127" spans="1:35" x14ac:dyDescent="0.3">
      <c r="A127" s="62"/>
      <c r="B127" s="62"/>
      <c r="C127" s="62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</row>
    <row r="128" spans="1:35" x14ac:dyDescent="0.3">
      <c r="A128" s="62"/>
      <c r="B128" s="62"/>
      <c r="C128" s="62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</row>
    <row r="129" spans="1:35" x14ac:dyDescent="0.3">
      <c r="A129" s="62"/>
      <c r="B129" s="62"/>
      <c r="C129" s="62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</row>
    <row r="130" spans="1:35" x14ac:dyDescent="0.3">
      <c r="A130" s="62"/>
      <c r="B130" s="62"/>
      <c r="C130" s="62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</row>
    <row r="131" spans="1:35" x14ac:dyDescent="0.3">
      <c r="A131" s="62"/>
      <c r="B131" s="62"/>
      <c r="C131" s="62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</row>
    <row r="132" spans="1:35" x14ac:dyDescent="0.3">
      <c r="A132" s="62"/>
      <c r="B132" s="62"/>
      <c r="C132" s="62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</row>
    <row r="133" spans="1:35" x14ac:dyDescent="0.3">
      <c r="A133" s="62"/>
      <c r="B133" s="62"/>
      <c r="C133" s="62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</row>
    <row r="134" spans="1:35" x14ac:dyDescent="0.3">
      <c r="A134" s="62"/>
      <c r="B134" s="62"/>
      <c r="C134" s="62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</row>
    <row r="135" spans="1:35" x14ac:dyDescent="0.3">
      <c r="A135" s="62"/>
      <c r="B135" s="62"/>
      <c r="C135" s="62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</row>
    <row r="136" spans="1:35" x14ac:dyDescent="0.3">
      <c r="A136" s="62"/>
      <c r="B136" s="62"/>
      <c r="C136" s="62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</row>
    <row r="137" spans="1:35" x14ac:dyDescent="0.3">
      <c r="A137" s="62"/>
      <c r="B137" s="62"/>
      <c r="C137" s="62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</row>
    <row r="138" spans="1:35" x14ac:dyDescent="0.3">
      <c r="A138" s="62"/>
      <c r="B138" s="62"/>
      <c r="C138" s="62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</row>
    <row r="139" spans="1:35" x14ac:dyDescent="0.3">
      <c r="A139" s="62"/>
      <c r="B139" s="62"/>
      <c r="C139" s="62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</row>
    <row r="140" spans="1:35" x14ac:dyDescent="0.3">
      <c r="A140" s="62"/>
      <c r="B140" s="62"/>
      <c r="C140" s="62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</row>
    <row r="141" spans="1:35" x14ac:dyDescent="0.3">
      <c r="A141" s="62"/>
      <c r="B141" s="62"/>
      <c r="C141" s="62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</row>
    <row r="142" spans="1:35" x14ac:dyDescent="0.3">
      <c r="A142" s="62"/>
      <c r="B142" s="62"/>
      <c r="C142" s="62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</row>
    <row r="143" spans="1:35" x14ac:dyDescent="0.3">
      <c r="A143" s="62"/>
      <c r="B143" s="62"/>
      <c r="C143" s="62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</row>
    <row r="144" spans="1:35" x14ac:dyDescent="0.3">
      <c r="A144" s="62"/>
      <c r="B144" s="62"/>
      <c r="C144" s="62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</row>
    <row r="145" spans="1:35" x14ac:dyDescent="0.3">
      <c r="A145" s="62"/>
      <c r="B145" s="62"/>
      <c r="C145" s="62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</row>
    <row r="146" spans="1:35" x14ac:dyDescent="0.3">
      <c r="A146" s="62"/>
      <c r="B146" s="62"/>
      <c r="C146" s="62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</row>
    <row r="147" spans="1:35" x14ac:dyDescent="0.3">
      <c r="A147" s="62"/>
      <c r="B147" s="62"/>
      <c r="C147" s="62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</row>
    <row r="148" spans="1:35" x14ac:dyDescent="0.3">
      <c r="A148" s="62"/>
      <c r="B148" s="62"/>
      <c r="C148" s="62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</row>
    <row r="149" spans="1:35" x14ac:dyDescent="0.3">
      <c r="A149" s="62"/>
      <c r="B149" s="62"/>
      <c r="C149" s="62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</row>
    <row r="150" spans="1:35" x14ac:dyDescent="0.3">
      <c r="A150" s="62"/>
      <c r="B150" s="62"/>
      <c r="C150" s="62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</row>
    <row r="151" spans="1:35" x14ac:dyDescent="0.3">
      <c r="A151" s="62"/>
      <c r="B151" s="62"/>
      <c r="C151" s="62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</row>
    <row r="152" spans="1:35" x14ac:dyDescent="0.3">
      <c r="A152" s="62"/>
      <c r="B152" s="62"/>
      <c r="C152" s="62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</row>
    <row r="153" spans="1:35" x14ac:dyDescent="0.3">
      <c r="A153" s="62"/>
      <c r="B153" s="62"/>
      <c r="C153" s="62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</row>
    <row r="154" spans="1:35" x14ac:dyDescent="0.3">
      <c r="A154" s="62"/>
      <c r="B154" s="62"/>
      <c r="C154" s="62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</row>
    <row r="155" spans="1:35" x14ac:dyDescent="0.3">
      <c r="A155" s="62"/>
      <c r="B155" s="62"/>
      <c r="C155" s="62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</row>
    <row r="156" spans="1:35" x14ac:dyDescent="0.3">
      <c r="A156" s="62"/>
      <c r="B156" s="62"/>
      <c r="C156" s="62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</row>
    <row r="157" spans="1:35" x14ac:dyDescent="0.3">
      <c r="A157" s="62"/>
      <c r="B157" s="62"/>
      <c r="C157" s="62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</row>
    <row r="158" spans="1:35" x14ac:dyDescent="0.3">
      <c r="A158" s="62"/>
      <c r="B158" s="62"/>
      <c r="C158" s="62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</row>
    <row r="159" spans="1:35" x14ac:dyDescent="0.3">
      <c r="A159" s="62"/>
      <c r="B159" s="62"/>
      <c r="C159" s="62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</row>
    <row r="160" spans="1:35" x14ac:dyDescent="0.3">
      <c r="A160" s="62"/>
      <c r="B160" s="62"/>
      <c r="C160" s="62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</row>
    <row r="161" spans="1:35" x14ac:dyDescent="0.3">
      <c r="A161" s="62"/>
      <c r="B161" s="62"/>
      <c r="C161" s="62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</row>
    <row r="162" spans="1:35" x14ac:dyDescent="0.3">
      <c r="A162" s="62"/>
      <c r="B162" s="62"/>
      <c r="C162" s="62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</row>
    <row r="163" spans="1:35" x14ac:dyDescent="0.3">
      <c r="A163" s="62"/>
      <c r="B163" s="62"/>
      <c r="C163" s="62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</row>
    <row r="164" spans="1:35" x14ac:dyDescent="0.3">
      <c r="A164" s="62"/>
      <c r="B164" s="62"/>
      <c r="C164" s="62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</row>
  </sheetData>
  <customSheetViews>
    <customSheetView guid="{121E4431-22F3-11D5-8242-00600818425F}" scale="75" showRuler="0">
      <pane xSplit="2" ySplit="7" topLeftCell="C78" activePane="bottomRight" state="frozen"/>
      <selection pane="bottomRight" activeCell="D96" sqref="D96"/>
      <rowBreaks count="1" manualBreakCount="1">
        <brk id="48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300" verticalDpi="300" r:id="rId1"/>
      <headerFooter alignWithMargins="0">
        <oddFooter>&amp;L&amp;8&amp;F&amp;C&amp;8&amp;A
page &amp;P&amp;R&amp;D
&amp;T</oddFooter>
      </headerFooter>
    </customSheetView>
    <customSheetView guid="{26EFD302-2526-11D5-9AB1-0060975861A8}" scale="75" showPageBreaks="1" printArea="1" showRuler="0">
      <pane xSplit="2" ySplit="7" topLeftCell="C78" activePane="bottomRight" state="frozen"/>
      <selection pane="bottomRight" activeCell="D96" sqref="D96"/>
      <rowBreaks count="1" manualBreakCount="1">
        <brk id="48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300" verticalDpi="300" r:id="rId2"/>
      <headerFooter alignWithMargins="0">
        <oddFooter>&amp;L&amp;8&amp;F&amp;C&amp;8&amp;A
page &amp;P&amp;R&amp;D
&amp;T</oddFooter>
      </headerFooter>
    </customSheetView>
    <customSheetView guid="{44D25261-300E-11D5-83AB-006008184210}" scale="75" showPageBreaks="1" printArea="1" showRuler="0">
      <pane xSplit="2" ySplit="7" topLeftCell="C78" activePane="bottomRight" state="frozen"/>
      <selection pane="bottomRight" activeCell="D96" sqref="D96"/>
      <rowBreaks count="1" manualBreakCount="1">
        <brk id="48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300" verticalDpi="300" r:id="rId3"/>
      <headerFooter alignWithMargins="0">
        <oddFooter>&amp;L&amp;8&amp;F&amp;C&amp;8&amp;A
page &amp;P&amp;R&amp;D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56" fitToHeight="0" orientation="landscape" horizontalDpi="300" verticalDpi="300" r:id="rId4"/>
  <headerFooter alignWithMargins="0">
    <oddFooter>&amp;L&amp;8&amp;F&amp;C&amp;8&amp;A
page &amp;P&amp;R&amp;D
&amp;T</oddFooter>
  </headerFooter>
  <rowBreaks count="1" manualBreakCount="1">
    <brk id="48" max="16383" man="1"/>
  </rowBreaks>
  <colBreaks count="2" manualBreakCount="2">
    <brk id="12" max="113" man="1"/>
    <brk id="23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T299"/>
  <sheetViews>
    <sheetView zoomScale="80" zoomScaleNormal="80" workbookViewId="0">
      <pane xSplit="1" ySplit="7" topLeftCell="B8" activePane="bottomRight" state="frozen"/>
      <selection activeCell="C368" sqref="C368"/>
      <selection pane="topRight" activeCell="C368" sqref="C368"/>
      <selection pane="bottomLeft" activeCell="C368" sqref="C368"/>
      <selection pane="bottomRight" activeCell="B8" sqref="B8"/>
    </sheetView>
  </sheetViews>
  <sheetFormatPr defaultColWidth="9.1796875" defaultRowHeight="13" x14ac:dyDescent="0.3"/>
  <cols>
    <col min="1" max="1" width="12.453125" style="65" customWidth="1"/>
    <col min="2" max="2" width="26.81640625" style="4" customWidth="1"/>
    <col min="3" max="3" width="15" style="4" customWidth="1"/>
    <col min="4" max="4" width="14.1796875" style="17" customWidth="1"/>
    <col min="5" max="5" width="12" style="4" customWidth="1"/>
    <col min="6" max="6" width="13.1796875" style="1" customWidth="1"/>
    <col min="7" max="7" width="14.453125" style="17" customWidth="1"/>
    <col min="8" max="8" width="13.453125" style="17" bestFit="1" customWidth="1"/>
    <col min="9" max="9" width="13.453125" style="4" bestFit="1" customWidth="1"/>
    <col min="10" max="10" width="13.54296875" style="17" customWidth="1"/>
    <col min="11" max="11" width="11.54296875" style="17" customWidth="1"/>
    <col min="12" max="16" width="12" style="17" customWidth="1"/>
    <col min="17" max="17" width="7.54296875" style="17" bestFit="1" customWidth="1"/>
    <col min="18" max="18" width="12" style="17" customWidth="1"/>
    <col min="19" max="19" width="12.54296875" style="4" bestFit="1" customWidth="1"/>
    <col min="20" max="20" width="10.453125" style="4" bestFit="1" customWidth="1"/>
    <col min="21" max="16384" width="9.1796875" style="4"/>
  </cols>
  <sheetData>
    <row r="1" spans="1:20" x14ac:dyDescent="0.3">
      <c r="A1" s="385" t="str">
        <f>'1. RB-i'!A1</f>
        <v>CPS Energy</v>
      </c>
      <c r="B1" s="207"/>
      <c r="C1" s="207"/>
      <c r="D1" s="353"/>
      <c r="E1" s="353"/>
      <c r="F1" s="353"/>
      <c r="G1" s="353"/>
      <c r="H1" s="353"/>
      <c r="I1" s="207"/>
      <c r="J1" s="353"/>
      <c r="K1" s="353"/>
      <c r="L1" s="353"/>
      <c r="M1" s="353"/>
      <c r="N1" s="353"/>
      <c r="O1" s="353"/>
      <c r="P1" s="353"/>
      <c r="Q1" s="354"/>
    </row>
    <row r="2" spans="1:20" x14ac:dyDescent="0.3">
      <c r="A2" s="386" t="s">
        <v>1299</v>
      </c>
      <c r="B2" s="191"/>
      <c r="C2" s="191"/>
      <c r="D2" s="256"/>
      <c r="E2" s="191"/>
      <c r="F2" s="191"/>
      <c r="G2" s="256"/>
      <c r="H2" s="256"/>
      <c r="I2" s="191"/>
      <c r="J2" s="256"/>
      <c r="K2" s="256"/>
      <c r="L2" s="256"/>
      <c r="M2" s="256"/>
      <c r="N2" s="256"/>
      <c r="O2" s="256"/>
      <c r="P2" s="256"/>
      <c r="Q2" s="355"/>
    </row>
    <row r="3" spans="1:20" x14ac:dyDescent="0.3">
      <c r="A3" s="386" t="str">
        <f>'6c. OE_OR-sfaf'!A3</f>
        <v>FYE 2017</v>
      </c>
      <c r="B3" s="191"/>
      <c r="C3" s="191"/>
      <c r="D3" s="256"/>
      <c r="E3" s="191"/>
      <c r="F3" s="191"/>
      <c r="G3" s="256"/>
      <c r="H3" s="256"/>
      <c r="I3" s="191"/>
      <c r="J3" s="256"/>
      <c r="K3" s="256"/>
      <c r="L3" s="256"/>
      <c r="M3" s="256"/>
      <c r="N3" s="256"/>
      <c r="O3" s="256"/>
      <c r="P3" s="256"/>
      <c r="Q3" s="355"/>
    </row>
    <row r="4" spans="1:20" x14ac:dyDescent="0.3">
      <c r="A4" s="454"/>
      <c r="B4" s="191"/>
      <c r="C4" s="191"/>
      <c r="D4" s="256"/>
      <c r="E4" s="191"/>
      <c r="F4" s="191"/>
      <c r="G4" s="256"/>
      <c r="H4" s="256"/>
      <c r="I4" s="191"/>
      <c r="J4" s="256"/>
      <c r="K4" s="256"/>
      <c r="L4" s="256"/>
      <c r="M4" s="256"/>
      <c r="N4" s="256"/>
      <c r="O4" s="256"/>
      <c r="P4" s="256"/>
      <c r="Q4" s="355"/>
    </row>
    <row r="5" spans="1:20" x14ac:dyDescent="0.3">
      <c r="A5" s="455" t="s">
        <v>539</v>
      </c>
      <c r="B5" s="216" t="s">
        <v>359</v>
      </c>
      <c r="C5" s="216" t="s">
        <v>352</v>
      </c>
      <c r="D5" s="269" t="s">
        <v>353</v>
      </c>
      <c r="E5" s="215" t="s">
        <v>354</v>
      </c>
      <c r="F5" s="215" t="s">
        <v>355</v>
      </c>
      <c r="G5" s="215" t="s">
        <v>356</v>
      </c>
      <c r="H5" s="215" t="s">
        <v>355</v>
      </c>
      <c r="I5" s="215" t="s">
        <v>357</v>
      </c>
      <c r="J5" s="419" t="s">
        <v>10</v>
      </c>
      <c r="K5" s="419" t="s">
        <v>10</v>
      </c>
      <c r="L5" s="419" t="s">
        <v>10</v>
      </c>
      <c r="M5" s="419" t="s">
        <v>10</v>
      </c>
      <c r="N5" s="419" t="s">
        <v>10</v>
      </c>
      <c r="O5" s="419" t="s">
        <v>10</v>
      </c>
      <c r="P5" s="419" t="s">
        <v>10</v>
      </c>
      <c r="Q5" s="420" t="s">
        <v>10</v>
      </c>
      <c r="R5" s="8"/>
      <c r="S5" s="4" t="s">
        <v>832</v>
      </c>
    </row>
    <row r="6" spans="1:20" x14ac:dyDescent="0.3">
      <c r="A6" s="456" t="s">
        <v>545</v>
      </c>
      <c r="B6" s="447"/>
      <c r="C6" s="187" t="s">
        <v>360</v>
      </c>
      <c r="D6" s="199" t="s">
        <v>361</v>
      </c>
      <c r="E6" s="186" t="s">
        <v>362</v>
      </c>
      <c r="F6" s="186"/>
      <c r="G6" s="186" t="s">
        <v>363</v>
      </c>
      <c r="H6" s="186" t="s">
        <v>364</v>
      </c>
      <c r="I6" s="186" t="s">
        <v>365</v>
      </c>
      <c r="J6" s="186" t="s">
        <v>544</v>
      </c>
      <c r="K6" s="198" t="s">
        <v>366</v>
      </c>
      <c r="L6" s="198" t="s">
        <v>367</v>
      </c>
      <c r="M6" s="198" t="s">
        <v>907</v>
      </c>
      <c r="N6" s="198" t="s">
        <v>909</v>
      </c>
      <c r="O6" s="198" t="s">
        <v>910</v>
      </c>
      <c r="P6" s="198" t="s">
        <v>912</v>
      </c>
      <c r="Q6" s="421" t="s">
        <v>913</v>
      </c>
      <c r="R6" s="8"/>
      <c r="S6" s="4" t="s">
        <v>833</v>
      </c>
      <c r="T6" s="4" t="s">
        <v>824</v>
      </c>
    </row>
    <row r="7" spans="1:20" ht="13.5" thickBot="1" x14ac:dyDescent="0.35">
      <c r="A7" s="457" t="s">
        <v>546</v>
      </c>
      <c r="B7" s="448"/>
      <c r="C7" s="448"/>
      <c r="D7" s="453" t="s">
        <v>815</v>
      </c>
      <c r="E7" s="234" t="s">
        <v>816</v>
      </c>
      <c r="F7" s="234" t="s">
        <v>817</v>
      </c>
      <c r="G7" s="234" t="s">
        <v>818</v>
      </c>
      <c r="H7" s="234" t="s">
        <v>819</v>
      </c>
      <c r="I7" s="234" t="s">
        <v>820</v>
      </c>
      <c r="J7" s="234" t="s">
        <v>821</v>
      </c>
      <c r="K7" s="234" t="s">
        <v>822</v>
      </c>
      <c r="L7" s="234" t="s">
        <v>823</v>
      </c>
      <c r="M7" s="234" t="s">
        <v>908</v>
      </c>
      <c r="N7" s="234" t="s">
        <v>914</v>
      </c>
      <c r="O7" s="234" t="s">
        <v>915</v>
      </c>
      <c r="P7" s="234" t="s">
        <v>916</v>
      </c>
      <c r="Q7" s="235" t="s">
        <v>917</v>
      </c>
      <c r="R7" s="7"/>
    </row>
    <row r="8" spans="1:20" x14ac:dyDescent="0.3">
      <c r="A8" s="64"/>
      <c r="B8" s="31"/>
      <c r="C8" s="31"/>
      <c r="D8" s="3"/>
      <c r="I8" s="1"/>
      <c r="J8" s="3"/>
      <c r="K8" s="3"/>
      <c r="L8" s="3"/>
      <c r="M8" s="3"/>
      <c r="N8" s="3"/>
      <c r="O8" s="3"/>
      <c r="P8" s="3"/>
      <c r="Q8" s="3"/>
      <c r="R8" s="3"/>
    </row>
    <row r="9" spans="1:20" x14ac:dyDescent="0.3">
      <c r="A9" s="554" t="s">
        <v>547</v>
      </c>
      <c r="B9" s="461"/>
      <c r="C9" s="461"/>
      <c r="D9" s="171"/>
      <c r="E9" s="62"/>
      <c r="F9" s="62"/>
      <c r="G9" s="171"/>
      <c r="H9" s="171"/>
      <c r="I9" s="62"/>
      <c r="J9" s="171"/>
      <c r="K9" s="171"/>
      <c r="L9" s="171"/>
      <c r="M9" s="171"/>
      <c r="N9" s="171"/>
      <c r="O9" s="171"/>
      <c r="P9" s="171"/>
      <c r="Q9" s="171"/>
      <c r="R9" s="171"/>
      <c r="S9" s="62"/>
      <c r="T9" s="62"/>
    </row>
    <row r="10" spans="1:20" x14ac:dyDescent="0.3">
      <c r="A10" s="555"/>
      <c r="B10" s="461"/>
      <c r="C10" s="461"/>
      <c r="D10" s="171"/>
      <c r="E10" s="62"/>
      <c r="F10" s="62"/>
      <c r="G10" s="171"/>
      <c r="H10" s="171"/>
      <c r="I10" s="62"/>
      <c r="J10" s="171"/>
      <c r="K10" s="171"/>
      <c r="L10" s="171"/>
      <c r="M10" s="171"/>
      <c r="N10" s="171"/>
      <c r="O10" s="171"/>
      <c r="P10" s="171"/>
      <c r="Q10" s="171"/>
      <c r="R10" s="171"/>
      <c r="S10" s="62"/>
      <c r="T10" s="62"/>
    </row>
    <row r="11" spans="1:20" x14ac:dyDescent="0.3">
      <c r="A11" s="555"/>
      <c r="B11" s="463" t="s">
        <v>548</v>
      </c>
      <c r="C11" s="463"/>
      <c r="D11" s="171"/>
      <c r="E11" s="62"/>
      <c r="F11" s="62"/>
      <c r="G11" s="171"/>
      <c r="H11" s="171"/>
      <c r="I11" s="62"/>
      <c r="J11" s="171"/>
      <c r="K11" s="171"/>
      <c r="L11" s="171"/>
      <c r="M11" s="171"/>
      <c r="N11" s="171"/>
      <c r="O11" s="171"/>
      <c r="P11" s="171"/>
      <c r="Q11" s="171"/>
      <c r="R11" s="171"/>
      <c r="S11" s="62"/>
      <c r="T11" s="62"/>
    </row>
    <row r="12" spans="1:20" x14ac:dyDescent="0.3">
      <c r="A12" s="555"/>
      <c r="B12" s="464" t="s">
        <v>549</v>
      </c>
      <c r="C12" s="464"/>
      <c r="D12" s="171"/>
      <c r="E12" s="62"/>
      <c r="F12" s="62"/>
      <c r="G12" s="171"/>
      <c r="H12" s="171"/>
      <c r="I12" s="62"/>
      <c r="J12" s="171"/>
      <c r="K12" s="171"/>
      <c r="L12" s="171"/>
      <c r="M12" s="171"/>
      <c r="N12" s="171"/>
      <c r="O12" s="171"/>
      <c r="P12" s="171"/>
      <c r="Q12" s="171"/>
      <c r="R12" s="171"/>
      <c r="S12" s="62"/>
      <c r="T12" s="62"/>
    </row>
    <row r="13" spans="1:20" x14ac:dyDescent="0.3">
      <c r="A13" s="555">
        <v>500</v>
      </c>
      <c r="B13" s="466" t="s">
        <v>551</v>
      </c>
      <c r="C13" s="466"/>
      <c r="D13" s="678"/>
      <c r="E13" s="678"/>
      <c r="F13" s="678"/>
      <c r="G13" s="678"/>
      <c r="H13" s="678"/>
      <c r="I13" s="669"/>
      <c r="J13" s="678"/>
      <c r="K13" s="678"/>
      <c r="L13" s="678"/>
      <c r="M13" s="678"/>
      <c r="N13" s="678"/>
      <c r="O13" s="678"/>
      <c r="P13" s="678"/>
      <c r="Q13" s="678"/>
      <c r="R13" s="171"/>
      <c r="S13" s="62">
        <f>SUM(J13:Q13)</f>
        <v>0</v>
      </c>
      <c r="T13" s="62">
        <f t="shared" ref="T13:T21" si="0">H13-S13</f>
        <v>0</v>
      </c>
    </row>
    <row r="14" spans="1:20" x14ac:dyDescent="0.3">
      <c r="A14" s="555">
        <v>501</v>
      </c>
      <c r="B14" s="461" t="s">
        <v>553</v>
      </c>
      <c r="C14" s="461"/>
      <c r="D14" s="678"/>
      <c r="E14" s="699"/>
      <c r="F14" s="678"/>
      <c r="G14" s="678"/>
      <c r="H14" s="678"/>
      <c r="I14" s="669"/>
      <c r="J14" s="678"/>
      <c r="K14" s="678"/>
      <c r="L14" s="678"/>
      <c r="M14" s="678"/>
      <c r="N14" s="678"/>
      <c r="O14" s="678"/>
      <c r="P14" s="678"/>
      <c r="Q14" s="678"/>
      <c r="R14" s="171"/>
      <c r="S14" s="62">
        <f t="shared" ref="S14:S21" si="1">SUM(J14:Q14)</f>
        <v>0</v>
      </c>
      <c r="T14" s="62">
        <f t="shared" si="0"/>
        <v>0</v>
      </c>
    </row>
    <row r="15" spans="1:20" x14ac:dyDescent="0.3">
      <c r="A15" s="555">
        <v>501</v>
      </c>
      <c r="B15" s="466" t="s">
        <v>554</v>
      </c>
      <c r="C15" s="466"/>
      <c r="D15" s="678"/>
      <c r="E15" s="679"/>
      <c r="F15" s="678"/>
      <c r="G15" s="678"/>
      <c r="H15" s="678"/>
      <c r="I15" s="669"/>
      <c r="J15" s="678"/>
      <c r="K15" s="678"/>
      <c r="L15" s="678"/>
      <c r="M15" s="678"/>
      <c r="N15" s="678"/>
      <c r="O15" s="678"/>
      <c r="P15" s="678"/>
      <c r="Q15" s="678"/>
      <c r="R15" s="171"/>
      <c r="S15" s="62">
        <f t="shared" si="1"/>
        <v>0</v>
      </c>
      <c r="T15" s="62">
        <f t="shared" si="0"/>
        <v>0</v>
      </c>
    </row>
    <row r="16" spans="1:20" x14ac:dyDescent="0.3">
      <c r="A16" s="555">
        <v>502</v>
      </c>
      <c r="B16" s="461" t="s">
        <v>556</v>
      </c>
      <c r="C16" s="461"/>
      <c r="D16" s="678"/>
      <c r="E16" s="699"/>
      <c r="F16" s="678"/>
      <c r="G16" s="678"/>
      <c r="H16" s="678"/>
      <c r="I16" s="669"/>
      <c r="J16" s="678"/>
      <c r="K16" s="678"/>
      <c r="L16" s="678"/>
      <c r="M16" s="678"/>
      <c r="N16" s="678"/>
      <c r="O16" s="678"/>
      <c r="P16" s="678"/>
      <c r="Q16" s="678"/>
      <c r="R16" s="171"/>
      <c r="S16" s="62">
        <f t="shared" si="1"/>
        <v>0</v>
      </c>
      <c r="T16" s="62">
        <f t="shared" si="0"/>
        <v>0</v>
      </c>
    </row>
    <row r="17" spans="1:20" x14ac:dyDescent="0.3">
      <c r="A17" s="555">
        <v>503</v>
      </c>
      <c r="B17" s="461" t="s">
        <v>558</v>
      </c>
      <c r="C17" s="461"/>
      <c r="D17" s="678"/>
      <c r="E17" s="699"/>
      <c r="F17" s="678"/>
      <c r="G17" s="678"/>
      <c r="H17" s="678"/>
      <c r="I17" s="669"/>
      <c r="J17" s="678"/>
      <c r="K17" s="678"/>
      <c r="L17" s="678"/>
      <c r="M17" s="678"/>
      <c r="N17" s="678"/>
      <c r="O17" s="678"/>
      <c r="P17" s="678"/>
      <c r="Q17" s="678"/>
      <c r="R17" s="171"/>
      <c r="S17" s="62">
        <f t="shared" si="1"/>
        <v>0</v>
      </c>
      <c r="T17" s="62">
        <f t="shared" si="0"/>
        <v>0</v>
      </c>
    </row>
    <row r="18" spans="1:20" x14ac:dyDescent="0.3">
      <c r="A18" s="555">
        <v>505</v>
      </c>
      <c r="B18" s="461" t="s">
        <v>560</v>
      </c>
      <c r="C18" s="461"/>
      <c r="D18" s="678"/>
      <c r="E18" s="699"/>
      <c r="F18" s="678"/>
      <c r="G18" s="678"/>
      <c r="H18" s="678"/>
      <c r="I18" s="669"/>
      <c r="J18" s="678"/>
      <c r="K18" s="678"/>
      <c r="L18" s="678"/>
      <c r="M18" s="678"/>
      <c r="N18" s="678"/>
      <c r="O18" s="678"/>
      <c r="P18" s="678"/>
      <c r="Q18" s="678"/>
      <c r="R18" s="171"/>
      <c r="S18" s="62">
        <f t="shared" si="1"/>
        <v>0</v>
      </c>
      <c r="T18" s="62">
        <f t="shared" si="0"/>
        <v>0</v>
      </c>
    </row>
    <row r="19" spans="1:20" x14ac:dyDescent="0.3">
      <c r="A19" s="555">
        <v>506</v>
      </c>
      <c r="B19" s="461" t="s">
        <v>562</v>
      </c>
      <c r="C19" s="461"/>
      <c r="D19" s="678"/>
      <c r="E19" s="699"/>
      <c r="F19" s="678"/>
      <c r="G19" s="678"/>
      <c r="H19" s="678"/>
      <c r="I19" s="669"/>
      <c r="J19" s="678"/>
      <c r="K19" s="678"/>
      <c r="L19" s="678"/>
      <c r="M19" s="678"/>
      <c r="N19" s="678"/>
      <c r="O19" s="678"/>
      <c r="P19" s="678"/>
      <c r="Q19" s="678"/>
      <c r="R19" s="171"/>
      <c r="S19" s="62">
        <f t="shared" si="1"/>
        <v>0</v>
      </c>
      <c r="T19" s="62">
        <f t="shared" si="0"/>
        <v>0</v>
      </c>
    </row>
    <row r="20" spans="1:20" x14ac:dyDescent="0.3">
      <c r="A20" s="555">
        <v>507</v>
      </c>
      <c r="B20" s="461" t="s">
        <v>564</v>
      </c>
      <c r="C20" s="461"/>
      <c r="D20" s="678"/>
      <c r="E20" s="678"/>
      <c r="F20" s="678"/>
      <c r="G20" s="678"/>
      <c r="H20" s="678"/>
      <c r="I20" s="669"/>
      <c r="J20" s="678"/>
      <c r="K20" s="678"/>
      <c r="L20" s="678"/>
      <c r="M20" s="678"/>
      <c r="N20" s="678"/>
      <c r="O20" s="678"/>
      <c r="P20" s="678"/>
      <c r="Q20" s="678"/>
      <c r="R20" s="171"/>
      <c r="S20" s="62">
        <f t="shared" si="1"/>
        <v>0</v>
      </c>
      <c r="T20" s="62">
        <f t="shared" si="0"/>
        <v>0</v>
      </c>
    </row>
    <row r="21" spans="1:20" s="1" customFormat="1" ht="14.5" x14ac:dyDescent="0.45">
      <c r="A21" s="555">
        <v>508</v>
      </c>
      <c r="B21" s="461" t="s">
        <v>888</v>
      </c>
      <c r="C21" s="461"/>
      <c r="D21" s="681"/>
      <c r="E21" s="681"/>
      <c r="F21" s="681"/>
      <c r="G21" s="681"/>
      <c r="H21" s="681"/>
      <c r="I21" s="701"/>
      <c r="J21" s="681"/>
      <c r="K21" s="678"/>
      <c r="L21" s="678"/>
      <c r="M21" s="678"/>
      <c r="N21" s="678"/>
      <c r="O21" s="678"/>
      <c r="P21" s="678"/>
      <c r="Q21" s="678"/>
      <c r="R21" s="171"/>
      <c r="S21" s="62">
        <f t="shared" si="1"/>
        <v>0</v>
      </c>
      <c r="T21" s="62">
        <f t="shared" si="0"/>
        <v>0</v>
      </c>
    </row>
    <row r="22" spans="1:20" x14ac:dyDescent="0.3">
      <c r="A22" s="555"/>
      <c r="B22" s="474" t="s">
        <v>524</v>
      </c>
      <c r="C22" s="474"/>
      <c r="D22" s="678"/>
      <c r="E22" s="678"/>
      <c r="F22" s="678"/>
      <c r="G22" s="678"/>
      <c r="H22" s="678"/>
      <c r="I22" s="678"/>
      <c r="J22" s="678"/>
      <c r="K22" s="678"/>
      <c r="L22" s="678"/>
      <c r="M22" s="678"/>
      <c r="N22" s="678"/>
      <c r="O22" s="678"/>
      <c r="P22" s="678"/>
      <c r="Q22" s="678"/>
      <c r="R22" s="171"/>
      <c r="S22" s="62"/>
      <c r="T22" s="62"/>
    </row>
    <row r="23" spans="1:20" s="1" customFormat="1" x14ac:dyDescent="0.3">
      <c r="A23" s="555"/>
      <c r="B23" s="461"/>
      <c r="C23" s="461"/>
      <c r="D23" s="678"/>
      <c r="E23" s="677"/>
      <c r="F23" s="677"/>
      <c r="G23" s="678"/>
      <c r="H23" s="678"/>
      <c r="I23" s="677"/>
      <c r="J23" s="678"/>
      <c r="K23" s="678"/>
      <c r="L23" s="678"/>
      <c r="M23" s="678"/>
      <c r="N23" s="678"/>
      <c r="O23" s="678"/>
      <c r="P23" s="678"/>
      <c r="Q23" s="678"/>
      <c r="R23" s="171"/>
      <c r="S23" s="62"/>
      <c r="T23" s="62"/>
    </row>
    <row r="24" spans="1:20" s="1" customFormat="1" x14ac:dyDescent="0.3">
      <c r="A24" s="555"/>
      <c r="B24" s="464" t="s">
        <v>565</v>
      </c>
      <c r="C24" s="464"/>
      <c r="D24" s="678"/>
      <c r="E24" s="677"/>
      <c r="F24" s="677"/>
      <c r="G24" s="678"/>
      <c r="H24" s="678"/>
      <c r="I24" s="677"/>
      <c r="J24" s="678"/>
      <c r="K24" s="678"/>
      <c r="L24" s="678"/>
      <c r="M24" s="678"/>
      <c r="N24" s="678"/>
      <c r="O24" s="678"/>
      <c r="P24" s="678"/>
      <c r="Q24" s="678"/>
      <c r="R24" s="171"/>
      <c r="S24" s="62">
        <f t="shared" ref="S24:S31" si="2">SUM(J24:Q24)</f>
        <v>0</v>
      </c>
      <c r="T24" s="62">
        <f t="shared" ref="T24:T31" si="3">H24-S24</f>
        <v>0</v>
      </c>
    </row>
    <row r="25" spans="1:20" x14ac:dyDescent="0.3">
      <c r="A25" s="555">
        <v>510</v>
      </c>
      <c r="B25" s="466" t="s">
        <v>567</v>
      </c>
      <c r="C25" s="466"/>
      <c r="D25" s="678"/>
      <c r="E25" s="699"/>
      <c r="F25" s="678"/>
      <c r="G25" s="678"/>
      <c r="H25" s="678"/>
      <c r="I25" s="669"/>
      <c r="J25" s="678"/>
      <c r="K25" s="678"/>
      <c r="L25" s="678"/>
      <c r="M25" s="678"/>
      <c r="N25" s="678"/>
      <c r="O25" s="678"/>
      <c r="P25" s="678"/>
      <c r="Q25" s="678"/>
      <c r="R25" s="171"/>
      <c r="S25" s="62">
        <f t="shared" si="2"/>
        <v>0</v>
      </c>
      <c r="T25" s="62">
        <f t="shared" si="3"/>
        <v>0</v>
      </c>
    </row>
    <row r="26" spans="1:20" x14ac:dyDescent="0.3">
      <c r="A26" s="555">
        <v>511</v>
      </c>
      <c r="B26" s="466" t="s">
        <v>569</v>
      </c>
      <c r="C26" s="466"/>
      <c r="D26" s="678"/>
      <c r="E26" s="699"/>
      <c r="F26" s="678"/>
      <c r="G26" s="678"/>
      <c r="H26" s="678"/>
      <c r="I26" s="669"/>
      <c r="J26" s="678"/>
      <c r="K26" s="678"/>
      <c r="L26" s="678"/>
      <c r="M26" s="678"/>
      <c r="N26" s="678"/>
      <c r="O26" s="678"/>
      <c r="P26" s="678"/>
      <c r="Q26" s="678"/>
      <c r="R26" s="171"/>
      <c r="S26" s="62">
        <f t="shared" si="2"/>
        <v>0</v>
      </c>
      <c r="T26" s="62">
        <f t="shared" si="3"/>
        <v>0</v>
      </c>
    </row>
    <row r="27" spans="1:20" x14ac:dyDescent="0.3">
      <c r="A27" s="555">
        <v>512</v>
      </c>
      <c r="B27" s="461" t="s">
        <v>571</v>
      </c>
      <c r="C27" s="461"/>
      <c r="D27" s="678"/>
      <c r="E27" s="699"/>
      <c r="F27" s="678"/>
      <c r="G27" s="678"/>
      <c r="H27" s="678"/>
      <c r="I27" s="669"/>
      <c r="J27" s="678"/>
      <c r="K27" s="678"/>
      <c r="L27" s="678"/>
      <c r="M27" s="678"/>
      <c r="N27" s="678"/>
      <c r="O27" s="678"/>
      <c r="P27" s="678"/>
      <c r="Q27" s="678"/>
      <c r="R27" s="171"/>
      <c r="S27" s="62">
        <f t="shared" si="2"/>
        <v>0</v>
      </c>
      <c r="T27" s="62">
        <f t="shared" si="3"/>
        <v>0</v>
      </c>
    </row>
    <row r="28" spans="1:20" x14ac:dyDescent="0.3">
      <c r="A28" s="555">
        <v>513</v>
      </c>
      <c r="B28" s="461" t="s">
        <v>573</v>
      </c>
      <c r="C28" s="461"/>
      <c r="D28" s="678"/>
      <c r="E28" s="699"/>
      <c r="F28" s="678"/>
      <c r="G28" s="678"/>
      <c r="H28" s="678"/>
      <c r="I28" s="669"/>
      <c r="J28" s="678"/>
      <c r="K28" s="678"/>
      <c r="L28" s="678"/>
      <c r="M28" s="678"/>
      <c r="N28" s="678"/>
      <c r="O28" s="678"/>
      <c r="P28" s="678"/>
      <c r="Q28" s="678"/>
      <c r="R28" s="171"/>
      <c r="S28" s="62">
        <f t="shared" si="2"/>
        <v>0</v>
      </c>
      <c r="T28" s="62">
        <f t="shared" si="3"/>
        <v>0</v>
      </c>
    </row>
    <row r="29" spans="1:20" x14ac:dyDescent="0.3">
      <c r="A29" s="555">
        <v>514</v>
      </c>
      <c r="B29" s="461" t="s">
        <v>575</v>
      </c>
      <c r="C29" s="461"/>
      <c r="D29" s="678"/>
      <c r="E29" s="702"/>
      <c r="F29" s="678"/>
      <c r="G29" s="678"/>
      <c r="H29" s="678"/>
      <c r="I29" s="669"/>
      <c r="J29" s="678"/>
      <c r="K29" s="678"/>
      <c r="L29" s="678"/>
      <c r="M29" s="678"/>
      <c r="N29" s="678"/>
      <c r="O29" s="678"/>
      <c r="P29" s="678"/>
      <c r="Q29" s="678"/>
      <c r="R29" s="171"/>
      <c r="S29" s="62">
        <f t="shared" si="2"/>
        <v>0</v>
      </c>
      <c r="T29" s="62">
        <f t="shared" si="3"/>
        <v>0</v>
      </c>
    </row>
    <row r="30" spans="1:20" s="1" customFormat="1" ht="14.5" x14ac:dyDescent="0.45">
      <c r="A30" s="555">
        <v>516</v>
      </c>
      <c r="B30" s="461" t="s">
        <v>886</v>
      </c>
      <c r="C30" s="461"/>
      <c r="D30" s="681"/>
      <c r="E30" s="706"/>
      <c r="F30" s="681"/>
      <c r="G30" s="681"/>
      <c r="H30" s="681"/>
      <c r="I30" s="701"/>
      <c r="J30" s="681"/>
      <c r="K30" s="678"/>
      <c r="L30" s="678"/>
      <c r="M30" s="678"/>
      <c r="N30" s="678"/>
      <c r="O30" s="678"/>
      <c r="P30" s="678"/>
      <c r="Q30" s="678"/>
      <c r="R30" s="171"/>
      <c r="S30" s="62">
        <f t="shared" si="2"/>
        <v>0</v>
      </c>
      <c r="T30" s="62">
        <f t="shared" si="3"/>
        <v>0</v>
      </c>
    </row>
    <row r="31" spans="1:20" x14ac:dyDescent="0.3">
      <c r="A31" s="555"/>
      <c r="B31" s="474" t="s">
        <v>524</v>
      </c>
      <c r="C31" s="474"/>
      <c r="D31" s="678"/>
      <c r="E31" s="703"/>
      <c r="F31" s="678"/>
      <c r="G31" s="678"/>
      <c r="H31" s="678"/>
      <c r="I31" s="678"/>
      <c r="J31" s="678"/>
      <c r="K31" s="678"/>
      <c r="L31" s="678"/>
      <c r="M31" s="678"/>
      <c r="N31" s="678"/>
      <c r="O31" s="678"/>
      <c r="P31" s="678"/>
      <c r="Q31" s="678"/>
      <c r="R31" s="171"/>
      <c r="S31" s="62">
        <f t="shared" si="2"/>
        <v>0</v>
      </c>
      <c r="T31" s="62">
        <f t="shared" si="3"/>
        <v>0</v>
      </c>
    </row>
    <row r="32" spans="1:20" s="1" customFormat="1" x14ac:dyDescent="0.3">
      <c r="A32" s="555"/>
      <c r="B32" s="474"/>
      <c r="C32" s="474"/>
      <c r="D32" s="678"/>
      <c r="E32" s="703"/>
      <c r="F32" s="703"/>
      <c r="G32" s="678"/>
      <c r="H32" s="678"/>
      <c r="I32" s="677"/>
      <c r="J32" s="678"/>
      <c r="K32" s="678"/>
      <c r="L32" s="678"/>
      <c r="M32" s="678"/>
      <c r="N32" s="678"/>
      <c r="O32" s="678"/>
      <c r="P32" s="678"/>
      <c r="Q32" s="678"/>
      <c r="R32" s="171"/>
      <c r="S32" s="62"/>
      <c r="T32" s="62"/>
    </row>
    <row r="33" spans="1:20" x14ac:dyDescent="0.3">
      <c r="A33" s="555">
        <v>515</v>
      </c>
      <c r="B33" s="461" t="s">
        <v>577</v>
      </c>
      <c r="C33" s="461"/>
      <c r="D33" s="678"/>
      <c r="E33" s="699"/>
      <c r="F33" s="678"/>
      <c r="G33" s="678"/>
      <c r="H33" s="678"/>
      <c r="I33" s="678"/>
      <c r="J33" s="678"/>
      <c r="K33" s="678"/>
      <c r="L33" s="678"/>
      <c r="M33" s="678"/>
      <c r="N33" s="678"/>
      <c r="O33" s="678"/>
      <c r="P33" s="678"/>
      <c r="Q33" s="678"/>
      <c r="R33" s="171"/>
      <c r="S33" s="62">
        <f>SUM(J33:Q33)</f>
        <v>0</v>
      </c>
      <c r="T33" s="62">
        <f>H33-S33</f>
        <v>0</v>
      </c>
    </row>
    <row r="34" spans="1:20" s="1" customFormat="1" x14ac:dyDescent="0.3">
      <c r="A34" s="555"/>
      <c r="B34" s="461"/>
      <c r="C34" s="461"/>
      <c r="D34" s="678"/>
      <c r="E34" s="677"/>
      <c r="F34" s="677"/>
      <c r="G34" s="678"/>
      <c r="H34" s="678"/>
      <c r="I34" s="677"/>
      <c r="J34" s="678"/>
      <c r="K34" s="678"/>
      <c r="L34" s="678"/>
      <c r="M34" s="678"/>
      <c r="N34" s="678"/>
      <c r="O34" s="678"/>
      <c r="P34" s="678"/>
      <c r="Q34" s="678"/>
      <c r="R34" s="171"/>
      <c r="S34" s="62"/>
      <c r="T34" s="62"/>
    </row>
    <row r="35" spans="1:20" s="1" customFormat="1" x14ac:dyDescent="0.3">
      <c r="A35" s="555"/>
      <c r="B35" s="463" t="s">
        <v>578</v>
      </c>
      <c r="C35" s="463"/>
      <c r="D35" s="678"/>
      <c r="E35" s="677"/>
      <c r="F35" s="677"/>
      <c r="G35" s="678"/>
      <c r="H35" s="678"/>
      <c r="I35" s="677"/>
      <c r="J35" s="678"/>
      <c r="K35" s="678"/>
      <c r="L35" s="678"/>
      <c r="M35" s="678"/>
      <c r="N35" s="678"/>
      <c r="O35" s="678"/>
      <c r="P35" s="678"/>
      <c r="Q35" s="678"/>
      <c r="R35" s="171"/>
      <c r="S35" s="62"/>
      <c r="T35" s="62"/>
    </row>
    <row r="36" spans="1:20" s="1" customFormat="1" x14ac:dyDescent="0.3">
      <c r="A36" s="555"/>
      <c r="B36" s="464" t="s">
        <v>549</v>
      </c>
      <c r="C36" s="464"/>
      <c r="D36" s="678"/>
      <c r="E36" s="677"/>
      <c r="F36" s="677"/>
      <c r="G36" s="678"/>
      <c r="H36" s="678"/>
      <c r="I36" s="677"/>
      <c r="J36" s="678"/>
      <c r="K36" s="678"/>
      <c r="L36" s="678"/>
      <c r="M36" s="678"/>
      <c r="N36" s="678"/>
      <c r="O36" s="678"/>
      <c r="P36" s="678"/>
      <c r="Q36" s="678"/>
      <c r="R36" s="171"/>
      <c r="S36" s="62"/>
      <c r="T36" s="62"/>
    </row>
    <row r="37" spans="1:20" x14ac:dyDescent="0.3">
      <c r="A37" s="555">
        <v>517</v>
      </c>
      <c r="B37" s="461" t="s">
        <v>580</v>
      </c>
      <c r="C37" s="461"/>
      <c r="D37" s="678"/>
      <c r="E37" s="699"/>
      <c r="F37" s="678"/>
      <c r="G37" s="678"/>
      <c r="H37" s="678"/>
      <c r="I37" s="678"/>
      <c r="J37" s="678"/>
      <c r="K37" s="678"/>
      <c r="L37" s="678"/>
      <c r="M37" s="678"/>
      <c r="N37" s="678"/>
      <c r="O37" s="678"/>
      <c r="P37" s="678"/>
      <c r="Q37" s="678"/>
      <c r="R37" s="171"/>
      <c r="S37" s="62">
        <f t="shared" ref="S37:S44" si="4">SUM(J37:Q37)</f>
        <v>0</v>
      </c>
      <c r="T37" s="62">
        <f t="shared" ref="T37:T44" si="5">H37-S37</f>
        <v>0</v>
      </c>
    </row>
    <row r="38" spans="1:20" x14ac:dyDescent="0.3">
      <c r="A38" s="555">
        <v>518</v>
      </c>
      <c r="B38" s="461" t="s">
        <v>582</v>
      </c>
      <c r="C38" s="461"/>
      <c r="D38" s="678"/>
      <c r="E38" s="699"/>
      <c r="F38" s="678"/>
      <c r="G38" s="678"/>
      <c r="H38" s="678"/>
      <c r="I38" s="678"/>
      <c r="J38" s="678"/>
      <c r="K38" s="678"/>
      <c r="L38" s="678"/>
      <c r="M38" s="678"/>
      <c r="N38" s="678"/>
      <c r="O38" s="678"/>
      <c r="P38" s="678"/>
      <c r="Q38" s="678"/>
      <c r="R38" s="171"/>
      <c r="S38" s="62">
        <f t="shared" si="4"/>
        <v>0</v>
      </c>
      <c r="T38" s="62">
        <f t="shared" si="5"/>
        <v>0</v>
      </c>
    </row>
    <row r="39" spans="1:20" x14ac:dyDescent="0.3">
      <c r="A39" s="555">
        <v>519</v>
      </c>
      <c r="B39" s="461" t="s">
        <v>584</v>
      </c>
      <c r="C39" s="461"/>
      <c r="D39" s="678"/>
      <c r="E39" s="699"/>
      <c r="F39" s="678"/>
      <c r="G39" s="678"/>
      <c r="H39" s="678"/>
      <c r="I39" s="678"/>
      <c r="J39" s="678"/>
      <c r="K39" s="678"/>
      <c r="L39" s="678"/>
      <c r="M39" s="678"/>
      <c r="N39" s="678"/>
      <c r="O39" s="678"/>
      <c r="P39" s="678"/>
      <c r="Q39" s="678"/>
      <c r="R39" s="171"/>
      <c r="S39" s="62">
        <f t="shared" si="4"/>
        <v>0</v>
      </c>
      <c r="T39" s="62">
        <f t="shared" si="5"/>
        <v>0</v>
      </c>
    </row>
    <row r="40" spans="1:20" x14ac:dyDescent="0.3">
      <c r="A40" s="555">
        <v>520</v>
      </c>
      <c r="B40" s="461" t="s">
        <v>556</v>
      </c>
      <c r="C40" s="461"/>
      <c r="D40" s="678"/>
      <c r="E40" s="699"/>
      <c r="F40" s="678"/>
      <c r="G40" s="678"/>
      <c r="H40" s="678"/>
      <c r="I40" s="678"/>
      <c r="J40" s="678"/>
      <c r="K40" s="678"/>
      <c r="L40" s="678"/>
      <c r="M40" s="678"/>
      <c r="N40" s="678"/>
      <c r="O40" s="678"/>
      <c r="P40" s="678"/>
      <c r="Q40" s="678"/>
      <c r="R40" s="171"/>
      <c r="S40" s="62">
        <f t="shared" si="4"/>
        <v>0</v>
      </c>
      <c r="T40" s="62">
        <f t="shared" si="5"/>
        <v>0</v>
      </c>
    </row>
    <row r="41" spans="1:20" x14ac:dyDescent="0.3">
      <c r="A41" s="555">
        <v>523</v>
      </c>
      <c r="B41" s="466" t="s">
        <v>587</v>
      </c>
      <c r="C41" s="466"/>
      <c r="D41" s="678"/>
      <c r="E41" s="699"/>
      <c r="F41" s="678"/>
      <c r="G41" s="678"/>
      <c r="H41" s="678"/>
      <c r="I41" s="678"/>
      <c r="J41" s="678"/>
      <c r="K41" s="678"/>
      <c r="L41" s="678"/>
      <c r="M41" s="678"/>
      <c r="N41" s="678"/>
      <c r="O41" s="678"/>
      <c r="P41" s="678"/>
      <c r="Q41" s="678"/>
      <c r="R41" s="171"/>
      <c r="S41" s="62">
        <f t="shared" si="4"/>
        <v>0</v>
      </c>
      <c r="T41" s="62">
        <f t="shared" si="5"/>
        <v>0</v>
      </c>
    </row>
    <row r="42" spans="1:20" x14ac:dyDescent="0.3">
      <c r="A42" s="555">
        <v>524</v>
      </c>
      <c r="B42" s="461" t="s">
        <v>589</v>
      </c>
      <c r="C42" s="461" t="s">
        <v>1055</v>
      </c>
      <c r="D42" s="678"/>
      <c r="E42" s="699"/>
      <c r="F42" s="678"/>
      <c r="G42" s="678"/>
      <c r="H42" s="678"/>
      <c r="I42" s="678"/>
      <c r="J42" s="678"/>
      <c r="K42" s="678"/>
      <c r="L42" s="678"/>
      <c r="M42" s="678"/>
      <c r="N42" s="678"/>
      <c r="O42" s="678"/>
      <c r="P42" s="678"/>
      <c r="Q42" s="678"/>
      <c r="R42" s="171"/>
      <c r="S42" s="62">
        <f t="shared" si="4"/>
        <v>0</v>
      </c>
      <c r="T42" s="62">
        <f t="shared" si="5"/>
        <v>0</v>
      </c>
    </row>
    <row r="43" spans="1:20" ht="14.5" x14ac:dyDescent="0.45">
      <c r="A43" s="556">
        <v>525</v>
      </c>
      <c r="B43" s="461" t="s">
        <v>591</v>
      </c>
      <c r="C43" s="461"/>
      <c r="D43" s="681"/>
      <c r="E43" s="704"/>
      <c r="F43" s="681"/>
      <c r="G43" s="678"/>
      <c r="H43" s="682"/>
      <c r="I43" s="681"/>
      <c r="J43" s="682"/>
      <c r="K43" s="678"/>
      <c r="L43" s="678"/>
      <c r="M43" s="678"/>
      <c r="N43" s="678"/>
      <c r="O43" s="678"/>
      <c r="P43" s="678"/>
      <c r="Q43" s="678"/>
      <c r="R43" s="171"/>
      <c r="S43" s="62">
        <f t="shared" si="4"/>
        <v>0</v>
      </c>
      <c r="T43" s="62">
        <f t="shared" si="5"/>
        <v>0</v>
      </c>
    </row>
    <row r="44" spans="1:20" x14ac:dyDescent="0.3">
      <c r="A44" s="555"/>
      <c r="B44" s="474" t="s">
        <v>524</v>
      </c>
      <c r="C44" s="474"/>
      <c r="D44" s="678"/>
      <c r="E44" s="703"/>
      <c r="F44" s="678"/>
      <c r="G44" s="678"/>
      <c r="H44" s="678"/>
      <c r="I44" s="678"/>
      <c r="J44" s="678"/>
      <c r="K44" s="678"/>
      <c r="L44" s="678"/>
      <c r="M44" s="678"/>
      <c r="N44" s="678"/>
      <c r="O44" s="678"/>
      <c r="P44" s="678"/>
      <c r="Q44" s="678"/>
      <c r="R44" s="171"/>
      <c r="S44" s="62">
        <f t="shared" si="4"/>
        <v>0</v>
      </c>
      <c r="T44" s="62">
        <f t="shared" si="5"/>
        <v>0</v>
      </c>
    </row>
    <row r="45" spans="1:20" s="1" customFormat="1" x14ac:dyDescent="0.3">
      <c r="A45" s="555"/>
      <c r="B45" s="461"/>
      <c r="C45" s="461"/>
      <c r="D45" s="678"/>
      <c r="E45" s="677"/>
      <c r="F45" s="677"/>
      <c r="G45" s="678"/>
      <c r="H45" s="678"/>
      <c r="I45" s="677"/>
      <c r="J45" s="678"/>
      <c r="K45" s="678"/>
      <c r="L45" s="678"/>
      <c r="M45" s="678"/>
      <c r="N45" s="678"/>
      <c r="O45" s="678"/>
      <c r="P45" s="678"/>
      <c r="Q45" s="678"/>
      <c r="R45" s="171"/>
      <c r="S45" s="62"/>
      <c r="T45" s="62"/>
    </row>
    <row r="46" spans="1:20" s="1" customFormat="1" x14ac:dyDescent="0.3">
      <c r="A46" s="555"/>
      <c r="B46" s="464" t="s">
        <v>565</v>
      </c>
      <c r="C46" s="464"/>
      <c r="D46" s="678"/>
      <c r="E46" s="677"/>
      <c r="F46" s="677"/>
      <c r="G46" s="678"/>
      <c r="H46" s="678"/>
      <c r="I46" s="677"/>
      <c r="J46" s="678"/>
      <c r="K46" s="678"/>
      <c r="L46" s="678"/>
      <c r="M46" s="678"/>
      <c r="N46" s="678"/>
      <c r="O46" s="678"/>
      <c r="P46" s="678"/>
      <c r="Q46" s="678"/>
      <c r="R46" s="171"/>
      <c r="S46" s="62"/>
      <c r="T46" s="62"/>
    </row>
    <row r="47" spans="1:20" x14ac:dyDescent="0.3">
      <c r="A47" s="555">
        <v>528</v>
      </c>
      <c r="B47" s="461" t="s">
        <v>593</v>
      </c>
      <c r="C47" s="461"/>
      <c r="D47" s="678"/>
      <c r="E47" s="703"/>
      <c r="F47" s="678"/>
      <c r="G47" s="678"/>
      <c r="H47" s="678"/>
      <c r="I47" s="678"/>
      <c r="J47" s="678"/>
      <c r="K47" s="678"/>
      <c r="L47" s="678"/>
      <c r="M47" s="678"/>
      <c r="N47" s="678"/>
      <c r="O47" s="678"/>
      <c r="P47" s="678"/>
      <c r="Q47" s="678"/>
      <c r="R47" s="171"/>
      <c r="S47" s="62">
        <f t="shared" ref="S47:S52" si="6">SUM(J47:Q47)</f>
        <v>0</v>
      </c>
      <c r="T47" s="62">
        <f t="shared" ref="T47:T52" si="7">H47-S47</f>
        <v>0</v>
      </c>
    </row>
    <row r="48" spans="1:20" x14ac:dyDescent="0.3">
      <c r="A48" s="555">
        <v>529</v>
      </c>
      <c r="B48" s="461" t="s">
        <v>569</v>
      </c>
      <c r="C48" s="461"/>
      <c r="D48" s="678"/>
      <c r="E48" s="703"/>
      <c r="F48" s="678"/>
      <c r="G48" s="678"/>
      <c r="H48" s="678"/>
      <c r="I48" s="678"/>
      <c r="J48" s="678"/>
      <c r="K48" s="678"/>
      <c r="L48" s="678"/>
      <c r="M48" s="678"/>
      <c r="N48" s="678"/>
      <c r="O48" s="678"/>
      <c r="P48" s="678"/>
      <c r="Q48" s="678"/>
      <c r="R48" s="171"/>
      <c r="S48" s="62">
        <f t="shared" si="6"/>
        <v>0</v>
      </c>
      <c r="T48" s="62">
        <f t="shared" si="7"/>
        <v>0</v>
      </c>
    </row>
    <row r="49" spans="1:20" x14ac:dyDescent="0.3">
      <c r="A49" s="555">
        <v>530</v>
      </c>
      <c r="B49" s="461" t="s">
        <v>596</v>
      </c>
      <c r="C49" s="461"/>
      <c r="D49" s="678"/>
      <c r="E49" s="703"/>
      <c r="F49" s="678"/>
      <c r="G49" s="678"/>
      <c r="H49" s="678"/>
      <c r="I49" s="678"/>
      <c r="J49" s="678"/>
      <c r="K49" s="678"/>
      <c r="L49" s="678"/>
      <c r="M49" s="678"/>
      <c r="N49" s="678"/>
      <c r="O49" s="678"/>
      <c r="P49" s="678"/>
      <c r="Q49" s="678"/>
      <c r="R49" s="171"/>
      <c r="S49" s="62">
        <f t="shared" si="6"/>
        <v>0</v>
      </c>
      <c r="T49" s="62">
        <f t="shared" si="7"/>
        <v>0</v>
      </c>
    </row>
    <row r="50" spans="1:20" x14ac:dyDescent="0.3">
      <c r="A50" s="555">
        <v>531</v>
      </c>
      <c r="B50" s="461" t="s">
        <v>573</v>
      </c>
      <c r="C50" s="461"/>
      <c r="D50" s="678"/>
      <c r="E50" s="703"/>
      <c r="F50" s="678"/>
      <c r="G50" s="678"/>
      <c r="H50" s="678"/>
      <c r="I50" s="678"/>
      <c r="J50" s="678"/>
      <c r="K50" s="678"/>
      <c r="L50" s="678"/>
      <c r="M50" s="678"/>
      <c r="N50" s="678"/>
      <c r="O50" s="678"/>
      <c r="P50" s="678"/>
      <c r="Q50" s="678"/>
      <c r="R50" s="171"/>
      <c r="S50" s="62">
        <f t="shared" si="6"/>
        <v>0</v>
      </c>
      <c r="T50" s="62">
        <f t="shared" si="7"/>
        <v>0</v>
      </c>
    </row>
    <row r="51" spans="1:20" ht="14.5" x14ac:dyDescent="0.45">
      <c r="A51" s="555">
        <v>532</v>
      </c>
      <c r="B51" s="461" t="s">
        <v>599</v>
      </c>
      <c r="C51" s="461"/>
      <c r="D51" s="681"/>
      <c r="E51" s="704"/>
      <c r="F51" s="681"/>
      <c r="G51" s="678"/>
      <c r="H51" s="682"/>
      <c r="I51" s="681"/>
      <c r="J51" s="682"/>
      <c r="K51" s="678"/>
      <c r="L51" s="678"/>
      <c r="M51" s="678"/>
      <c r="N51" s="678"/>
      <c r="O51" s="678"/>
      <c r="P51" s="678"/>
      <c r="Q51" s="678"/>
      <c r="R51" s="171"/>
      <c r="S51" s="62">
        <f t="shared" si="6"/>
        <v>0</v>
      </c>
      <c r="T51" s="62">
        <f t="shared" si="7"/>
        <v>0</v>
      </c>
    </row>
    <row r="52" spans="1:20" x14ac:dyDescent="0.3">
      <c r="A52" s="555"/>
      <c r="B52" s="474" t="s">
        <v>524</v>
      </c>
      <c r="C52" s="474"/>
      <c r="D52" s="678"/>
      <c r="E52" s="703"/>
      <c r="F52" s="678"/>
      <c r="G52" s="678"/>
      <c r="H52" s="678"/>
      <c r="I52" s="678"/>
      <c r="J52" s="678"/>
      <c r="K52" s="678"/>
      <c r="L52" s="678"/>
      <c r="M52" s="678"/>
      <c r="N52" s="678"/>
      <c r="O52" s="678"/>
      <c r="P52" s="678"/>
      <c r="Q52" s="678"/>
      <c r="R52" s="171"/>
      <c r="S52" s="62">
        <f t="shared" si="6"/>
        <v>0</v>
      </c>
      <c r="T52" s="62">
        <f t="shared" si="7"/>
        <v>0</v>
      </c>
    </row>
    <row r="53" spans="1:20" s="1" customFormat="1" x14ac:dyDescent="0.3">
      <c r="A53" s="555"/>
      <c r="B53" s="461"/>
      <c r="C53" s="461"/>
      <c r="D53" s="678"/>
      <c r="E53" s="677"/>
      <c r="F53" s="677"/>
      <c r="G53" s="678"/>
      <c r="H53" s="678"/>
      <c r="I53" s="677"/>
      <c r="J53" s="678"/>
      <c r="K53" s="678"/>
      <c r="L53" s="678"/>
      <c r="M53" s="678"/>
      <c r="N53" s="678"/>
      <c r="O53" s="678"/>
      <c r="P53" s="678"/>
      <c r="Q53" s="678"/>
      <c r="R53" s="171"/>
      <c r="S53" s="62"/>
      <c r="T53" s="62"/>
    </row>
    <row r="54" spans="1:20" s="1" customFormat="1" x14ac:dyDescent="0.3">
      <c r="A54" s="555"/>
      <c r="B54" s="477" t="s">
        <v>1327</v>
      </c>
      <c r="C54" s="477"/>
      <c r="D54" s="678"/>
      <c r="E54" s="677"/>
      <c r="F54" s="677"/>
      <c r="G54" s="678"/>
      <c r="H54" s="678"/>
      <c r="I54" s="677"/>
      <c r="J54" s="678"/>
      <c r="K54" s="678"/>
      <c r="L54" s="678"/>
      <c r="M54" s="678"/>
      <c r="N54" s="678"/>
      <c r="O54" s="678"/>
      <c r="P54" s="678"/>
      <c r="Q54" s="678"/>
      <c r="R54" s="171"/>
      <c r="S54" s="62"/>
      <c r="T54" s="62"/>
    </row>
    <row r="55" spans="1:20" s="1" customFormat="1" x14ac:dyDescent="0.3">
      <c r="A55" s="555"/>
      <c r="B55" s="464" t="s">
        <v>549</v>
      </c>
      <c r="C55" s="464"/>
      <c r="D55" s="678"/>
      <c r="E55" s="677"/>
      <c r="F55" s="677"/>
      <c r="G55" s="678"/>
      <c r="H55" s="678"/>
      <c r="I55" s="677"/>
      <c r="J55" s="678"/>
      <c r="K55" s="678"/>
      <c r="L55" s="678"/>
      <c r="M55" s="678"/>
      <c r="N55" s="678"/>
      <c r="O55" s="678"/>
      <c r="P55" s="678"/>
      <c r="Q55" s="678"/>
      <c r="R55" s="171"/>
      <c r="S55" s="62"/>
      <c r="T55" s="62"/>
    </row>
    <row r="56" spans="1:20" x14ac:dyDescent="0.3">
      <c r="A56" s="556">
        <v>535</v>
      </c>
      <c r="B56" s="461" t="s">
        <v>580</v>
      </c>
      <c r="C56" s="461"/>
      <c r="D56" s="678"/>
      <c r="E56" s="678"/>
      <c r="F56" s="678"/>
      <c r="G56" s="678"/>
      <c r="H56" s="678"/>
      <c r="I56" s="677"/>
      <c r="J56" s="678"/>
      <c r="K56" s="678"/>
      <c r="L56" s="678"/>
      <c r="M56" s="678"/>
      <c r="N56" s="678"/>
      <c r="O56" s="678"/>
      <c r="P56" s="678"/>
      <c r="Q56" s="678"/>
      <c r="R56" s="171"/>
      <c r="S56" s="62">
        <f t="shared" ref="S56:S62" si="8">SUM(J56:Q56)</f>
        <v>0</v>
      </c>
      <c r="T56" s="62">
        <f t="shared" ref="T56:T62" si="9">H56-S56</f>
        <v>0</v>
      </c>
    </row>
    <row r="57" spans="1:20" x14ac:dyDescent="0.3">
      <c r="A57" s="556">
        <v>536</v>
      </c>
      <c r="B57" s="466" t="s">
        <v>602</v>
      </c>
      <c r="C57" s="466"/>
      <c r="D57" s="678"/>
      <c r="E57" s="678"/>
      <c r="F57" s="678"/>
      <c r="G57" s="678"/>
      <c r="H57" s="678"/>
      <c r="I57" s="677"/>
      <c r="J57" s="678"/>
      <c r="K57" s="678"/>
      <c r="L57" s="678"/>
      <c r="M57" s="678"/>
      <c r="N57" s="678"/>
      <c r="O57" s="678"/>
      <c r="P57" s="678"/>
      <c r="Q57" s="678"/>
      <c r="R57" s="171"/>
      <c r="S57" s="62">
        <f t="shared" si="8"/>
        <v>0</v>
      </c>
      <c r="T57" s="62">
        <f t="shared" si="9"/>
        <v>0</v>
      </c>
    </row>
    <row r="58" spans="1:20" x14ac:dyDescent="0.3">
      <c r="A58" s="555">
        <v>537</v>
      </c>
      <c r="B58" s="461" t="s">
        <v>1328</v>
      </c>
      <c r="C58" s="461"/>
      <c r="D58" s="678"/>
      <c r="E58" s="678"/>
      <c r="F58" s="678"/>
      <c r="G58" s="678"/>
      <c r="H58" s="678"/>
      <c r="I58" s="677"/>
      <c r="J58" s="678"/>
      <c r="K58" s="678"/>
      <c r="L58" s="678"/>
      <c r="M58" s="678"/>
      <c r="N58" s="678"/>
      <c r="O58" s="678"/>
      <c r="P58" s="678"/>
      <c r="Q58" s="678"/>
      <c r="R58" s="171"/>
      <c r="S58" s="62">
        <f t="shared" si="8"/>
        <v>0</v>
      </c>
      <c r="T58" s="62">
        <f t="shared" si="9"/>
        <v>0</v>
      </c>
    </row>
    <row r="59" spans="1:20" x14ac:dyDescent="0.3">
      <c r="A59" s="555">
        <v>538</v>
      </c>
      <c r="B59" s="461" t="s">
        <v>560</v>
      </c>
      <c r="C59" s="461"/>
      <c r="D59" s="678"/>
      <c r="E59" s="678"/>
      <c r="F59" s="678"/>
      <c r="G59" s="678"/>
      <c r="H59" s="678"/>
      <c r="I59" s="677"/>
      <c r="J59" s="678"/>
      <c r="K59" s="678"/>
      <c r="L59" s="678"/>
      <c r="M59" s="678"/>
      <c r="N59" s="678"/>
      <c r="O59" s="678"/>
      <c r="P59" s="678"/>
      <c r="Q59" s="678"/>
      <c r="R59" s="171"/>
      <c r="S59" s="62">
        <f t="shared" si="8"/>
        <v>0</v>
      </c>
      <c r="T59" s="62">
        <f t="shared" si="9"/>
        <v>0</v>
      </c>
    </row>
    <row r="60" spans="1:20" x14ac:dyDescent="0.3">
      <c r="A60" s="555">
        <v>539</v>
      </c>
      <c r="B60" s="466" t="s">
        <v>1329</v>
      </c>
      <c r="C60" s="466"/>
      <c r="D60" s="678"/>
      <c r="E60" s="678"/>
      <c r="F60" s="678"/>
      <c r="G60" s="678"/>
      <c r="H60" s="678"/>
      <c r="I60" s="677"/>
      <c r="J60" s="678"/>
      <c r="K60" s="678"/>
      <c r="L60" s="678"/>
      <c r="M60" s="678"/>
      <c r="N60" s="678"/>
      <c r="O60" s="678"/>
      <c r="P60" s="678"/>
      <c r="Q60" s="678"/>
      <c r="R60" s="171"/>
      <c r="S60" s="62">
        <f t="shared" si="8"/>
        <v>0</v>
      </c>
      <c r="T60" s="62">
        <f t="shared" si="9"/>
        <v>0</v>
      </c>
    </row>
    <row r="61" spans="1:20" x14ac:dyDescent="0.3">
      <c r="A61" s="555">
        <v>540</v>
      </c>
      <c r="B61" s="461" t="s">
        <v>564</v>
      </c>
      <c r="C61" s="461"/>
      <c r="D61" s="678"/>
      <c r="E61" s="678"/>
      <c r="F61" s="678"/>
      <c r="G61" s="678"/>
      <c r="H61" s="678"/>
      <c r="I61" s="677"/>
      <c r="J61" s="678"/>
      <c r="K61" s="678"/>
      <c r="L61" s="678"/>
      <c r="M61" s="678"/>
      <c r="N61" s="678"/>
      <c r="O61" s="678"/>
      <c r="P61" s="678"/>
      <c r="Q61" s="678"/>
      <c r="R61" s="171"/>
      <c r="S61" s="62">
        <f t="shared" si="8"/>
        <v>0</v>
      </c>
      <c r="T61" s="62">
        <f t="shared" si="9"/>
        <v>0</v>
      </c>
    </row>
    <row r="62" spans="1:20" x14ac:dyDescent="0.3">
      <c r="A62" s="556"/>
      <c r="B62" s="474" t="s">
        <v>524</v>
      </c>
      <c r="C62" s="474"/>
      <c r="D62" s="678"/>
      <c r="E62" s="678"/>
      <c r="F62" s="678"/>
      <c r="G62" s="678"/>
      <c r="H62" s="678"/>
      <c r="I62" s="677"/>
      <c r="J62" s="678"/>
      <c r="K62" s="678"/>
      <c r="L62" s="678"/>
      <c r="M62" s="678"/>
      <c r="N62" s="678"/>
      <c r="O62" s="678"/>
      <c r="P62" s="678"/>
      <c r="Q62" s="678"/>
      <c r="R62" s="171"/>
      <c r="S62" s="62">
        <f t="shared" si="8"/>
        <v>0</v>
      </c>
      <c r="T62" s="62">
        <f t="shared" si="9"/>
        <v>0</v>
      </c>
    </row>
    <row r="63" spans="1:20" s="1" customFormat="1" x14ac:dyDescent="0.3">
      <c r="A63" s="555"/>
      <c r="B63" s="474"/>
      <c r="C63" s="474"/>
      <c r="D63" s="678"/>
      <c r="E63" s="677"/>
      <c r="F63" s="677"/>
      <c r="G63" s="678"/>
      <c r="H63" s="678"/>
      <c r="I63" s="677"/>
      <c r="J63" s="678"/>
      <c r="K63" s="678"/>
      <c r="L63" s="678"/>
      <c r="M63" s="678"/>
      <c r="N63" s="678"/>
      <c r="O63" s="678"/>
      <c r="P63" s="678"/>
      <c r="Q63" s="678"/>
      <c r="R63" s="171"/>
      <c r="S63" s="62"/>
      <c r="T63" s="62"/>
    </row>
    <row r="64" spans="1:20" s="1" customFormat="1" x14ac:dyDescent="0.3">
      <c r="A64" s="555"/>
      <c r="B64" s="464" t="s">
        <v>565</v>
      </c>
      <c r="C64" s="464"/>
      <c r="D64" s="678"/>
      <c r="E64" s="677"/>
      <c r="F64" s="677"/>
      <c r="G64" s="678"/>
      <c r="H64" s="678"/>
      <c r="I64" s="677"/>
      <c r="J64" s="678"/>
      <c r="K64" s="678"/>
      <c r="L64" s="678"/>
      <c r="M64" s="678"/>
      <c r="N64" s="678"/>
      <c r="O64" s="678"/>
      <c r="P64" s="678"/>
      <c r="Q64" s="678"/>
      <c r="R64" s="171"/>
      <c r="S64" s="62"/>
      <c r="T64" s="62"/>
    </row>
    <row r="65" spans="1:20" x14ac:dyDescent="0.3">
      <c r="A65" s="556">
        <v>541</v>
      </c>
      <c r="B65" s="461" t="s">
        <v>593</v>
      </c>
      <c r="C65" s="461"/>
      <c r="D65" s="678"/>
      <c r="E65" s="678"/>
      <c r="F65" s="678"/>
      <c r="G65" s="678"/>
      <c r="H65" s="678"/>
      <c r="I65" s="677"/>
      <c r="J65" s="678"/>
      <c r="K65" s="678"/>
      <c r="L65" s="678"/>
      <c r="M65" s="678"/>
      <c r="N65" s="678"/>
      <c r="O65" s="678"/>
      <c r="P65" s="678"/>
      <c r="Q65" s="678"/>
      <c r="R65" s="171"/>
      <c r="S65" s="62">
        <f t="shared" ref="S65:S70" si="10">SUM(J65:Q65)</f>
        <v>0</v>
      </c>
      <c r="T65" s="62">
        <f t="shared" ref="T65:T70" si="11">H65-S65</f>
        <v>0</v>
      </c>
    </row>
    <row r="66" spans="1:20" x14ac:dyDescent="0.3">
      <c r="A66" s="556">
        <v>542</v>
      </c>
      <c r="B66" s="461" t="s">
        <v>569</v>
      </c>
      <c r="C66" s="461"/>
      <c r="D66" s="678"/>
      <c r="E66" s="678"/>
      <c r="F66" s="678"/>
      <c r="G66" s="678"/>
      <c r="H66" s="678"/>
      <c r="I66" s="677"/>
      <c r="J66" s="678"/>
      <c r="K66" s="678"/>
      <c r="L66" s="678"/>
      <c r="M66" s="678"/>
      <c r="N66" s="678"/>
      <c r="O66" s="678"/>
      <c r="P66" s="678"/>
      <c r="Q66" s="678"/>
      <c r="R66" s="171"/>
      <c r="S66" s="62">
        <f t="shared" si="10"/>
        <v>0</v>
      </c>
      <c r="T66" s="62">
        <f t="shared" si="11"/>
        <v>0</v>
      </c>
    </row>
    <row r="67" spans="1:20" x14ac:dyDescent="0.3">
      <c r="A67" s="556">
        <v>543</v>
      </c>
      <c r="B67" s="466" t="s">
        <v>610</v>
      </c>
      <c r="C67" s="466"/>
      <c r="D67" s="678"/>
      <c r="E67" s="678"/>
      <c r="F67" s="678"/>
      <c r="G67" s="678"/>
      <c r="H67" s="678"/>
      <c r="I67" s="677"/>
      <c r="J67" s="678"/>
      <c r="K67" s="678"/>
      <c r="L67" s="678"/>
      <c r="M67" s="678"/>
      <c r="N67" s="678"/>
      <c r="O67" s="678"/>
      <c r="P67" s="678"/>
      <c r="Q67" s="678"/>
      <c r="R67" s="171"/>
      <c r="S67" s="62">
        <f t="shared" si="10"/>
        <v>0</v>
      </c>
      <c r="T67" s="62">
        <f t="shared" si="11"/>
        <v>0</v>
      </c>
    </row>
    <row r="68" spans="1:20" x14ac:dyDescent="0.3">
      <c r="A68" s="556">
        <v>544</v>
      </c>
      <c r="B68" s="461" t="s">
        <v>573</v>
      </c>
      <c r="C68" s="461"/>
      <c r="D68" s="678"/>
      <c r="E68" s="678"/>
      <c r="F68" s="678"/>
      <c r="G68" s="678"/>
      <c r="H68" s="678"/>
      <c r="I68" s="677"/>
      <c r="J68" s="678"/>
      <c r="K68" s="678"/>
      <c r="L68" s="678"/>
      <c r="M68" s="678"/>
      <c r="N68" s="678"/>
      <c r="O68" s="678"/>
      <c r="P68" s="678"/>
      <c r="Q68" s="678"/>
      <c r="R68" s="171"/>
      <c r="S68" s="62">
        <f t="shared" si="10"/>
        <v>0</v>
      </c>
      <c r="T68" s="62">
        <f t="shared" si="11"/>
        <v>0</v>
      </c>
    </row>
    <row r="69" spans="1:20" x14ac:dyDescent="0.3">
      <c r="A69" s="556">
        <v>545</v>
      </c>
      <c r="B69" s="466" t="s">
        <v>1330</v>
      </c>
      <c r="C69" s="466"/>
      <c r="D69" s="678"/>
      <c r="E69" s="678"/>
      <c r="F69" s="678"/>
      <c r="G69" s="678"/>
      <c r="H69" s="678"/>
      <c r="I69" s="677"/>
      <c r="J69" s="678"/>
      <c r="K69" s="678"/>
      <c r="L69" s="678"/>
      <c r="M69" s="678"/>
      <c r="N69" s="678"/>
      <c r="O69" s="678"/>
      <c r="P69" s="678"/>
      <c r="Q69" s="678"/>
      <c r="R69" s="171"/>
      <c r="S69" s="62">
        <f t="shared" si="10"/>
        <v>0</v>
      </c>
      <c r="T69" s="62">
        <f t="shared" si="11"/>
        <v>0</v>
      </c>
    </row>
    <row r="70" spans="1:20" x14ac:dyDescent="0.3">
      <c r="A70" s="555"/>
      <c r="B70" s="474" t="s">
        <v>524</v>
      </c>
      <c r="C70" s="474"/>
      <c r="D70" s="678"/>
      <c r="E70" s="669"/>
      <c r="F70" s="669"/>
      <c r="G70" s="678"/>
      <c r="H70" s="678"/>
      <c r="I70" s="677"/>
      <c r="J70" s="678"/>
      <c r="K70" s="678"/>
      <c r="L70" s="678"/>
      <c r="M70" s="678"/>
      <c r="N70" s="678"/>
      <c r="O70" s="678"/>
      <c r="P70" s="678"/>
      <c r="Q70" s="678"/>
      <c r="R70" s="171"/>
      <c r="S70" s="62">
        <f t="shared" si="10"/>
        <v>0</v>
      </c>
      <c r="T70" s="62">
        <f t="shared" si="11"/>
        <v>0</v>
      </c>
    </row>
    <row r="71" spans="1:20" s="1" customFormat="1" x14ac:dyDescent="0.3">
      <c r="A71" s="555"/>
      <c r="B71" s="461"/>
      <c r="C71" s="461"/>
      <c r="D71" s="678"/>
      <c r="E71" s="677"/>
      <c r="F71" s="677"/>
      <c r="G71" s="678"/>
      <c r="H71" s="678"/>
      <c r="I71" s="677"/>
      <c r="J71" s="678"/>
      <c r="K71" s="678"/>
      <c r="L71" s="678"/>
      <c r="M71" s="678"/>
      <c r="N71" s="678"/>
      <c r="O71" s="678"/>
      <c r="P71" s="678"/>
      <c r="Q71" s="678"/>
      <c r="R71" s="171"/>
      <c r="S71" s="62"/>
      <c r="T71" s="62"/>
    </row>
    <row r="72" spans="1:20" s="1" customFormat="1" x14ac:dyDescent="0.3">
      <c r="A72" s="555"/>
      <c r="B72" s="477" t="s">
        <v>613</v>
      </c>
      <c r="C72" s="477"/>
      <c r="D72" s="678"/>
      <c r="E72" s="677"/>
      <c r="F72" s="677"/>
      <c r="G72" s="678"/>
      <c r="H72" s="678"/>
      <c r="I72" s="677"/>
      <c r="J72" s="678"/>
      <c r="K72" s="678"/>
      <c r="L72" s="678"/>
      <c r="M72" s="678"/>
      <c r="N72" s="678"/>
      <c r="O72" s="678"/>
      <c r="P72" s="678"/>
      <c r="Q72" s="678"/>
      <c r="R72" s="171"/>
      <c r="S72" s="62"/>
      <c r="T72" s="62"/>
    </row>
    <row r="73" spans="1:20" s="1" customFormat="1" x14ac:dyDescent="0.3">
      <c r="A73" s="555"/>
      <c r="B73" s="464" t="s">
        <v>549</v>
      </c>
      <c r="C73" s="464"/>
      <c r="D73" s="678"/>
      <c r="E73" s="677"/>
      <c r="F73" s="677"/>
      <c r="G73" s="678"/>
      <c r="H73" s="678"/>
      <c r="I73" s="677"/>
      <c r="J73" s="678"/>
      <c r="K73" s="678"/>
      <c r="L73" s="678"/>
      <c r="M73" s="678"/>
      <c r="N73" s="678"/>
      <c r="O73" s="678"/>
      <c r="P73" s="678"/>
      <c r="Q73" s="678"/>
      <c r="R73" s="171"/>
      <c r="S73" s="62">
        <f t="shared" ref="S73:S79" si="12">SUM(J73:Q73)</f>
        <v>0</v>
      </c>
      <c r="T73" s="62">
        <f t="shared" ref="T73:T79" si="13">H73-S73</f>
        <v>0</v>
      </c>
    </row>
    <row r="74" spans="1:20" x14ac:dyDescent="0.3">
      <c r="A74" s="555">
        <v>546</v>
      </c>
      <c r="B74" s="461" t="s">
        <v>615</v>
      </c>
      <c r="C74" s="461"/>
      <c r="D74" s="678"/>
      <c r="E74" s="678"/>
      <c r="F74" s="678"/>
      <c r="G74" s="678"/>
      <c r="H74" s="678"/>
      <c r="I74" s="677"/>
      <c r="J74" s="678"/>
      <c r="K74" s="678"/>
      <c r="L74" s="678"/>
      <c r="M74" s="678"/>
      <c r="N74" s="678"/>
      <c r="O74" s="678"/>
      <c r="P74" s="678"/>
      <c r="Q74" s="678"/>
      <c r="R74" s="171"/>
      <c r="S74" s="62">
        <f t="shared" si="12"/>
        <v>0</v>
      </c>
      <c r="T74" s="62">
        <f t="shared" si="13"/>
        <v>0</v>
      </c>
    </row>
    <row r="75" spans="1:20" x14ac:dyDescent="0.3">
      <c r="A75" s="555">
        <v>547</v>
      </c>
      <c r="B75" s="461" t="s">
        <v>617</v>
      </c>
      <c r="C75" s="461"/>
      <c r="D75" s="678"/>
      <c r="E75" s="678"/>
      <c r="F75" s="678"/>
      <c r="G75" s="678"/>
      <c r="H75" s="678"/>
      <c r="I75" s="677"/>
      <c r="J75" s="678"/>
      <c r="K75" s="678"/>
      <c r="L75" s="678"/>
      <c r="M75" s="678"/>
      <c r="N75" s="678"/>
      <c r="O75" s="678"/>
      <c r="P75" s="678"/>
      <c r="Q75" s="678"/>
      <c r="R75" s="171"/>
      <c r="S75" s="62">
        <f t="shared" ref="S75" si="14">SUM(J75:Q75)</f>
        <v>0</v>
      </c>
      <c r="T75" s="62">
        <f t="shared" ref="T75" si="15">H75-S75</f>
        <v>0</v>
      </c>
    </row>
    <row r="76" spans="1:20" x14ac:dyDescent="0.3">
      <c r="A76" s="555">
        <v>548</v>
      </c>
      <c r="B76" s="705" t="s">
        <v>560</v>
      </c>
      <c r="C76" s="461"/>
      <c r="D76" s="678"/>
      <c r="E76" s="678"/>
      <c r="F76" s="678"/>
      <c r="G76" s="678"/>
      <c r="H76" s="678"/>
      <c r="I76" s="677"/>
      <c r="J76" s="678"/>
      <c r="K76" s="678"/>
      <c r="L76" s="678"/>
      <c r="M76" s="678"/>
      <c r="N76" s="678"/>
      <c r="O76" s="678"/>
      <c r="P76" s="678"/>
      <c r="Q76" s="678"/>
      <c r="R76" s="171"/>
      <c r="S76" s="62">
        <f t="shared" si="12"/>
        <v>0</v>
      </c>
      <c r="T76" s="62">
        <f t="shared" si="13"/>
        <v>0</v>
      </c>
    </row>
    <row r="77" spans="1:20" x14ac:dyDescent="0.3">
      <c r="A77" s="555">
        <v>549</v>
      </c>
      <c r="B77" s="461" t="s">
        <v>619</v>
      </c>
      <c r="C77" s="461"/>
      <c r="D77" s="678"/>
      <c r="E77" s="678"/>
      <c r="F77" s="678"/>
      <c r="G77" s="678"/>
      <c r="H77" s="678"/>
      <c r="I77" s="677"/>
      <c r="J77" s="678"/>
      <c r="K77" s="678"/>
      <c r="L77" s="678"/>
      <c r="M77" s="678"/>
      <c r="N77" s="678"/>
      <c r="O77" s="678"/>
      <c r="P77" s="678"/>
      <c r="Q77" s="678"/>
      <c r="R77" s="171"/>
      <c r="S77" s="62">
        <f t="shared" si="12"/>
        <v>0</v>
      </c>
      <c r="T77" s="62">
        <f t="shared" si="13"/>
        <v>0</v>
      </c>
    </row>
    <row r="78" spans="1:20" x14ac:dyDescent="0.3">
      <c r="A78" s="555">
        <v>550</v>
      </c>
      <c r="B78" s="461" t="s">
        <v>564</v>
      </c>
      <c r="C78" s="461"/>
      <c r="D78" s="678"/>
      <c r="E78" s="678"/>
      <c r="F78" s="678"/>
      <c r="G78" s="678"/>
      <c r="H78" s="678"/>
      <c r="I78" s="678"/>
      <c r="J78" s="678"/>
      <c r="K78" s="678"/>
      <c r="L78" s="678"/>
      <c r="M78" s="678"/>
      <c r="N78" s="678"/>
      <c r="O78" s="678"/>
      <c r="P78" s="678"/>
      <c r="Q78" s="678"/>
      <c r="R78" s="171"/>
      <c r="S78" s="62">
        <f t="shared" si="12"/>
        <v>0</v>
      </c>
      <c r="T78" s="62">
        <f t="shared" si="13"/>
        <v>0</v>
      </c>
    </row>
    <row r="79" spans="1:20" x14ac:dyDescent="0.3">
      <c r="A79" s="555"/>
      <c r="B79" s="474" t="s">
        <v>524</v>
      </c>
      <c r="C79" s="474"/>
      <c r="D79" s="677"/>
      <c r="E79" s="669"/>
      <c r="F79" s="677"/>
      <c r="G79" s="678"/>
      <c r="H79" s="677"/>
      <c r="I79" s="678"/>
      <c r="J79" s="678"/>
      <c r="K79" s="678"/>
      <c r="L79" s="678"/>
      <c r="M79" s="678"/>
      <c r="N79" s="678"/>
      <c r="O79" s="678"/>
      <c r="P79" s="678"/>
      <c r="Q79" s="678"/>
      <c r="R79" s="171"/>
      <c r="S79" s="62">
        <f t="shared" si="12"/>
        <v>0</v>
      </c>
      <c r="T79" s="62">
        <f t="shared" si="13"/>
        <v>0</v>
      </c>
    </row>
    <row r="80" spans="1:20" x14ac:dyDescent="0.3">
      <c r="A80" s="555"/>
      <c r="B80" s="461"/>
      <c r="C80" s="461"/>
      <c r="D80" s="678"/>
      <c r="E80" s="677"/>
      <c r="F80" s="678">
        <f t="shared" ref="F80" si="16">+D80</f>
        <v>0</v>
      </c>
      <c r="G80" s="678"/>
      <c r="H80" s="678"/>
      <c r="I80" s="677"/>
      <c r="J80" s="678"/>
      <c r="K80" s="678"/>
      <c r="L80" s="678"/>
      <c r="M80" s="678"/>
      <c r="N80" s="678"/>
      <c r="O80" s="678"/>
      <c r="P80" s="678"/>
      <c r="Q80" s="678"/>
      <c r="R80" s="171"/>
      <c r="S80" s="62"/>
      <c r="T80" s="62"/>
    </row>
    <row r="81" spans="1:20" x14ac:dyDescent="0.3">
      <c r="A81" s="555"/>
      <c r="B81" s="464" t="s">
        <v>565</v>
      </c>
      <c r="C81" s="464"/>
      <c r="D81" s="678"/>
      <c r="E81" s="677"/>
      <c r="F81" s="678"/>
      <c r="G81" s="678"/>
      <c r="H81" s="678"/>
      <c r="I81" s="678"/>
      <c r="J81" s="678"/>
      <c r="K81" s="678"/>
      <c r="L81" s="678"/>
      <c r="M81" s="678"/>
      <c r="N81" s="678"/>
      <c r="O81" s="678"/>
      <c r="P81" s="678"/>
      <c r="Q81" s="678"/>
      <c r="R81" s="171"/>
      <c r="S81" s="62"/>
      <c r="T81" s="62"/>
    </row>
    <row r="82" spans="1:20" x14ac:dyDescent="0.3">
      <c r="A82" s="555">
        <v>551</v>
      </c>
      <c r="B82" s="461" t="s">
        <v>622</v>
      </c>
      <c r="C82" s="461"/>
      <c r="D82" s="678"/>
      <c r="E82" s="669"/>
      <c r="F82" s="678"/>
      <c r="G82" s="678"/>
      <c r="H82" s="678"/>
      <c r="I82" s="677"/>
      <c r="J82" s="678"/>
      <c r="K82" s="678"/>
      <c r="L82" s="678"/>
      <c r="M82" s="678"/>
      <c r="N82" s="678"/>
      <c r="O82" s="678"/>
      <c r="P82" s="678"/>
      <c r="Q82" s="678"/>
      <c r="R82" s="171"/>
      <c r="S82" s="62">
        <f>SUM(J82:Q82)</f>
        <v>0</v>
      </c>
      <c r="T82" s="62">
        <f>H82-S82</f>
        <v>0</v>
      </c>
    </row>
    <row r="83" spans="1:20" x14ac:dyDescent="0.3">
      <c r="A83" s="555">
        <v>552</v>
      </c>
      <c r="B83" s="466" t="s">
        <v>624</v>
      </c>
      <c r="C83" s="466"/>
      <c r="D83" s="678"/>
      <c r="E83" s="669"/>
      <c r="F83" s="678"/>
      <c r="G83" s="678"/>
      <c r="H83" s="678"/>
      <c r="I83" s="677"/>
      <c r="J83" s="678"/>
      <c r="K83" s="678"/>
      <c r="L83" s="678"/>
      <c r="M83" s="678"/>
      <c r="N83" s="678"/>
      <c r="O83" s="678"/>
      <c r="P83" s="678"/>
      <c r="Q83" s="678"/>
      <c r="R83" s="171"/>
      <c r="S83" s="62">
        <f>SUM(J83:Q83)</f>
        <v>0</v>
      </c>
      <c r="T83" s="62">
        <f>H83-S83</f>
        <v>0</v>
      </c>
    </row>
    <row r="84" spans="1:20" x14ac:dyDescent="0.3">
      <c r="A84" s="555">
        <v>553</v>
      </c>
      <c r="B84" s="461" t="s">
        <v>626</v>
      </c>
      <c r="C84" s="461"/>
      <c r="D84" s="678"/>
      <c r="E84" s="669"/>
      <c r="F84" s="678"/>
      <c r="G84" s="678"/>
      <c r="H84" s="678"/>
      <c r="I84" s="677"/>
      <c r="J84" s="678"/>
      <c r="K84" s="678"/>
      <c r="L84" s="678"/>
      <c r="M84" s="678"/>
      <c r="N84" s="678"/>
      <c r="O84" s="678"/>
      <c r="P84" s="678"/>
      <c r="Q84" s="678"/>
      <c r="R84" s="171"/>
      <c r="S84" s="62">
        <f>SUM(J84:Q84)</f>
        <v>0</v>
      </c>
      <c r="T84" s="62">
        <f>H84-S84</f>
        <v>0</v>
      </c>
    </row>
    <row r="85" spans="1:20" ht="14.5" x14ac:dyDescent="0.45">
      <c r="A85" s="555">
        <v>554</v>
      </c>
      <c r="B85" s="461" t="s">
        <v>628</v>
      </c>
      <c r="C85" s="461"/>
      <c r="D85" s="681"/>
      <c r="E85" s="669"/>
      <c r="F85" s="681"/>
      <c r="G85" s="678"/>
      <c r="H85" s="681"/>
      <c r="I85" s="681"/>
      <c r="J85" s="681"/>
      <c r="K85" s="678"/>
      <c r="L85" s="678"/>
      <c r="M85" s="678"/>
      <c r="N85" s="678"/>
      <c r="O85" s="678"/>
      <c r="P85" s="678"/>
      <c r="Q85" s="678"/>
      <c r="R85" s="171"/>
      <c r="S85" s="62">
        <f>SUM(J85:Q85)</f>
        <v>0</v>
      </c>
      <c r="T85" s="62">
        <f>H85-S85</f>
        <v>0</v>
      </c>
    </row>
    <row r="86" spans="1:20" x14ac:dyDescent="0.3">
      <c r="A86" s="555"/>
      <c r="B86" s="474" t="s">
        <v>524</v>
      </c>
      <c r="C86" s="474"/>
      <c r="D86" s="677"/>
      <c r="E86" s="669"/>
      <c r="F86" s="677"/>
      <c r="G86" s="678"/>
      <c r="H86" s="677"/>
      <c r="I86" s="677"/>
      <c r="J86" s="677"/>
      <c r="K86" s="678"/>
      <c r="L86" s="678"/>
      <c r="M86" s="678"/>
      <c r="N86" s="678"/>
      <c r="O86" s="678"/>
      <c r="P86" s="678"/>
      <c r="Q86" s="678"/>
      <c r="R86" s="171"/>
      <c r="S86" s="62">
        <f>SUM(J86:Q86)</f>
        <v>0</v>
      </c>
      <c r="T86" s="62">
        <f>H86-S86</f>
        <v>0</v>
      </c>
    </row>
    <row r="87" spans="1:20" s="1" customFormat="1" x14ac:dyDescent="0.3">
      <c r="A87" s="555"/>
      <c r="B87" s="461"/>
      <c r="C87" s="461"/>
      <c r="D87" s="678"/>
      <c r="E87" s="677"/>
      <c r="F87" s="677"/>
      <c r="G87" s="678"/>
      <c r="H87" s="678"/>
      <c r="I87" s="677"/>
      <c r="J87" s="678"/>
      <c r="K87" s="678"/>
      <c r="L87" s="678"/>
      <c r="M87" s="678"/>
      <c r="N87" s="678"/>
      <c r="O87" s="678"/>
      <c r="P87" s="678"/>
      <c r="Q87" s="678"/>
      <c r="R87" s="171"/>
      <c r="S87" s="62"/>
      <c r="T87" s="62"/>
    </row>
    <row r="88" spans="1:20" s="1" customFormat="1" x14ac:dyDescent="0.3">
      <c r="A88" s="555"/>
      <c r="B88" s="477" t="s">
        <v>629</v>
      </c>
      <c r="C88" s="477"/>
      <c r="D88" s="678"/>
      <c r="E88" s="677"/>
      <c r="F88" s="677"/>
      <c r="G88" s="678"/>
      <c r="H88" s="678"/>
      <c r="I88" s="677"/>
      <c r="J88" s="678"/>
      <c r="K88" s="678"/>
      <c r="L88" s="678"/>
      <c r="M88" s="678"/>
      <c r="N88" s="678"/>
      <c r="O88" s="678"/>
      <c r="P88" s="678"/>
      <c r="Q88" s="678"/>
      <c r="R88" s="171"/>
      <c r="S88" s="62"/>
      <c r="T88" s="62"/>
    </row>
    <row r="89" spans="1:20" x14ac:dyDescent="0.3">
      <c r="A89" s="555">
        <v>555</v>
      </c>
      <c r="B89" s="461" t="s">
        <v>902</v>
      </c>
      <c r="C89" s="461"/>
      <c r="D89" s="678"/>
      <c r="E89" s="678"/>
      <c r="F89" s="678"/>
      <c r="G89" s="678"/>
      <c r="H89" s="678"/>
      <c r="I89" s="669"/>
      <c r="J89" s="678"/>
      <c r="K89" s="678"/>
      <c r="L89" s="678"/>
      <c r="M89" s="678"/>
      <c r="N89" s="678"/>
      <c r="O89" s="678"/>
      <c r="P89" s="678"/>
      <c r="Q89" s="678"/>
      <c r="R89" s="171"/>
      <c r="S89" s="62"/>
      <c r="T89" s="62"/>
    </row>
    <row r="90" spans="1:20" x14ac:dyDescent="0.3">
      <c r="A90" s="555"/>
      <c r="B90" s="461" t="s">
        <v>903</v>
      </c>
      <c r="C90" s="461"/>
      <c r="D90" s="678"/>
      <c r="E90" s="677"/>
      <c r="F90" s="678"/>
      <c r="G90" s="678"/>
      <c r="H90" s="678"/>
      <c r="I90" s="669"/>
      <c r="J90" s="678"/>
      <c r="K90" s="678"/>
      <c r="L90" s="678"/>
      <c r="M90" s="678"/>
      <c r="N90" s="678"/>
      <c r="O90" s="678"/>
      <c r="P90" s="678"/>
      <c r="Q90" s="678"/>
      <c r="R90" s="171"/>
      <c r="S90" s="62"/>
      <c r="T90" s="62"/>
    </row>
    <row r="91" spans="1:20" x14ac:dyDescent="0.3">
      <c r="A91" s="555"/>
      <c r="B91" s="461" t="s">
        <v>904</v>
      </c>
      <c r="C91" s="461"/>
      <c r="D91" s="678"/>
      <c r="E91" s="677"/>
      <c r="F91" s="678"/>
      <c r="G91" s="678"/>
      <c r="H91" s="678"/>
      <c r="I91" s="669"/>
      <c r="J91" s="678"/>
      <c r="K91" s="678"/>
      <c r="L91" s="678"/>
      <c r="M91" s="678"/>
      <c r="N91" s="678"/>
      <c r="O91" s="678"/>
      <c r="P91" s="678"/>
      <c r="Q91" s="678"/>
      <c r="R91" s="171"/>
      <c r="S91" s="62"/>
      <c r="T91" s="62"/>
    </row>
    <row r="92" spans="1:20" x14ac:dyDescent="0.3">
      <c r="A92" s="555"/>
      <c r="B92" s="461" t="s">
        <v>905</v>
      </c>
      <c r="C92" s="461"/>
      <c r="D92" s="678"/>
      <c r="E92" s="677"/>
      <c r="F92" s="678"/>
      <c r="G92" s="678"/>
      <c r="H92" s="678"/>
      <c r="I92" s="669"/>
      <c r="J92" s="678"/>
      <c r="K92" s="678"/>
      <c r="L92" s="678"/>
      <c r="M92" s="678"/>
      <c r="N92" s="678"/>
      <c r="O92" s="678"/>
      <c r="P92" s="678"/>
      <c r="Q92" s="678"/>
      <c r="R92" s="171"/>
      <c r="S92" s="62"/>
      <c r="T92" s="62"/>
    </row>
    <row r="93" spans="1:20" x14ac:dyDescent="0.3">
      <c r="A93" s="555">
        <v>555</v>
      </c>
      <c r="B93" s="474" t="s">
        <v>524</v>
      </c>
      <c r="C93" s="474"/>
      <c r="D93" s="678"/>
      <c r="E93" s="703"/>
      <c r="F93" s="678"/>
      <c r="G93" s="678"/>
      <c r="H93" s="678"/>
      <c r="I93" s="669"/>
      <c r="J93" s="678"/>
      <c r="K93" s="678"/>
      <c r="L93" s="678"/>
      <c r="M93" s="678"/>
      <c r="N93" s="678"/>
      <c r="O93" s="678"/>
      <c r="P93" s="678"/>
      <c r="Q93" s="678"/>
      <c r="R93" s="171"/>
      <c r="S93" s="62">
        <f>SUM(J93:Q93)</f>
        <v>0</v>
      </c>
      <c r="T93" s="62">
        <f>H93-S93</f>
        <v>0</v>
      </c>
    </row>
    <row r="94" spans="1:20" x14ac:dyDescent="0.3">
      <c r="A94" s="555">
        <v>556</v>
      </c>
      <c r="B94" s="461" t="s">
        <v>636</v>
      </c>
      <c r="C94" s="461"/>
      <c r="D94" s="678"/>
      <c r="E94" s="703"/>
      <c r="F94" s="678"/>
      <c r="G94" s="678"/>
      <c r="H94" s="678"/>
      <c r="I94" s="669"/>
      <c r="J94" s="678"/>
      <c r="K94" s="678"/>
      <c r="L94" s="678"/>
      <c r="M94" s="678"/>
      <c r="N94" s="678"/>
      <c r="O94" s="678"/>
      <c r="P94" s="678"/>
      <c r="Q94" s="678"/>
      <c r="R94" s="171"/>
      <c r="S94" s="62">
        <f>SUM(J94:Q94)</f>
        <v>0</v>
      </c>
      <c r="T94" s="62">
        <f>H94-S94</f>
        <v>0</v>
      </c>
    </row>
    <row r="95" spans="1:20" x14ac:dyDescent="0.3">
      <c r="A95" s="557">
        <v>557</v>
      </c>
      <c r="B95" s="465" t="s">
        <v>1180</v>
      </c>
      <c r="C95" s="461"/>
      <c r="D95" s="678"/>
      <c r="E95" s="704"/>
      <c r="F95" s="678"/>
      <c r="G95" s="678"/>
      <c r="H95" s="678"/>
      <c r="I95" s="669"/>
      <c r="J95" s="678"/>
      <c r="K95" s="678"/>
      <c r="L95" s="678"/>
      <c r="M95" s="678"/>
      <c r="N95" s="678"/>
      <c r="O95" s="678"/>
      <c r="P95" s="678"/>
      <c r="Q95" s="678"/>
      <c r="R95" s="171"/>
      <c r="S95" s="62">
        <f>SUM(J95:Q95)</f>
        <v>0</v>
      </c>
      <c r="T95" s="62">
        <f>H95-S95</f>
        <v>0</v>
      </c>
    </row>
    <row r="96" spans="1:20" ht="14.5" x14ac:dyDescent="0.45">
      <c r="A96" s="557">
        <v>557</v>
      </c>
      <c r="B96" s="465" t="s">
        <v>1181</v>
      </c>
      <c r="C96" s="461"/>
      <c r="D96" s="681"/>
      <c r="E96" s="704"/>
      <c r="F96" s="681"/>
      <c r="G96" s="682"/>
      <c r="H96" s="682"/>
      <c r="I96" s="683"/>
      <c r="J96" s="682"/>
      <c r="K96" s="678"/>
      <c r="L96" s="678"/>
      <c r="M96" s="678"/>
      <c r="N96" s="678"/>
      <c r="O96" s="678"/>
      <c r="P96" s="678"/>
      <c r="Q96" s="678"/>
      <c r="R96" s="171"/>
      <c r="S96" s="62"/>
      <c r="T96" s="62"/>
    </row>
    <row r="97" spans="1:20" x14ac:dyDescent="0.3">
      <c r="A97" s="555"/>
      <c r="B97" s="474" t="s">
        <v>639</v>
      </c>
      <c r="C97" s="474"/>
      <c r="D97" s="678"/>
      <c r="E97" s="678"/>
      <c r="F97" s="678"/>
      <c r="G97" s="678"/>
      <c r="H97" s="678"/>
      <c r="I97" s="678"/>
      <c r="J97" s="678"/>
      <c r="K97" s="678"/>
      <c r="L97" s="678"/>
      <c r="M97" s="678"/>
      <c r="N97" s="678"/>
      <c r="O97" s="678"/>
      <c r="P97" s="678"/>
      <c r="Q97" s="678"/>
      <c r="R97" s="171"/>
      <c r="S97" s="62">
        <f>SUM(J97:Q97)</f>
        <v>0</v>
      </c>
      <c r="T97" s="62">
        <f>H97-S97</f>
        <v>0</v>
      </c>
    </row>
    <row r="98" spans="1:20" x14ac:dyDescent="0.3">
      <c r="A98" s="555"/>
      <c r="B98" s="461"/>
      <c r="C98" s="461"/>
      <c r="D98" s="171"/>
      <c r="E98" s="62"/>
      <c r="F98" s="62"/>
      <c r="G98" s="171"/>
      <c r="H98" s="171"/>
      <c r="I98" s="62"/>
      <c r="J98" s="171"/>
      <c r="K98" s="171"/>
      <c r="L98" s="171"/>
      <c r="M98" s="171"/>
      <c r="N98" s="171"/>
      <c r="O98" s="171"/>
      <c r="P98" s="171"/>
      <c r="Q98" s="171"/>
      <c r="R98" s="171"/>
      <c r="S98" s="62"/>
      <c r="T98" s="62"/>
    </row>
    <row r="99" spans="1:20" x14ac:dyDescent="0.3">
      <c r="A99" s="555"/>
      <c r="B99" s="479" t="s">
        <v>640</v>
      </c>
      <c r="C99" s="479"/>
      <c r="D99" s="680">
        <v>66192416.160000004</v>
      </c>
      <c r="E99" s="680">
        <v>0</v>
      </c>
      <c r="F99" s="680">
        <v>66192416.160000004</v>
      </c>
      <c r="G99" s="680">
        <v>0</v>
      </c>
      <c r="H99" s="680">
        <v>66192416.160000004</v>
      </c>
      <c r="I99" s="680">
        <v>66192416.160000004</v>
      </c>
      <c r="J99" s="680">
        <v>66192416.160000004</v>
      </c>
      <c r="K99" s="680">
        <v>0</v>
      </c>
      <c r="L99" s="680">
        <v>0</v>
      </c>
      <c r="M99" s="680">
        <v>0</v>
      </c>
      <c r="N99" s="680">
        <v>0</v>
      </c>
      <c r="O99" s="680">
        <v>0</v>
      </c>
      <c r="P99" s="680">
        <v>0</v>
      </c>
      <c r="Q99" s="680">
        <v>0</v>
      </c>
      <c r="R99" s="171"/>
      <c r="S99" s="62">
        <f>SUM(J99:Q99)</f>
        <v>66192416.160000004</v>
      </c>
      <c r="T99" s="62">
        <f>H99-S99</f>
        <v>0</v>
      </c>
    </row>
    <row r="100" spans="1:20" x14ac:dyDescent="0.3">
      <c r="A100" s="555"/>
      <c r="B100" s="461"/>
      <c r="C100" s="461"/>
      <c r="D100" s="171"/>
      <c r="E100" s="475"/>
      <c r="F100" s="475"/>
      <c r="G100" s="171"/>
      <c r="H100" s="171"/>
      <c r="I100" s="62"/>
      <c r="J100" s="171"/>
      <c r="K100" s="171"/>
      <c r="L100" s="171"/>
      <c r="M100" s="171"/>
      <c r="N100" s="171"/>
      <c r="O100" s="171"/>
      <c r="P100" s="171"/>
      <c r="Q100" s="171"/>
      <c r="R100" s="171"/>
      <c r="S100" s="62"/>
      <c r="T100" s="62"/>
    </row>
    <row r="101" spans="1:20" x14ac:dyDescent="0.3">
      <c r="A101" s="554" t="s">
        <v>641</v>
      </c>
      <c r="B101" s="461"/>
      <c r="C101" s="461"/>
      <c r="D101" s="171"/>
      <c r="E101" s="62"/>
      <c r="F101" s="62"/>
      <c r="G101" s="171"/>
      <c r="H101" s="171"/>
      <c r="I101" s="62"/>
      <c r="J101" s="171"/>
      <c r="K101" s="171"/>
      <c r="L101" s="171"/>
      <c r="M101" s="171"/>
      <c r="N101" s="171"/>
      <c r="O101" s="171"/>
      <c r="P101" s="171"/>
      <c r="Q101" s="171"/>
      <c r="R101" s="171"/>
      <c r="S101" s="62"/>
      <c r="T101" s="62"/>
    </row>
    <row r="102" spans="1:20" x14ac:dyDescent="0.3">
      <c r="A102" s="555"/>
      <c r="B102" s="464" t="s">
        <v>549</v>
      </c>
      <c r="C102" s="464"/>
      <c r="D102" s="171"/>
      <c r="E102" s="62"/>
      <c r="F102" s="62"/>
      <c r="G102" s="171"/>
      <c r="H102" s="171"/>
      <c r="I102" s="62"/>
      <c r="J102" s="171"/>
      <c r="K102" s="171"/>
      <c r="L102" s="171"/>
      <c r="M102" s="171"/>
      <c r="N102" s="171"/>
      <c r="O102" s="171"/>
      <c r="P102" s="171"/>
      <c r="Q102" s="171"/>
      <c r="R102" s="171"/>
      <c r="S102" s="62"/>
      <c r="T102" s="62"/>
    </row>
    <row r="103" spans="1:20" x14ac:dyDescent="0.3">
      <c r="A103" s="555">
        <v>560</v>
      </c>
      <c r="B103" s="461" t="s">
        <v>615</v>
      </c>
      <c r="C103" s="461"/>
      <c r="D103" s="171">
        <v>1751981.58</v>
      </c>
      <c r="E103" s="475"/>
      <c r="F103" s="475">
        <f t="shared" ref="F103:F110" si="17">D103+E103</f>
        <v>1751981.58</v>
      </c>
      <c r="G103" s="171"/>
      <c r="H103" s="171">
        <f t="shared" ref="H103:H110" si="18">F103</f>
        <v>1751981.58</v>
      </c>
      <c r="I103" s="171">
        <f t="shared" ref="I103:I110" si="19">H103</f>
        <v>1751981.58</v>
      </c>
      <c r="J103" s="171"/>
      <c r="K103" s="171">
        <f t="shared" ref="K103:K110" si="20">I103</f>
        <v>1751981.58</v>
      </c>
      <c r="L103" s="171"/>
      <c r="M103" s="171"/>
      <c r="N103" s="171"/>
      <c r="O103" s="171"/>
      <c r="P103" s="171"/>
      <c r="Q103" s="171"/>
      <c r="R103" s="171"/>
      <c r="S103" s="62">
        <f t="shared" ref="S103:S111" si="21">SUM(J103:Q103)</f>
        <v>1751981.58</v>
      </c>
      <c r="T103" s="62">
        <f t="shared" ref="T103:T111" si="22">H103-S103</f>
        <v>0</v>
      </c>
    </row>
    <row r="104" spans="1:20" x14ac:dyDescent="0.3">
      <c r="A104" s="555">
        <v>561</v>
      </c>
      <c r="B104" s="461" t="s">
        <v>644</v>
      </c>
      <c r="C104" s="461"/>
      <c r="D104" s="171">
        <v>382759.25</v>
      </c>
      <c r="E104" s="475"/>
      <c r="F104" s="475">
        <f t="shared" si="17"/>
        <v>382759.25</v>
      </c>
      <c r="G104" s="171"/>
      <c r="H104" s="171">
        <f t="shared" si="18"/>
        <v>382759.25</v>
      </c>
      <c r="I104" s="171">
        <f t="shared" si="19"/>
        <v>382759.25</v>
      </c>
      <c r="J104" s="171"/>
      <c r="K104" s="171">
        <f t="shared" si="20"/>
        <v>382759.25</v>
      </c>
      <c r="L104" s="171"/>
      <c r="M104" s="171"/>
      <c r="N104" s="171"/>
      <c r="O104" s="171"/>
      <c r="P104" s="171"/>
      <c r="Q104" s="171"/>
      <c r="R104" s="171"/>
      <c r="S104" s="62">
        <f t="shared" si="21"/>
        <v>382759.25</v>
      </c>
      <c r="T104" s="62">
        <f t="shared" si="22"/>
        <v>0</v>
      </c>
    </row>
    <row r="105" spans="1:20" x14ac:dyDescent="0.3">
      <c r="A105" s="555">
        <v>562</v>
      </c>
      <c r="B105" s="461" t="s">
        <v>428</v>
      </c>
      <c r="C105" s="461"/>
      <c r="D105" s="171">
        <v>270273.71999999997</v>
      </c>
      <c r="E105" s="475"/>
      <c r="F105" s="475">
        <f t="shared" si="17"/>
        <v>270273.71999999997</v>
      </c>
      <c r="G105" s="171"/>
      <c r="H105" s="171">
        <f t="shared" si="18"/>
        <v>270273.71999999997</v>
      </c>
      <c r="I105" s="171">
        <f t="shared" si="19"/>
        <v>270273.71999999997</v>
      </c>
      <c r="J105" s="171"/>
      <c r="K105" s="171">
        <f t="shared" si="20"/>
        <v>270273.71999999997</v>
      </c>
      <c r="L105" s="171"/>
      <c r="M105" s="171">
        <f>$I105*'1. RB-i'!M$68/'1. RB-i'!$I$68</f>
        <v>0</v>
      </c>
      <c r="N105" s="171">
        <f>$I105*'1. RB-i'!N$68/'1. RB-i'!$I$68</f>
        <v>0</v>
      </c>
      <c r="O105" s="171">
        <f>$I105*'1. RB-i'!O$68/'1. RB-i'!$I$68</f>
        <v>0</v>
      </c>
      <c r="P105" s="171">
        <f>$I105*'1. RB-i'!P$68/'1. RB-i'!$I$68</f>
        <v>0</v>
      </c>
      <c r="Q105" s="171">
        <f>$I105*'1. RB-i'!Q$68/'1. RB-i'!$I$68</f>
        <v>0</v>
      </c>
      <c r="R105" s="171"/>
      <c r="S105" s="62">
        <f t="shared" si="21"/>
        <v>270273.71999999997</v>
      </c>
      <c r="T105" s="62">
        <f t="shared" si="22"/>
        <v>0</v>
      </c>
    </row>
    <row r="106" spans="1:20" x14ac:dyDescent="0.3">
      <c r="A106" s="555">
        <v>563</v>
      </c>
      <c r="B106" s="461" t="s">
        <v>647</v>
      </c>
      <c r="C106" s="461"/>
      <c r="D106" s="171">
        <v>4633.1000000000004</v>
      </c>
      <c r="E106" s="475"/>
      <c r="F106" s="475">
        <f t="shared" si="17"/>
        <v>4633.1000000000004</v>
      </c>
      <c r="G106" s="171"/>
      <c r="H106" s="171">
        <f t="shared" si="18"/>
        <v>4633.1000000000004</v>
      </c>
      <c r="I106" s="171">
        <f t="shared" si="19"/>
        <v>4633.1000000000004</v>
      </c>
      <c r="J106" s="171"/>
      <c r="K106" s="171">
        <f t="shared" si="20"/>
        <v>4633.1000000000004</v>
      </c>
      <c r="L106" s="171"/>
      <c r="M106" s="171"/>
      <c r="N106" s="171"/>
      <c r="O106" s="171"/>
      <c r="P106" s="171"/>
      <c r="Q106" s="171"/>
      <c r="R106" s="171"/>
      <c r="S106" s="62">
        <f t="shared" si="21"/>
        <v>4633.1000000000004</v>
      </c>
      <c r="T106" s="62">
        <f t="shared" si="22"/>
        <v>0</v>
      </c>
    </row>
    <row r="107" spans="1:20" x14ac:dyDescent="0.3">
      <c r="A107" s="555">
        <v>564</v>
      </c>
      <c r="B107" s="461" t="s">
        <v>649</v>
      </c>
      <c r="C107" s="461"/>
      <c r="D107" s="171">
        <v>0</v>
      </c>
      <c r="E107" s="62"/>
      <c r="F107" s="171">
        <f t="shared" si="17"/>
        <v>0</v>
      </c>
      <c r="G107" s="171"/>
      <c r="H107" s="171">
        <f t="shared" si="18"/>
        <v>0</v>
      </c>
      <c r="I107" s="171">
        <f t="shared" si="19"/>
        <v>0</v>
      </c>
      <c r="J107" s="171"/>
      <c r="K107" s="171">
        <f t="shared" si="20"/>
        <v>0</v>
      </c>
      <c r="L107" s="171"/>
      <c r="M107" s="171"/>
      <c r="N107" s="171"/>
      <c r="O107" s="171"/>
      <c r="P107" s="171"/>
      <c r="Q107" s="171"/>
      <c r="R107" s="171"/>
      <c r="S107" s="62">
        <f t="shared" si="21"/>
        <v>0</v>
      </c>
      <c r="T107" s="62">
        <f t="shared" si="22"/>
        <v>0</v>
      </c>
    </row>
    <row r="108" spans="1:20" x14ac:dyDescent="0.3">
      <c r="A108" s="555">
        <v>565</v>
      </c>
      <c r="B108" s="466" t="s">
        <v>651</v>
      </c>
      <c r="C108" s="466"/>
      <c r="D108" s="171">
        <v>0</v>
      </c>
      <c r="E108" s="171"/>
      <c r="F108" s="171">
        <f t="shared" si="17"/>
        <v>0</v>
      </c>
      <c r="G108" s="171"/>
      <c r="H108" s="171">
        <f t="shared" si="18"/>
        <v>0</v>
      </c>
      <c r="I108" s="171">
        <f t="shared" si="19"/>
        <v>0</v>
      </c>
      <c r="J108" s="171"/>
      <c r="K108" s="171">
        <f t="shared" si="20"/>
        <v>0</v>
      </c>
      <c r="L108" s="171"/>
      <c r="M108" s="171"/>
      <c r="N108" s="171"/>
      <c r="O108" s="171"/>
      <c r="P108" s="171"/>
      <c r="Q108" s="171"/>
      <c r="R108" s="171"/>
      <c r="S108" s="62">
        <f t="shared" si="21"/>
        <v>0</v>
      </c>
      <c r="T108" s="62">
        <f t="shared" si="22"/>
        <v>0</v>
      </c>
    </row>
    <row r="109" spans="1:20" x14ac:dyDescent="0.3">
      <c r="A109" s="555">
        <v>566</v>
      </c>
      <c r="B109" s="461" t="s">
        <v>653</v>
      </c>
      <c r="C109" s="461"/>
      <c r="D109" s="171">
        <v>1004068.18</v>
      </c>
      <c r="E109" s="62"/>
      <c r="F109" s="171">
        <f t="shared" si="17"/>
        <v>1004068.18</v>
      </c>
      <c r="G109" s="171"/>
      <c r="H109" s="171">
        <f t="shared" si="18"/>
        <v>1004068.18</v>
      </c>
      <c r="I109" s="171">
        <f t="shared" si="19"/>
        <v>1004068.18</v>
      </c>
      <c r="J109" s="171"/>
      <c r="K109" s="171">
        <f t="shared" si="20"/>
        <v>1004068.18</v>
      </c>
      <c r="L109" s="171"/>
      <c r="M109" s="171"/>
      <c r="N109" s="171"/>
      <c r="O109" s="171"/>
      <c r="P109" s="171"/>
      <c r="Q109" s="171"/>
      <c r="R109" s="171"/>
      <c r="S109" s="62">
        <f t="shared" si="21"/>
        <v>1004068.18</v>
      </c>
      <c r="T109" s="62">
        <f t="shared" si="22"/>
        <v>0</v>
      </c>
    </row>
    <row r="110" spans="1:20" ht="14.5" x14ac:dyDescent="0.45">
      <c r="A110" s="555">
        <v>567</v>
      </c>
      <c r="B110" s="461" t="s">
        <v>564</v>
      </c>
      <c r="C110" s="461"/>
      <c r="D110" s="472">
        <v>0</v>
      </c>
      <c r="E110" s="559"/>
      <c r="F110" s="472">
        <f t="shared" si="17"/>
        <v>0</v>
      </c>
      <c r="G110" s="472"/>
      <c r="H110" s="472">
        <f t="shared" si="18"/>
        <v>0</v>
      </c>
      <c r="I110" s="472">
        <f t="shared" si="19"/>
        <v>0</v>
      </c>
      <c r="J110" s="472"/>
      <c r="K110" s="472">
        <f t="shared" si="20"/>
        <v>0</v>
      </c>
      <c r="L110" s="472"/>
      <c r="M110" s="472"/>
      <c r="N110" s="472"/>
      <c r="O110" s="472"/>
      <c r="P110" s="472"/>
      <c r="Q110" s="472"/>
      <c r="R110" s="171"/>
      <c r="S110" s="62">
        <f t="shared" si="21"/>
        <v>0</v>
      </c>
      <c r="T110" s="62">
        <f t="shared" si="22"/>
        <v>0</v>
      </c>
    </row>
    <row r="111" spans="1:20" x14ac:dyDescent="0.3">
      <c r="A111" s="555"/>
      <c r="B111" s="474" t="s">
        <v>524</v>
      </c>
      <c r="C111" s="474"/>
      <c r="D111" s="171">
        <f>SUM(D103:D110)</f>
        <v>3413715.83</v>
      </c>
      <c r="E111" s="171">
        <f>SUM(E103:E110)</f>
        <v>0</v>
      </c>
      <c r="F111" s="171">
        <f>SUM(F103:F110)</f>
        <v>3413715.83</v>
      </c>
      <c r="G111" s="171"/>
      <c r="H111" s="171">
        <f t="shared" ref="H111:Q111" si="23">SUM(H103:H110)</f>
        <v>3413715.83</v>
      </c>
      <c r="I111" s="171">
        <f t="shared" si="23"/>
        <v>3413715.83</v>
      </c>
      <c r="J111" s="171">
        <f t="shared" si="23"/>
        <v>0</v>
      </c>
      <c r="K111" s="171">
        <f t="shared" si="23"/>
        <v>3413715.83</v>
      </c>
      <c r="L111" s="171">
        <f t="shared" si="23"/>
        <v>0</v>
      </c>
      <c r="M111" s="171">
        <f t="shared" si="23"/>
        <v>0</v>
      </c>
      <c r="N111" s="171">
        <f t="shared" si="23"/>
        <v>0</v>
      </c>
      <c r="O111" s="171">
        <f t="shared" si="23"/>
        <v>0</v>
      </c>
      <c r="P111" s="171">
        <f t="shared" si="23"/>
        <v>0</v>
      </c>
      <c r="Q111" s="171">
        <f t="shared" si="23"/>
        <v>0</v>
      </c>
      <c r="R111" s="171"/>
      <c r="S111" s="62">
        <f t="shared" si="21"/>
        <v>3413715.83</v>
      </c>
      <c r="T111" s="62">
        <f t="shared" si="22"/>
        <v>0</v>
      </c>
    </row>
    <row r="112" spans="1:20" x14ac:dyDescent="0.3">
      <c r="A112" s="555"/>
      <c r="B112" s="461"/>
      <c r="C112" s="461"/>
      <c r="D112" s="171"/>
      <c r="E112" s="62"/>
      <c r="F112" s="62"/>
      <c r="G112" s="171"/>
      <c r="H112" s="171"/>
      <c r="I112" s="62"/>
      <c r="J112" s="171"/>
      <c r="K112" s="171"/>
      <c r="L112" s="171"/>
      <c r="M112" s="171"/>
      <c r="N112" s="171"/>
      <c r="O112" s="171"/>
      <c r="P112" s="171"/>
      <c r="Q112" s="171"/>
      <c r="R112" s="171"/>
      <c r="S112" s="62"/>
      <c r="T112" s="62"/>
    </row>
    <row r="113" spans="1:20" x14ac:dyDescent="0.3">
      <c r="A113" s="555"/>
      <c r="B113" s="464" t="s">
        <v>565</v>
      </c>
      <c r="C113" s="464"/>
      <c r="D113" s="171"/>
      <c r="E113" s="62"/>
      <c r="F113" s="62"/>
      <c r="G113" s="171"/>
      <c r="H113" s="171"/>
      <c r="I113" s="62"/>
      <c r="J113" s="171"/>
      <c r="K113" s="171"/>
      <c r="L113" s="171"/>
      <c r="M113" s="171"/>
      <c r="N113" s="171"/>
      <c r="O113" s="171"/>
      <c r="P113" s="171"/>
      <c r="Q113" s="171"/>
      <c r="R113" s="171"/>
      <c r="S113" s="62"/>
      <c r="T113" s="62"/>
    </row>
    <row r="114" spans="1:20" x14ac:dyDescent="0.3">
      <c r="A114" s="555">
        <v>568</v>
      </c>
      <c r="B114" s="461" t="s">
        <v>622</v>
      </c>
      <c r="C114" s="461"/>
      <c r="D114" s="171">
        <v>740562.87</v>
      </c>
      <c r="E114" s="62"/>
      <c r="F114" s="468">
        <f t="shared" ref="F114:F119" si="24">D114+E114</f>
        <v>740562.87</v>
      </c>
      <c r="G114" s="171"/>
      <c r="H114" s="171">
        <f t="shared" ref="H114:H119" si="25">F114</f>
        <v>740562.87</v>
      </c>
      <c r="I114" s="468">
        <f t="shared" ref="I114:I119" si="26">H114</f>
        <v>740562.87</v>
      </c>
      <c r="J114" s="171"/>
      <c r="K114" s="171">
        <f t="shared" ref="K114:K119" si="27">I114</f>
        <v>740562.87</v>
      </c>
      <c r="L114" s="171"/>
      <c r="M114" s="171"/>
      <c r="N114" s="171"/>
      <c r="O114" s="171"/>
      <c r="P114" s="171"/>
      <c r="Q114" s="171"/>
      <c r="R114" s="171"/>
      <c r="S114" s="62">
        <f t="shared" ref="S114:S120" si="28">SUM(J114:Q114)</f>
        <v>740562.87</v>
      </c>
      <c r="T114" s="62">
        <f t="shared" ref="T114:T120" si="29">H114-S114</f>
        <v>0</v>
      </c>
    </row>
    <row r="115" spans="1:20" x14ac:dyDescent="0.3">
      <c r="A115" s="555">
        <v>569</v>
      </c>
      <c r="B115" s="466" t="s">
        <v>569</v>
      </c>
      <c r="C115" s="466"/>
      <c r="D115" s="171">
        <v>0</v>
      </c>
      <c r="E115" s="62"/>
      <c r="F115" s="468">
        <f t="shared" si="24"/>
        <v>0</v>
      </c>
      <c r="G115" s="171"/>
      <c r="H115" s="171">
        <f t="shared" si="25"/>
        <v>0</v>
      </c>
      <c r="I115" s="468">
        <f t="shared" si="26"/>
        <v>0</v>
      </c>
      <c r="J115" s="171"/>
      <c r="K115" s="171">
        <f t="shared" si="27"/>
        <v>0</v>
      </c>
      <c r="L115" s="171"/>
      <c r="M115" s="171"/>
      <c r="N115" s="171"/>
      <c r="O115" s="171"/>
      <c r="P115" s="171"/>
      <c r="Q115" s="171"/>
      <c r="R115" s="171"/>
      <c r="S115" s="62">
        <f t="shared" si="28"/>
        <v>0</v>
      </c>
      <c r="T115" s="62">
        <f t="shared" si="29"/>
        <v>0</v>
      </c>
    </row>
    <row r="116" spans="1:20" x14ac:dyDescent="0.3">
      <c r="A116" s="555">
        <v>570</v>
      </c>
      <c r="B116" s="461" t="s">
        <v>658</v>
      </c>
      <c r="C116" s="461"/>
      <c r="D116" s="171">
        <v>2058075.96</v>
      </c>
      <c r="E116" s="62"/>
      <c r="F116" s="468">
        <f t="shared" si="24"/>
        <v>2058075.96</v>
      </c>
      <c r="G116" s="171"/>
      <c r="H116" s="171">
        <f t="shared" si="25"/>
        <v>2058075.96</v>
      </c>
      <c r="I116" s="468">
        <f t="shared" si="26"/>
        <v>2058075.96</v>
      </c>
      <c r="J116" s="171"/>
      <c r="K116" s="171">
        <f t="shared" si="27"/>
        <v>2058075.96</v>
      </c>
      <c r="L116" s="171"/>
      <c r="M116" s="171">
        <f>$I116*'1. RB-i'!M$68/'1. RB-i'!$I$68</f>
        <v>0</v>
      </c>
      <c r="N116" s="171">
        <f>$I116*'1. RB-i'!N$68/'1. RB-i'!$I$68</f>
        <v>0</v>
      </c>
      <c r="O116" s="171">
        <f>$I116*'1. RB-i'!O$68/'1. RB-i'!$I$68</f>
        <v>0</v>
      </c>
      <c r="P116" s="171">
        <f>$I116*'1. RB-i'!P$68/'1. RB-i'!$I$68</f>
        <v>0</v>
      </c>
      <c r="Q116" s="171">
        <f>$I116*'1. RB-i'!Q$68/'1. RB-i'!$I$68</f>
        <v>0</v>
      </c>
      <c r="R116" s="171"/>
      <c r="S116" s="62">
        <f t="shared" si="28"/>
        <v>2058075.96</v>
      </c>
      <c r="T116" s="62">
        <f t="shared" si="29"/>
        <v>0</v>
      </c>
    </row>
    <row r="117" spans="1:20" x14ac:dyDescent="0.3">
      <c r="A117" s="555">
        <v>571</v>
      </c>
      <c r="B117" s="461" t="s">
        <v>660</v>
      </c>
      <c r="C117" s="461"/>
      <c r="D117" s="171">
        <v>1739306.21</v>
      </c>
      <c r="E117" s="62"/>
      <c r="F117" s="468">
        <f t="shared" si="24"/>
        <v>1739306.21</v>
      </c>
      <c r="G117" s="171"/>
      <c r="H117" s="171">
        <f t="shared" si="25"/>
        <v>1739306.21</v>
      </c>
      <c r="I117" s="468">
        <f t="shared" si="26"/>
        <v>1739306.21</v>
      </c>
      <c r="J117" s="171"/>
      <c r="K117" s="171">
        <f t="shared" si="27"/>
        <v>1739306.21</v>
      </c>
      <c r="L117" s="171"/>
      <c r="M117" s="171"/>
      <c r="N117" s="171"/>
      <c r="O117" s="171"/>
      <c r="P117" s="171"/>
      <c r="Q117" s="171"/>
      <c r="R117" s="171"/>
      <c r="S117" s="62">
        <f t="shared" si="28"/>
        <v>1739306.21</v>
      </c>
      <c r="T117" s="62">
        <f t="shared" si="29"/>
        <v>0</v>
      </c>
    </row>
    <row r="118" spans="1:20" x14ac:dyDescent="0.3">
      <c r="A118" s="555">
        <v>572</v>
      </c>
      <c r="B118" s="466" t="s">
        <v>662</v>
      </c>
      <c r="C118" s="466"/>
      <c r="D118" s="171">
        <v>15658.54</v>
      </c>
      <c r="E118" s="62"/>
      <c r="F118" s="468">
        <f t="shared" si="24"/>
        <v>15658.54</v>
      </c>
      <c r="G118" s="171"/>
      <c r="H118" s="171">
        <f t="shared" si="25"/>
        <v>15658.54</v>
      </c>
      <c r="I118" s="468">
        <f t="shared" si="26"/>
        <v>15658.54</v>
      </c>
      <c r="J118" s="171"/>
      <c r="K118" s="171">
        <f t="shared" si="27"/>
        <v>15658.54</v>
      </c>
      <c r="L118" s="171"/>
      <c r="M118" s="171"/>
      <c r="N118" s="171"/>
      <c r="O118" s="171"/>
      <c r="P118" s="171"/>
      <c r="Q118" s="171"/>
      <c r="R118" s="171"/>
      <c r="S118" s="62">
        <f t="shared" si="28"/>
        <v>15658.54</v>
      </c>
      <c r="T118" s="62">
        <f t="shared" si="29"/>
        <v>0</v>
      </c>
    </row>
    <row r="119" spans="1:20" ht="14.5" x14ac:dyDescent="0.45">
      <c r="A119" s="555">
        <v>573</v>
      </c>
      <c r="B119" s="466" t="s">
        <v>1333</v>
      </c>
      <c r="C119" s="466"/>
      <c r="D119" s="472">
        <v>1804729.76</v>
      </c>
      <c r="E119" s="559"/>
      <c r="F119" s="473">
        <f t="shared" si="24"/>
        <v>1804729.76</v>
      </c>
      <c r="G119" s="472"/>
      <c r="H119" s="472">
        <f t="shared" si="25"/>
        <v>1804729.76</v>
      </c>
      <c r="I119" s="473">
        <f t="shared" si="26"/>
        <v>1804729.76</v>
      </c>
      <c r="J119" s="472"/>
      <c r="K119" s="472">
        <f t="shared" si="27"/>
        <v>1804729.76</v>
      </c>
      <c r="L119" s="472"/>
      <c r="M119" s="472"/>
      <c r="N119" s="472"/>
      <c r="O119" s="472"/>
      <c r="P119" s="472"/>
      <c r="Q119" s="472"/>
      <c r="R119" s="171"/>
      <c r="S119" s="62">
        <f t="shared" si="28"/>
        <v>1804729.76</v>
      </c>
      <c r="T119" s="62">
        <f t="shared" si="29"/>
        <v>0</v>
      </c>
    </row>
    <row r="120" spans="1:20" x14ac:dyDescent="0.3">
      <c r="A120" s="555"/>
      <c r="B120" s="474" t="s">
        <v>524</v>
      </c>
      <c r="C120" s="474"/>
      <c r="D120" s="171">
        <f>SUM(D114:D119)</f>
        <v>6358333.3399999999</v>
      </c>
      <c r="E120" s="171">
        <f>SUM(E114:E119)</f>
        <v>0</v>
      </c>
      <c r="F120" s="171">
        <f>SUM(F114:F119)</f>
        <v>6358333.3399999999</v>
      </c>
      <c r="G120" s="171"/>
      <c r="H120" s="171">
        <f>SUM(H114:H119)</f>
        <v>6358333.3399999999</v>
      </c>
      <c r="I120" s="171">
        <f>SUM(I114:I119)</f>
        <v>6358333.3399999999</v>
      </c>
      <c r="J120" s="171">
        <f>SUM(J114:J119)</f>
        <v>0</v>
      </c>
      <c r="K120" s="171">
        <f>SUM(K114:K119)</f>
        <v>6358333.3399999999</v>
      </c>
      <c r="L120" s="171">
        <f>SUM(L114:L119)</f>
        <v>0</v>
      </c>
      <c r="M120" s="171"/>
      <c r="N120" s="171"/>
      <c r="O120" s="171"/>
      <c r="P120" s="171"/>
      <c r="Q120" s="171"/>
      <c r="R120" s="171"/>
      <c r="S120" s="62">
        <f t="shared" si="28"/>
        <v>6358333.3399999999</v>
      </c>
      <c r="T120" s="62">
        <f t="shared" si="29"/>
        <v>0</v>
      </c>
    </row>
    <row r="121" spans="1:20" x14ac:dyDescent="0.3">
      <c r="A121" s="555"/>
      <c r="B121" s="461"/>
      <c r="C121" s="461"/>
      <c r="D121" s="171"/>
      <c r="E121" s="62"/>
      <c r="F121" s="62"/>
      <c r="G121" s="171"/>
      <c r="H121" s="171"/>
      <c r="I121" s="62"/>
      <c r="J121" s="171"/>
      <c r="K121" s="171"/>
      <c r="L121" s="171"/>
      <c r="M121" s="171"/>
      <c r="N121" s="171"/>
      <c r="O121" s="171"/>
      <c r="P121" s="171"/>
      <c r="Q121" s="171"/>
      <c r="R121" s="171"/>
      <c r="S121" s="62"/>
      <c r="T121" s="62"/>
    </row>
    <row r="122" spans="1:20" x14ac:dyDescent="0.3">
      <c r="A122" s="555"/>
      <c r="B122" s="479" t="s">
        <v>541</v>
      </c>
      <c r="C122" s="479"/>
      <c r="D122" s="171">
        <f>D120+D111</f>
        <v>9772049.1699999999</v>
      </c>
      <c r="E122" s="171">
        <f>E120+E111</f>
        <v>0</v>
      </c>
      <c r="F122" s="171">
        <f>F120+F111</f>
        <v>9772049.1699999999</v>
      </c>
      <c r="G122" s="171"/>
      <c r="H122" s="171">
        <f t="shared" ref="H122:Q122" si="30">H120+H111</f>
        <v>9772049.1699999999</v>
      </c>
      <c r="I122" s="171">
        <f t="shared" si="30"/>
        <v>9772049.1699999999</v>
      </c>
      <c r="J122" s="171">
        <f t="shared" si="30"/>
        <v>0</v>
      </c>
      <c r="K122" s="171">
        <f t="shared" si="30"/>
        <v>9772049.1699999999</v>
      </c>
      <c r="L122" s="171">
        <f t="shared" si="30"/>
        <v>0</v>
      </c>
      <c r="M122" s="171">
        <f t="shared" si="30"/>
        <v>0</v>
      </c>
      <c r="N122" s="171">
        <f t="shared" si="30"/>
        <v>0</v>
      </c>
      <c r="O122" s="171">
        <f t="shared" si="30"/>
        <v>0</v>
      </c>
      <c r="P122" s="171">
        <f t="shared" si="30"/>
        <v>0</v>
      </c>
      <c r="Q122" s="171">
        <f t="shared" si="30"/>
        <v>0</v>
      </c>
      <c r="R122" s="171"/>
      <c r="S122" s="62"/>
      <c r="T122" s="62"/>
    </row>
    <row r="123" spans="1:20" s="1" customFormat="1" x14ac:dyDescent="0.3">
      <c r="A123" s="555"/>
      <c r="B123" s="461"/>
      <c r="C123" s="461"/>
      <c r="D123" s="171"/>
      <c r="E123" s="62"/>
      <c r="F123" s="62"/>
      <c r="G123" s="171"/>
      <c r="H123" s="171"/>
      <c r="I123" s="62"/>
      <c r="J123" s="171"/>
      <c r="K123" s="171"/>
      <c r="L123" s="171"/>
      <c r="M123" s="171"/>
      <c r="N123" s="171"/>
      <c r="O123" s="171"/>
      <c r="P123" s="171"/>
      <c r="Q123" s="171"/>
      <c r="R123" s="171"/>
      <c r="S123" s="62"/>
      <c r="T123" s="62"/>
    </row>
    <row r="124" spans="1:20" s="1" customFormat="1" x14ac:dyDescent="0.3">
      <c r="A124" s="554" t="s">
        <v>367</v>
      </c>
      <c r="B124" s="461"/>
      <c r="C124" s="461"/>
      <c r="D124" s="171"/>
      <c r="E124" s="62"/>
      <c r="F124" s="62"/>
      <c r="G124" s="171"/>
      <c r="H124" s="171"/>
      <c r="I124" s="62"/>
      <c r="J124" s="171"/>
      <c r="K124" s="171"/>
      <c r="L124" s="171"/>
      <c r="M124" s="171"/>
      <c r="N124" s="171"/>
      <c r="O124" s="171"/>
      <c r="P124" s="171"/>
      <c r="Q124" s="171"/>
      <c r="R124" s="171"/>
      <c r="S124" s="62"/>
      <c r="T124" s="62"/>
    </row>
    <row r="125" spans="1:20" s="1" customFormat="1" x14ac:dyDescent="0.3">
      <c r="A125" s="555"/>
      <c r="B125" s="464" t="s">
        <v>549</v>
      </c>
      <c r="C125" s="464"/>
      <c r="D125" s="171"/>
      <c r="E125" s="62"/>
      <c r="F125" s="62"/>
      <c r="G125" s="171"/>
      <c r="H125" s="171"/>
      <c r="I125" s="62"/>
      <c r="J125" s="171"/>
      <c r="K125" s="171"/>
      <c r="L125" s="171"/>
      <c r="M125" s="171"/>
      <c r="N125" s="171"/>
      <c r="O125" s="171"/>
      <c r="P125" s="171"/>
      <c r="Q125" s="171"/>
      <c r="R125" s="171"/>
      <c r="S125" s="62"/>
      <c r="T125" s="62"/>
    </row>
    <row r="126" spans="1:20" x14ac:dyDescent="0.3">
      <c r="A126" s="555">
        <v>580</v>
      </c>
      <c r="B126" s="461" t="s">
        <v>615</v>
      </c>
      <c r="C126" s="461" t="s">
        <v>1111</v>
      </c>
      <c r="D126" s="171">
        <v>4504853.38</v>
      </c>
      <c r="E126" s="62"/>
      <c r="F126" s="468">
        <f t="shared" ref="F126:F135" si="31">D126+E126</f>
        <v>4504853.38</v>
      </c>
      <c r="G126" s="171"/>
      <c r="H126" s="171">
        <f t="shared" ref="H126:H135" si="32">F126</f>
        <v>4504853.38</v>
      </c>
      <c r="I126" s="468">
        <f t="shared" ref="I126:I135" si="33">H126</f>
        <v>4504853.38</v>
      </c>
      <c r="J126" s="171">
        <f>$I$126*J137/$I$137</f>
        <v>0</v>
      </c>
      <c r="K126" s="171">
        <f t="shared" ref="K126:Q126" si="34">$I$126*K137/$I$137</f>
        <v>0</v>
      </c>
      <c r="L126" s="171">
        <f t="shared" si="34"/>
        <v>3692006.0949274898</v>
      </c>
      <c r="M126" s="171">
        <f t="shared" si="34"/>
        <v>812847.28507251048</v>
      </c>
      <c r="N126" s="171">
        <f t="shared" si="34"/>
        <v>0</v>
      </c>
      <c r="O126" s="171">
        <f t="shared" si="34"/>
        <v>0</v>
      </c>
      <c r="P126" s="171">
        <f t="shared" si="34"/>
        <v>0</v>
      </c>
      <c r="Q126" s="171">
        <f t="shared" si="34"/>
        <v>0</v>
      </c>
      <c r="R126" s="171"/>
      <c r="S126" s="62">
        <f t="shared" ref="S126:S136" si="35">SUM(J126:Q126)</f>
        <v>4504853.38</v>
      </c>
      <c r="T126" s="62">
        <f t="shared" ref="T126:T136" si="36">H126-S126</f>
        <v>0</v>
      </c>
    </row>
    <row r="127" spans="1:20" x14ac:dyDescent="0.3">
      <c r="A127" s="555">
        <v>581</v>
      </c>
      <c r="B127" s="466" t="s">
        <v>644</v>
      </c>
      <c r="C127" s="466"/>
      <c r="D127" s="171">
        <v>8472670.3800000008</v>
      </c>
      <c r="E127" s="62"/>
      <c r="F127" s="468">
        <f t="shared" si="31"/>
        <v>8472670.3800000008</v>
      </c>
      <c r="G127" s="171"/>
      <c r="H127" s="171">
        <f t="shared" si="32"/>
        <v>8472670.3800000008</v>
      </c>
      <c r="I127" s="468">
        <f t="shared" si="33"/>
        <v>8472670.3800000008</v>
      </c>
      <c r="J127" s="171"/>
      <c r="K127" s="171"/>
      <c r="L127" s="171">
        <f>I127</f>
        <v>8472670.3800000008</v>
      </c>
      <c r="M127" s="171"/>
      <c r="N127" s="171"/>
      <c r="O127" s="171"/>
      <c r="P127" s="171"/>
      <c r="Q127" s="171"/>
      <c r="R127" s="171"/>
      <c r="S127" s="62">
        <f t="shared" si="35"/>
        <v>8472670.3800000008</v>
      </c>
      <c r="T127" s="62">
        <f t="shared" si="36"/>
        <v>0</v>
      </c>
    </row>
    <row r="128" spans="1:20" x14ac:dyDescent="0.3">
      <c r="A128" s="555">
        <v>582</v>
      </c>
      <c r="B128" s="461" t="s">
        <v>668</v>
      </c>
      <c r="C128" s="461"/>
      <c r="D128" s="171">
        <v>161696.93</v>
      </c>
      <c r="E128" s="62"/>
      <c r="F128" s="468">
        <f t="shared" si="31"/>
        <v>161696.93</v>
      </c>
      <c r="G128" s="171"/>
      <c r="H128" s="171">
        <f t="shared" si="32"/>
        <v>161696.93</v>
      </c>
      <c r="I128" s="468">
        <f t="shared" si="33"/>
        <v>161696.93</v>
      </c>
      <c r="J128" s="171">
        <f>$I128*'1. RB-i'!J$81/'1. RB-i'!$I$81</f>
        <v>0</v>
      </c>
      <c r="K128" s="171"/>
      <c r="L128" s="171">
        <f>I128</f>
        <v>161696.93</v>
      </c>
      <c r="M128" s="171">
        <f>$I128*'1. RB-i'!M$81/'1. RB-i'!$I$81</f>
        <v>0</v>
      </c>
      <c r="N128" s="171">
        <f>$I128*'1. RB-i'!N$81/'1. RB-i'!$I$81</f>
        <v>0</v>
      </c>
      <c r="O128" s="171">
        <f>$I128*'1. RB-i'!O$81/'1. RB-i'!$I$81</f>
        <v>0</v>
      </c>
      <c r="P128" s="171">
        <f>$I128*'1. RB-i'!P$81/'1. RB-i'!$I$81</f>
        <v>0</v>
      </c>
      <c r="Q128" s="171">
        <f>$I128*'1. RB-i'!Q$81/'1. RB-i'!$I$81</f>
        <v>0</v>
      </c>
      <c r="R128" s="171"/>
      <c r="S128" s="62">
        <f t="shared" si="35"/>
        <v>161696.93</v>
      </c>
      <c r="T128" s="62">
        <f t="shared" si="36"/>
        <v>0</v>
      </c>
    </row>
    <row r="129" spans="1:20" x14ac:dyDescent="0.3">
      <c r="A129" s="555">
        <v>583</v>
      </c>
      <c r="B129" s="461" t="s">
        <v>670</v>
      </c>
      <c r="C129" s="461"/>
      <c r="D129" s="171">
        <v>2609851.5499999998</v>
      </c>
      <c r="E129" s="62"/>
      <c r="F129" s="468">
        <f t="shared" si="31"/>
        <v>2609851.5499999998</v>
      </c>
      <c r="G129" s="171"/>
      <c r="H129" s="171">
        <f t="shared" si="32"/>
        <v>2609851.5499999998</v>
      </c>
      <c r="I129" s="468">
        <f t="shared" si="33"/>
        <v>2609851.5499999998</v>
      </c>
      <c r="J129" s="171"/>
      <c r="K129" s="171"/>
      <c r="L129" s="171">
        <f t="shared" ref="L129:L135" si="37">I129</f>
        <v>2609851.5499999998</v>
      </c>
      <c r="M129" s="171"/>
      <c r="N129" s="171"/>
      <c r="O129" s="171"/>
      <c r="P129" s="171"/>
      <c r="Q129" s="171"/>
      <c r="R129" s="171"/>
      <c r="S129" s="62">
        <f t="shared" si="35"/>
        <v>2609851.5499999998</v>
      </c>
      <c r="T129" s="62">
        <f t="shared" si="36"/>
        <v>0</v>
      </c>
    </row>
    <row r="130" spans="1:20" x14ac:dyDescent="0.3">
      <c r="A130" s="555">
        <v>584</v>
      </c>
      <c r="B130" s="461" t="s">
        <v>649</v>
      </c>
      <c r="C130" s="461"/>
      <c r="D130" s="171">
        <v>1332088.19</v>
      </c>
      <c r="E130" s="62"/>
      <c r="F130" s="468">
        <f t="shared" si="31"/>
        <v>1332088.19</v>
      </c>
      <c r="G130" s="171"/>
      <c r="H130" s="171">
        <f t="shared" si="32"/>
        <v>1332088.19</v>
      </c>
      <c r="I130" s="468">
        <f t="shared" si="33"/>
        <v>1332088.19</v>
      </c>
      <c r="J130" s="171"/>
      <c r="K130" s="171"/>
      <c r="L130" s="171">
        <f t="shared" si="37"/>
        <v>1332088.19</v>
      </c>
      <c r="M130" s="171"/>
      <c r="N130" s="171"/>
      <c r="O130" s="171"/>
      <c r="P130" s="171"/>
      <c r="Q130" s="171"/>
      <c r="R130" s="171"/>
      <c r="S130" s="62">
        <f t="shared" si="35"/>
        <v>1332088.19</v>
      </c>
      <c r="T130" s="62">
        <f t="shared" si="36"/>
        <v>0</v>
      </c>
    </row>
    <row r="131" spans="1:20" x14ac:dyDescent="0.3">
      <c r="A131" s="555">
        <v>585</v>
      </c>
      <c r="B131" s="461" t="s">
        <v>673</v>
      </c>
      <c r="C131" s="461"/>
      <c r="D131" s="171">
        <v>247330.41</v>
      </c>
      <c r="E131" s="62"/>
      <c r="F131" s="468">
        <f t="shared" si="31"/>
        <v>247330.41</v>
      </c>
      <c r="G131" s="171"/>
      <c r="H131" s="171">
        <f t="shared" si="32"/>
        <v>247330.41</v>
      </c>
      <c r="I131" s="468">
        <f t="shared" si="33"/>
        <v>247330.41</v>
      </c>
      <c r="J131" s="171"/>
      <c r="K131" s="171"/>
      <c r="L131" s="171">
        <f t="shared" si="37"/>
        <v>247330.41</v>
      </c>
      <c r="M131" s="171"/>
      <c r="N131" s="171"/>
      <c r="O131" s="171"/>
      <c r="P131" s="171"/>
      <c r="Q131" s="171"/>
      <c r="R131" s="171"/>
      <c r="S131" s="62">
        <f t="shared" si="35"/>
        <v>247330.41</v>
      </c>
      <c r="T131" s="62">
        <f t="shared" si="36"/>
        <v>0</v>
      </c>
    </row>
    <row r="132" spans="1:20" x14ac:dyDescent="0.3">
      <c r="A132" s="555">
        <v>586</v>
      </c>
      <c r="B132" s="461" t="s">
        <v>675</v>
      </c>
      <c r="C132" s="461"/>
      <c r="D132" s="171">
        <v>2848395.52</v>
      </c>
      <c r="E132" s="62"/>
      <c r="F132" s="468">
        <f t="shared" si="31"/>
        <v>2848395.52</v>
      </c>
      <c r="G132" s="171"/>
      <c r="H132" s="171">
        <f t="shared" si="32"/>
        <v>2848395.52</v>
      </c>
      <c r="I132" s="468">
        <f t="shared" si="33"/>
        <v>2848395.52</v>
      </c>
      <c r="J132" s="171"/>
      <c r="K132" s="171"/>
      <c r="L132" s="171"/>
      <c r="M132" s="171">
        <f>I132</f>
        <v>2848395.52</v>
      </c>
      <c r="N132" s="171"/>
      <c r="O132" s="171"/>
      <c r="P132" s="171"/>
      <c r="Q132" s="171"/>
      <c r="R132" s="171"/>
      <c r="S132" s="62">
        <f t="shared" si="35"/>
        <v>2848395.52</v>
      </c>
      <c r="T132" s="62">
        <f t="shared" si="36"/>
        <v>0</v>
      </c>
    </row>
    <row r="133" spans="1:20" x14ac:dyDescent="0.3">
      <c r="A133" s="555">
        <v>587</v>
      </c>
      <c r="B133" s="461" t="s">
        <v>677</v>
      </c>
      <c r="C133" s="461"/>
      <c r="D133" s="171">
        <v>113963.26</v>
      </c>
      <c r="E133" s="62"/>
      <c r="F133" s="468">
        <f t="shared" si="31"/>
        <v>113963.26</v>
      </c>
      <c r="G133" s="171"/>
      <c r="H133" s="171">
        <f t="shared" si="32"/>
        <v>113963.26</v>
      </c>
      <c r="I133" s="468">
        <f t="shared" si="33"/>
        <v>113963.26</v>
      </c>
      <c r="J133" s="171"/>
      <c r="K133" s="171"/>
      <c r="L133" s="171">
        <f>I133</f>
        <v>113963.26</v>
      </c>
      <c r="M133" s="171"/>
      <c r="N133" s="171"/>
      <c r="O133" s="171"/>
      <c r="P133" s="171">
        <v>0</v>
      </c>
      <c r="Q133" s="171"/>
      <c r="R133" s="171"/>
      <c r="S133" s="62">
        <f t="shared" si="35"/>
        <v>113963.26</v>
      </c>
      <c r="T133" s="62">
        <f t="shared" si="36"/>
        <v>0</v>
      </c>
    </row>
    <row r="134" spans="1:20" x14ac:dyDescent="0.3">
      <c r="A134" s="555">
        <v>588</v>
      </c>
      <c r="B134" s="466" t="s">
        <v>679</v>
      </c>
      <c r="C134" s="461" t="s">
        <v>1111</v>
      </c>
      <c r="D134" s="171">
        <v>2156573.4</v>
      </c>
      <c r="E134" s="62"/>
      <c r="F134" s="468">
        <f t="shared" si="31"/>
        <v>2156573.4</v>
      </c>
      <c r="G134" s="171"/>
      <c r="H134" s="171">
        <f t="shared" si="32"/>
        <v>2156573.4</v>
      </c>
      <c r="I134" s="468">
        <f t="shared" si="33"/>
        <v>2156573.4</v>
      </c>
      <c r="J134" s="171">
        <f t="shared" ref="J134:Q134" si="38">$I134*J$137/$I$137</f>
        <v>0</v>
      </c>
      <c r="K134" s="171">
        <f t="shared" si="38"/>
        <v>0</v>
      </c>
      <c r="L134" s="171">
        <f t="shared" si="38"/>
        <v>1767445.3451265262</v>
      </c>
      <c r="M134" s="171">
        <f t="shared" si="38"/>
        <v>389128.05487347365</v>
      </c>
      <c r="N134" s="171">
        <f t="shared" si="38"/>
        <v>0</v>
      </c>
      <c r="O134" s="171">
        <f t="shared" si="38"/>
        <v>0</v>
      </c>
      <c r="P134" s="171">
        <f t="shared" si="38"/>
        <v>0</v>
      </c>
      <c r="Q134" s="171">
        <f t="shared" si="38"/>
        <v>0</v>
      </c>
      <c r="R134" s="171"/>
      <c r="S134" s="62">
        <f t="shared" si="35"/>
        <v>2156573.4</v>
      </c>
      <c r="T134" s="62">
        <f t="shared" si="36"/>
        <v>0</v>
      </c>
    </row>
    <row r="135" spans="1:20" ht="14.5" x14ac:dyDescent="0.45">
      <c r="A135" s="555">
        <v>589</v>
      </c>
      <c r="B135" s="461" t="s">
        <v>564</v>
      </c>
      <c r="C135" s="461"/>
      <c r="D135" s="472">
        <v>0</v>
      </c>
      <c r="E135" s="62"/>
      <c r="F135" s="473">
        <f t="shared" si="31"/>
        <v>0</v>
      </c>
      <c r="G135" s="472"/>
      <c r="H135" s="472">
        <f t="shared" si="32"/>
        <v>0</v>
      </c>
      <c r="I135" s="473">
        <f t="shared" si="33"/>
        <v>0</v>
      </c>
      <c r="J135" s="472"/>
      <c r="K135" s="472"/>
      <c r="L135" s="472">
        <f t="shared" si="37"/>
        <v>0</v>
      </c>
      <c r="M135" s="472"/>
      <c r="N135" s="472"/>
      <c r="O135" s="472"/>
      <c r="P135" s="472"/>
      <c r="Q135" s="472"/>
      <c r="R135" s="171"/>
      <c r="S135" s="62">
        <f t="shared" si="35"/>
        <v>0</v>
      </c>
      <c r="T135" s="62">
        <f t="shared" si="36"/>
        <v>0</v>
      </c>
    </row>
    <row r="136" spans="1:20" x14ac:dyDescent="0.3">
      <c r="A136" s="555"/>
      <c r="B136" s="474" t="s">
        <v>524</v>
      </c>
      <c r="C136" s="474"/>
      <c r="D136" s="171">
        <f>SUM(D126:D135)</f>
        <v>22447423.020000003</v>
      </c>
      <c r="E136" s="171">
        <f>SUM(E126:E135)</f>
        <v>0</v>
      </c>
      <c r="F136" s="171">
        <f>SUM(F126:F135)</f>
        <v>22447423.020000003</v>
      </c>
      <c r="G136" s="171"/>
      <c r="H136" s="171">
        <f t="shared" ref="H136:Q136" si="39">SUM(H126:H135)</f>
        <v>22447423.020000003</v>
      </c>
      <c r="I136" s="171">
        <f t="shared" si="39"/>
        <v>22447423.020000003</v>
      </c>
      <c r="J136" s="171">
        <f t="shared" si="39"/>
        <v>0</v>
      </c>
      <c r="K136" s="171">
        <f t="shared" si="39"/>
        <v>0</v>
      </c>
      <c r="L136" s="171">
        <f t="shared" si="39"/>
        <v>18397052.160054013</v>
      </c>
      <c r="M136" s="171">
        <f t="shared" si="39"/>
        <v>4050370.8599459841</v>
      </c>
      <c r="N136" s="171">
        <f t="shared" si="39"/>
        <v>0</v>
      </c>
      <c r="O136" s="171">
        <f t="shared" si="39"/>
        <v>0</v>
      </c>
      <c r="P136" s="171">
        <f t="shared" si="39"/>
        <v>0</v>
      </c>
      <c r="Q136" s="171">
        <f t="shared" si="39"/>
        <v>0</v>
      </c>
      <c r="R136" s="171"/>
      <c r="S136" s="62">
        <f t="shared" si="35"/>
        <v>22447423.019999996</v>
      </c>
      <c r="T136" s="62">
        <f t="shared" si="36"/>
        <v>0</v>
      </c>
    </row>
    <row r="137" spans="1:20" x14ac:dyDescent="0.3">
      <c r="A137" s="484" t="s">
        <v>1205</v>
      </c>
      <c r="B137" s="461" t="s">
        <v>1111</v>
      </c>
      <c r="C137" s="461"/>
      <c r="D137" s="62">
        <f>SUM(D127:D133,D135)</f>
        <v>15785996.239999998</v>
      </c>
      <c r="E137" s="62"/>
      <c r="F137" s="62">
        <f>SUM(F127:F133,F135)</f>
        <v>15785996.239999998</v>
      </c>
      <c r="G137" s="171"/>
      <c r="H137" s="62">
        <f>SUM(H127:H133,H135)</f>
        <v>15785996.239999998</v>
      </c>
      <c r="I137" s="62">
        <f>SUM(I127:I133,I135)</f>
        <v>15785996.239999998</v>
      </c>
      <c r="J137" s="171">
        <f>SUM(J127:J133,J135)</f>
        <v>0</v>
      </c>
      <c r="K137" s="171">
        <f>SUM(K127:K133,K135)</f>
        <v>0</v>
      </c>
      <c r="L137" s="171">
        <f t="shared" ref="L137:Q137" si="40">SUM(L127:L133,L135)</f>
        <v>12937600.719999999</v>
      </c>
      <c r="M137" s="171">
        <f t="shared" si="40"/>
        <v>2848395.52</v>
      </c>
      <c r="N137" s="171">
        <f t="shared" si="40"/>
        <v>0</v>
      </c>
      <c r="O137" s="171">
        <f t="shared" si="40"/>
        <v>0</v>
      </c>
      <c r="P137" s="171">
        <f t="shared" si="40"/>
        <v>0</v>
      </c>
      <c r="Q137" s="171">
        <f t="shared" si="40"/>
        <v>0</v>
      </c>
      <c r="R137" s="62"/>
      <c r="S137" s="62"/>
      <c r="T137" s="62"/>
    </row>
    <row r="138" spans="1:20" x14ac:dyDescent="0.3">
      <c r="A138" s="555"/>
      <c r="B138" s="464" t="s">
        <v>565</v>
      </c>
      <c r="C138" s="464"/>
      <c r="D138" s="171"/>
      <c r="E138" s="62"/>
      <c r="F138" s="62"/>
      <c r="G138" s="171"/>
      <c r="H138" s="171"/>
      <c r="I138" s="62"/>
      <c r="J138" s="171"/>
      <c r="K138" s="171"/>
      <c r="L138" s="171"/>
      <c r="M138" s="171"/>
      <c r="N138" s="171"/>
      <c r="O138" s="171"/>
      <c r="P138" s="171"/>
      <c r="Q138" s="171"/>
      <c r="R138" s="171"/>
      <c r="S138" s="62"/>
      <c r="T138" s="62"/>
    </row>
    <row r="139" spans="1:20" x14ac:dyDescent="0.3">
      <c r="A139" s="555">
        <v>590</v>
      </c>
      <c r="B139" s="461" t="s">
        <v>682</v>
      </c>
      <c r="C139" s="486" t="s">
        <v>1112</v>
      </c>
      <c r="D139" s="171">
        <v>1053104.01</v>
      </c>
      <c r="E139" s="62"/>
      <c r="F139" s="468">
        <f t="shared" ref="F139:F147" si="41">D139+E139</f>
        <v>1053104.01</v>
      </c>
      <c r="G139" s="171"/>
      <c r="H139" s="171">
        <f t="shared" ref="H139:H147" si="42">F139</f>
        <v>1053104.01</v>
      </c>
      <c r="I139" s="468">
        <f t="shared" ref="I139:I147" si="43">H139</f>
        <v>1053104.01</v>
      </c>
      <c r="J139" s="171">
        <f t="shared" ref="J139:Q139" si="44">$I139*J$149/$I$149</f>
        <v>0</v>
      </c>
      <c r="K139" s="171">
        <f t="shared" si="44"/>
        <v>0</v>
      </c>
      <c r="L139" s="171">
        <f t="shared" si="44"/>
        <v>1008012.7666651128</v>
      </c>
      <c r="M139" s="171">
        <f t="shared" si="44"/>
        <v>45091.243334887171</v>
      </c>
      <c r="N139" s="171">
        <f t="shared" si="44"/>
        <v>0</v>
      </c>
      <c r="O139" s="171">
        <f t="shared" si="44"/>
        <v>0</v>
      </c>
      <c r="P139" s="171">
        <f t="shared" si="44"/>
        <v>0</v>
      </c>
      <c r="Q139" s="171">
        <f t="shared" si="44"/>
        <v>0</v>
      </c>
      <c r="R139" s="171"/>
      <c r="S139" s="62">
        <f t="shared" ref="S139:S150" si="45">SUM(J139:Q139)</f>
        <v>1053104.01</v>
      </c>
      <c r="T139" s="62">
        <f t="shared" ref="T139:T150" si="46">H139-S139</f>
        <v>0</v>
      </c>
    </row>
    <row r="140" spans="1:20" x14ac:dyDescent="0.3">
      <c r="A140" s="555">
        <v>591</v>
      </c>
      <c r="B140" s="466" t="s">
        <v>569</v>
      </c>
      <c r="C140" s="466"/>
      <c r="D140" s="171">
        <v>0</v>
      </c>
      <c r="E140" s="62"/>
      <c r="F140" s="468">
        <f t="shared" si="41"/>
        <v>0</v>
      </c>
      <c r="G140" s="171"/>
      <c r="H140" s="171">
        <f t="shared" si="42"/>
        <v>0</v>
      </c>
      <c r="I140" s="468">
        <f t="shared" si="43"/>
        <v>0</v>
      </c>
      <c r="J140" s="171"/>
      <c r="K140" s="171"/>
      <c r="L140" s="171">
        <f t="shared" ref="L140:L145" si="47">I140</f>
        <v>0</v>
      </c>
      <c r="M140" s="171"/>
      <c r="N140" s="171"/>
      <c r="O140" s="171"/>
      <c r="P140" s="171"/>
      <c r="Q140" s="171"/>
      <c r="R140" s="171"/>
      <c r="S140" s="62">
        <f t="shared" si="45"/>
        <v>0</v>
      </c>
      <c r="T140" s="62">
        <f t="shared" si="46"/>
        <v>0</v>
      </c>
    </row>
    <row r="141" spans="1:20" x14ac:dyDescent="0.3">
      <c r="A141" s="555">
        <v>592</v>
      </c>
      <c r="B141" s="461" t="s">
        <v>658</v>
      </c>
      <c r="C141" s="461"/>
      <c r="D141" s="171">
        <v>3791811.89</v>
      </c>
      <c r="E141" s="171"/>
      <c r="F141" s="468">
        <f t="shared" si="41"/>
        <v>3791811.89</v>
      </c>
      <c r="G141" s="171"/>
      <c r="H141" s="171">
        <f t="shared" si="42"/>
        <v>3791811.89</v>
      </c>
      <c r="I141" s="468">
        <f t="shared" si="43"/>
        <v>3791811.89</v>
      </c>
      <c r="J141" s="171"/>
      <c r="K141" s="171"/>
      <c r="L141" s="171">
        <f>I141</f>
        <v>3791811.89</v>
      </c>
      <c r="M141" s="171">
        <f>$I141*'1. RB-i'!M$81/'1. RB-i'!$I$81</f>
        <v>0</v>
      </c>
      <c r="N141" s="171">
        <f>$I141*'1. RB-i'!N$81/'1. RB-i'!$I$81</f>
        <v>0</v>
      </c>
      <c r="O141" s="171">
        <f>$I141*'1. RB-i'!O$81/'1. RB-i'!$I$81</f>
        <v>0</v>
      </c>
      <c r="P141" s="171">
        <f>$I141*'1. RB-i'!P$81/'1. RB-i'!$I$81</f>
        <v>0</v>
      </c>
      <c r="Q141" s="171">
        <f>$I141*'1. RB-i'!Q$81/'1. RB-i'!$I$81</f>
        <v>0</v>
      </c>
      <c r="R141" s="171"/>
      <c r="S141" s="62">
        <f t="shared" si="45"/>
        <v>3791811.89</v>
      </c>
      <c r="T141" s="62">
        <f t="shared" si="46"/>
        <v>0</v>
      </c>
    </row>
    <row r="142" spans="1:20" x14ac:dyDescent="0.3">
      <c r="A142" s="555">
        <v>593</v>
      </c>
      <c r="B142" s="466" t="s">
        <v>660</v>
      </c>
      <c r="C142" s="466"/>
      <c r="D142" s="171">
        <v>18135476.690000001</v>
      </c>
      <c r="E142" s="171">
        <f>'3a. OM_AG-i'!E142</f>
        <v>0</v>
      </c>
      <c r="F142" s="468">
        <f t="shared" si="41"/>
        <v>18135476.690000001</v>
      </c>
      <c r="G142" s="171"/>
      <c r="H142" s="171">
        <f t="shared" si="42"/>
        <v>18135476.690000001</v>
      </c>
      <c r="I142" s="468">
        <f t="shared" si="43"/>
        <v>18135476.690000001</v>
      </c>
      <c r="J142" s="171"/>
      <c r="K142" s="171"/>
      <c r="L142" s="171">
        <f t="shared" si="47"/>
        <v>18135476.690000001</v>
      </c>
      <c r="M142" s="171"/>
      <c r="N142" s="171"/>
      <c r="O142" s="171"/>
      <c r="P142" s="171"/>
      <c r="Q142" s="171"/>
      <c r="R142" s="171"/>
      <c r="S142" s="62">
        <f t="shared" si="45"/>
        <v>18135476.690000001</v>
      </c>
      <c r="T142" s="62">
        <f t="shared" si="46"/>
        <v>0</v>
      </c>
    </row>
    <row r="143" spans="1:20" x14ac:dyDescent="0.3">
      <c r="A143" s="555">
        <v>594</v>
      </c>
      <c r="B143" s="461" t="s">
        <v>662</v>
      </c>
      <c r="C143" s="461"/>
      <c r="D143" s="171">
        <v>8562698.5099999998</v>
      </c>
      <c r="E143" s="171">
        <f>'3a. OM_AG-i'!E143</f>
        <v>0</v>
      </c>
      <c r="F143" s="468">
        <f t="shared" si="41"/>
        <v>8562698.5099999998</v>
      </c>
      <c r="G143" s="171"/>
      <c r="H143" s="171">
        <f t="shared" si="42"/>
        <v>8562698.5099999998</v>
      </c>
      <c r="I143" s="468">
        <f t="shared" si="43"/>
        <v>8562698.5099999998</v>
      </c>
      <c r="J143" s="171"/>
      <c r="K143" s="171"/>
      <c r="L143" s="171">
        <f t="shared" si="47"/>
        <v>8562698.5099999998</v>
      </c>
      <c r="M143" s="171"/>
      <c r="N143" s="171"/>
      <c r="O143" s="171"/>
      <c r="P143" s="171"/>
      <c r="Q143" s="171"/>
      <c r="R143" s="171"/>
      <c r="S143" s="62">
        <f t="shared" si="45"/>
        <v>8562698.5099999998</v>
      </c>
      <c r="T143" s="62">
        <f t="shared" si="46"/>
        <v>0</v>
      </c>
    </row>
    <row r="144" spans="1:20" x14ac:dyDescent="0.3">
      <c r="A144" s="555">
        <v>595</v>
      </c>
      <c r="B144" s="461" t="s">
        <v>688</v>
      </c>
      <c r="C144" s="461"/>
      <c r="D144" s="171">
        <v>1612933.06</v>
      </c>
      <c r="E144" s="171"/>
      <c r="F144" s="468">
        <f t="shared" si="41"/>
        <v>1612933.06</v>
      </c>
      <c r="G144" s="171"/>
      <c r="H144" s="171">
        <f t="shared" si="42"/>
        <v>1612933.06</v>
      </c>
      <c r="I144" s="468">
        <f t="shared" si="43"/>
        <v>1612933.06</v>
      </c>
      <c r="J144" s="171"/>
      <c r="K144" s="171"/>
      <c r="L144" s="171">
        <f t="shared" si="47"/>
        <v>1612933.06</v>
      </c>
      <c r="M144" s="171"/>
      <c r="N144" s="171"/>
      <c r="O144" s="171"/>
      <c r="P144" s="171"/>
      <c r="Q144" s="171"/>
      <c r="R144" s="171"/>
      <c r="S144" s="62">
        <f t="shared" si="45"/>
        <v>1612933.06</v>
      </c>
      <c r="T144" s="62">
        <f t="shared" si="46"/>
        <v>0</v>
      </c>
    </row>
    <row r="145" spans="1:20" x14ac:dyDescent="0.3">
      <c r="A145" s="555">
        <v>596</v>
      </c>
      <c r="B145" s="461" t="s">
        <v>690</v>
      </c>
      <c r="C145" s="461"/>
      <c r="D145" s="171">
        <v>36327.919999999998</v>
      </c>
      <c r="E145" s="171">
        <f>'3a. OM_AG-i'!E145</f>
        <v>0</v>
      </c>
      <c r="F145" s="468">
        <f t="shared" si="41"/>
        <v>36327.919999999998</v>
      </c>
      <c r="G145" s="171"/>
      <c r="H145" s="171">
        <f t="shared" si="42"/>
        <v>36327.919999999998</v>
      </c>
      <c r="I145" s="468">
        <f t="shared" si="43"/>
        <v>36327.919999999998</v>
      </c>
      <c r="J145" s="171"/>
      <c r="K145" s="171"/>
      <c r="L145" s="171">
        <f t="shared" si="47"/>
        <v>36327.919999999998</v>
      </c>
      <c r="M145" s="171"/>
      <c r="N145" s="171"/>
      <c r="O145" s="171"/>
      <c r="P145" s="171"/>
      <c r="Q145" s="171"/>
      <c r="R145" s="171"/>
      <c r="S145" s="62">
        <f t="shared" si="45"/>
        <v>36327.919999999998</v>
      </c>
      <c r="T145" s="62">
        <f t="shared" si="46"/>
        <v>0</v>
      </c>
    </row>
    <row r="146" spans="1:20" x14ac:dyDescent="0.3">
      <c r="A146" s="555">
        <v>597</v>
      </c>
      <c r="B146" s="461" t="s">
        <v>692</v>
      </c>
      <c r="C146" s="461"/>
      <c r="D146" s="171">
        <v>1437678.87</v>
      </c>
      <c r="E146" s="171"/>
      <c r="F146" s="468">
        <f t="shared" si="41"/>
        <v>1437678.87</v>
      </c>
      <c r="G146" s="171"/>
      <c r="H146" s="171">
        <f t="shared" si="42"/>
        <v>1437678.87</v>
      </c>
      <c r="I146" s="468">
        <f t="shared" si="43"/>
        <v>1437678.87</v>
      </c>
      <c r="J146" s="171"/>
      <c r="K146" s="171"/>
      <c r="L146" s="171"/>
      <c r="M146" s="171">
        <f>I146</f>
        <v>1437678.87</v>
      </c>
      <c r="N146" s="171"/>
      <c r="O146" s="171"/>
      <c r="P146" s="171"/>
      <c r="Q146" s="171"/>
      <c r="R146" s="171"/>
      <c r="S146" s="62">
        <f t="shared" si="45"/>
        <v>1437678.87</v>
      </c>
      <c r="T146" s="62">
        <f t="shared" si="46"/>
        <v>0</v>
      </c>
    </row>
    <row r="147" spans="1:20" ht="14.5" x14ac:dyDescent="0.45">
      <c r="A147" s="555">
        <v>598</v>
      </c>
      <c r="B147" s="461" t="s">
        <v>694</v>
      </c>
      <c r="C147" s="486" t="s">
        <v>1112</v>
      </c>
      <c r="D147" s="472">
        <v>128.41</v>
      </c>
      <c r="E147" s="171"/>
      <c r="F147" s="473">
        <f t="shared" si="41"/>
        <v>128.41</v>
      </c>
      <c r="G147" s="472"/>
      <c r="H147" s="472">
        <f t="shared" si="42"/>
        <v>128.41</v>
      </c>
      <c r="I147" s="473">
        <f t="shared" si="43"/>
        <v>128.41</v>
      </c>
      <c r="J147" s="472"/>
      <c r="K147" s="472">
        <f>$I147*K$149/$I$149</f>
        <v>0</v>
      </c>
      <c r="L147" s="472">
        <f>$I147*L$149/$I$149</f>
        <v>122.91180941136776</v>
      </c>
      <c r="M147" s="472">
        <f>$I147*M$149/$I$149</f>
        <v>5.4981905886322302</v>
      </c>
      <c r="N147" s="472"/>
      <c r="O147" s="472"/>
      <c r="P147" s="472"/>
      <c r="Q147" s="171"/>
      <c r="R147" s="171"/>
      <c r="S147" s="62">
        <f t="shared" si="45"/>
        <v>128.41</v>
      </c>
      <c r="T147" s="62">
        <f t="shared" si="46"/>
        <v>0</v>
      </c>
    </row>
    <row r="148" spans="1:20" x14ac:dyDescent="0.3">
      <c r="A148" s="555"/>
      <c r="B148" s="474" t="s">
        <v>524</v>
      </c>
      <c r="C148" s="474"/>
      <c r="D148" s="171">
        <f>SUM(D139:D147)</f>
        <v>34630159.359999999</v>
      </c>
      <c r="E148" s="171">
        <f>SUM(E139:E147)</f>
        <v>0</v>
      </c>
      <c r="F148" s="171">
        <f>SUM(F139:F147)</f>
        <v>34630159.359999999</v>
      </c>
      <c r="G148" s="171"/>
      <c r="H148" s="171">
        <f t="shared" ref="H148:Q148" si="48">SUM(H139:H147)</f>
        <v>34630159.359999999</v>
      </c>
      <c r="I148" s="171">
        <f t="shared" si="48"/>
        <v>34630159.359999999</v>
      </c>
      <c r="J148" s="171">
        <f t="shared" si="48"/>
        <v>0</v>
      </c>
      <c r="K148" s="171">
        <f t="shared" si="48"/>
        <v>0</v>
      </c>
      <c r="L148" s="171">
        <f t="shared" si="48"/>
        <v>33147383.748474523</v>
      </c>
      <c r="M148" s="171">
        <f t="shared" si="48"/>
        <v>1482775.6115254757</v>
      </c>
      <c r="N148" s="171">
        <f t="shared" si="48"/>
        <v>0</v>
      </c>
      <c r="O148" s="171">
        <f t="shared" si="48"/>
        <v>0</v>
      </c>
      <c r="P148" s="171">
        <f t="shared" si="48"/>
        <v>0</v>
      </c>
      <c r="Q148" s="171">
        <f t="shared" si="48"/>
        <v>0</v>
      </c>
      <c r="R148" s="171"/>
      <c r="S148" s="62">
        <f t="shared" si="45"/>
        <v>34630159.359999999</v>
      </c>
      <c r="T148" s="62">
        <f t="shared" si="46"/>
        <v>0</v>
      </c>
    </row>
    <row r="149" spans="1:20" x14ac:dyDescent="0.3">
      <c r="A149" s="484" t="s">
        <v>1216</v>
      </c>
      <c r="B149" s="461" t="s">
        <v>1112</v>
      </c>
      <c r="C149" s="461"/>
      <c r="D149" s="62">
        <f>SUM(D140:D146)</f>
        <v>33576926.940000005</v>
      </c>
      <c r="E149" s="171">
        <f t="shared" ref="E149:Q149" si="49">SUM(E140:E146)</f>
        <v>0</v>
      </c>
      <c r="F149" s="62">
        <f t="shared" si="49"/>
        <v>33576926.940000005</v>
      </c>
      <c r="G149" s="171">
        <f t="shared" si="49"/>
        <v>0</v>
      </c>
      <c r="H149" s="62">
        <f t="shared" si="49"/>
        <v>33576926.940000005</v>
      </c>
      <c r="I149" s="62">
        <f t="shared" si="49"/>
        <v>33576926.940000005</v>
      </c>
      <c r="J149" s="171">
        <f t="shared" si="49"/>
        <v>0</v>
      </c>
      <c r="K149" s="171">
        <f t="shared" si="49"/>
        <v>0</v>
      </c>
      <c r="L149" s="171">
        <f t="shared" si="49"/>
        <v>32139248.070000004</v>
      </c>
      <c r="M149" s="171">
        <f t="shared" si="49"/>
        <v>1437678.87</v>
      </c>
      <c r="N149" s="171">
        <f t="shared" si="49"/>
        <v>0</v>
      </c>
      <c r="O149" s="171">
        <f t="shared" si="49"/>
        <v>0</v>
      </c>
      <c r="P149" s="171">
        <f t="shared" si="49"/>
        <v>0</v>
      </c>
      <c r="Q149" s="171">
        <f t="shared" si="49"/>
        <v>0</v>
      </c>
      <c r="R149" s="62"/>
      <c r="S149" s="62">
        <f t="shared" si="45"/>
        <v>33576926.940000005</v>
      </c>
      <c r="T149" s="62">
        <f t="shared" si="46"/>
        <v>0</v>
      </c>
    </row>
    <row r="150" spans="1:20" x14ac:dyDescent="0.3">
      <c r="A150" s="555"/>
      <c r="B150" s="479" t="s">
        <v>542</v>
      </c>
      <c r="C150" s="479"/>
      <c r="D150" s="171">
        <f>D148+D136</f>
        <v>57077582.380000003</v>
      </c>
      <c r="E150" s="171">
        <f>E148+E136</f>
        <v>0</v>
      </c>
      <c r="F150" s="171">
        <f>F148+F136</f>
        <v>57077582.380000003</v>
      </c>
      <c r="G150" s="171"/>
      <c r="H150" s="171">
        <f t="shared" ref="H150:Q150" si="50">H148+H136</f>
        <v>57077582.380000003</v>
      </c>
      <c r="I150" s="171">
        <f t="shared" si="50"/>
        <v>57077582.380000003</v>
      </c>
      <c r="J150" s="171">
        <f t="shared" si="50"/>
        <v>0</v>
      </c>
      <c r="K150" s="171">
        <f t="shared" si="50"/>
        <v>0</v>
      </c>
      <c r="L150" s="171">
        <f t="shared" si="50"/>
        <v>51544435.908528537</v>
      </c>
      <c r="M150" s="171">
        <f t="shared" si="50"/>
        <v>5533146.4714714596</v>
      </c>
      <c r="N150" s="171">
        <f t="shared" si="50"/>
        <v>0</v>
      </c>
      <c r="O150" s="171">
        <f t="shared" si="50"/>
        <v>0</v>
      </c>
      <c r="P150" s="171">
        <f t="shared" si="50"/>
        <v>0</v>
      </c>
      <c r="Q150" s="171">
        <f t="shared" si="50"/>
        <v>0</v>
      </c>
      <c r="R150" s="171"/>
      <c r="S150" s="62">
        <f t="shared" si="45"/>
        <v>57077582.379999995</v>
      </c>
      <c r="T150" s="62">
        <f t="shared" si="46"/>
        <v>0</v>
      </c>
    </row>
    <row r="151" spans="1:20" x14ac:dyDescent="0.3">
      <c r="A151" s="555"/>
      <c r="B151" s="479"/>
      <c r="C151" s="479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62"/>
      <c r="T151" s="62"/>
    </row>
    <row r="152" spans="1:20" x14ac:dyDescent="0.3">
      <c r="A152" s="555"/>
      <c r="B152" s="479" t="s">
        <v>695</v>
      </c>
      <c r="C152" s="479"/>
      <c r="D152" s="171">
        <f>D150+D122+D99</f>
        <v>133042047.71000001</v>
      </c>
      <c r="E152" s="171">
        <f>E150+E122+E99</f>
        <v>0</v>
      </c>
      <c r="F152" s="171">
        <f>F150+F122+F99</f>
        <v>133042047.71000001</v>
      </c>
      <c r="G152" s="171"/>
      <c r="H152" s="171">
        <f t="shared" ref="H152:Q152" si="51">H150+H122+H99</f>
        <v>133042047.71000001</v>
      </c>
      <c r="I152" s="171">
        <f t="shared" si="51"/>
        <v>133042047.71000001</v>
      </c>
      <c r="J152" s="171">
        <f t="shared" si="51"/>
        <v>66192416.160000004</v>
      </c>
      <c r="K152" s="171">
        <f t="shared" si="51"/>
        <v>9772049.1699999999</v>
      </c>
      <c r="L152" s="171">
        <f t="shared" si="51"/>
        <v>51544435.908528537</v>
      </c>
      <c r="M152" s="171">
        <f t="shared" si="51"/>
        <v>5533146.4714714596</v>
      </c>
      <c r="N152" s="171">
        <f t="shared" si="51"/>
        <v>0</v>
      </c>
      <c r="O152" s="171">
        <f t="shared" si="51"/>
        <v>0</v>
      </c>
      <c r="P152" s="171">
        <f t="shared" si="51"/>
        <v>0</v>
      </c>
      <c r="Q152" s="171">
        <f t="shared" si="51"/>
        <v>0</v>
      </c>
      <c r="R152" s="171"/>
      <c r="S152" s="62">
        <f>SUM(J152:Q152)</f>
        <v>133042047.70999999</v>
      </c>
      <c r="T152" s="62">
        <f>H152-S152</f>
        <v>0</v>
      </c>
    </row>
    <row r="153" spans="1:20" s="1" customFormat="1" x14ac:dyDescent="0.3">
      <c r="A153" s="555"/>
      <c r="B153" s="479"/>
      <c r="C153" s="479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62"/>
      <c r="T153" s="62"/>
    </row>
    <row r="154" spans="1:20" s="1" customFormat="1" x14ac:dyDescent="0.3">
      <c r="A154" s="555"/>
      <c r="B154" s="461"/>
      <c r="C154" s="461"/>
      <c r="D154" s="171"/>
      <c r="E154" s="62"/>
      <c r="F154" s="62"/>
      <c r="G154" s="171"/>
      <c r="H154" s="171"/>
      <c r="I154" s="62"/>
      <c r="J154" s="171"/>
      <c r="K154" s="171"/>
      <c r="L154" s="171"/>
      <c r="M154" s="171"/>
      <c r="N154" s="171"/>
      <c r="O154" s="171"/>
      <c r="P154" s="171"/>
      <c r="Q154" s="171"/>
      <c r="R154" s="171"/>
      <c r="S154" s="62"/>
      <c r="T154" s="62"/>
    </row>
    <row r="155" spans="1:20" s="1" customFormat="1" x14ac:dyDescent="0.3">
      <c r="A155" s="554" t="s">
        <v>840</v>
      </c>
      <c r="B155" s="461"/>
      <c r="C155" s="461"/>
      <c r="D155" s="171"/>
      <c r="E155" s="62"/>
      <c r="F155" s="62"/>
      <c r="G155" s="171"/>
      <c r="H155" s="171"/>
      <c r="I155" s="62"/>
      <c r="J155" s="171"/>
      <c r="K155" s="171"/>
      <c r="L155" s="171"/>
      <c r="M155" s="171"/>
      <c r="N155" s="171"/>
      <c r="O155" s="171"/>
      <c r="P155" s="171"/>
      <c r="Q155" s="171"/>
      <c r="R155" s="171"/>
      <c r="S155" s="62"/>
      <c r="T155" s="62"/>
    </row>
    <row r="156" spans="1:20" s="1" customFormat="1" x14ac:dyDescent="0.3">
      <c r="A156" s="555"/>
      <c r="B156" s="461"/>
      <c r="C156" s="461"/>
      <c r="D156" s="171"/>
      <c r="E156" s="62"/>
      <c r="F156" s="62"/>
      <c r="G156" s="171"/>
      <c r="H156" s="171"/>
      <c r="I156" s="62"/>
      <c r="J156" s="171"/>
      <c r="K156" s="171"/>
      <c r="L156" s="171"/>
      <c r="M156" s="171"/>
      <c r="N156" s="171"/>
      <c r="O156" s="171"/>
      <c r="P156" s="171"/>
      <c r="Q156" s="171"/>
      <c r="R156" s="171"/>
      <c r="S156" s="62"/>
      <c r="T156" s="62"/>
    </row>
    <row r="157" spans="1:20" s="1" customFormat="1" x14ac:dyDescent="0.3">
      <c r="A157" s="554" t="s">
        <v>839</v>
      </c>
      <c r="B157" s="461"/>
      <c r="C157" s="461"/>
      <c r="D157" s="171"/>
      <c r="E157" s="62"/>
      <c r="F157" s="62"/>
      <c r="G157" s="171"/>
      <c r="H157" s="171"/>
      <c r="I157" s="62"/>
      <c r="J157" s="171"/>
      <c r="K157" s="171"/>
      <c r="L157" s="171"/>
      <c r="M157" s="171"/>
      <c r="N157" s="171"/>
      <c r="O157" s="171"/>
      <c r="P157" s="171"/>
      <c r="Q157" s="171"/>
      <c r="R157" s="171"/>
      <c r="S157" s="62"/>
      <c r="T157" s="62"/>
    </row>
    <row r="158" spans="1:20" s="1" customFormat="1" x14ac:dyDescent="0.3">
      <c r="A158" s="555"/>
      <c r="B158" s="461"/>
      <c r="C158" s="461"/>
      <c r="D158" s="171"/>
      <c r="E158" s="62"/>
      <c r="F158" s="62"/>
      <c r="G158" s="171"/>
      <c r="H158" s="171"/>
      <c r="I158" s="62"/>
      <c r="J158" s="171"/>
      <c r="K158" s="171"/>
      <c r="L158" s="171"/>
      <c r="M158" s="171"/>
      <c r="N158" s="171"/>
      <c r="O158" s="171"/>
      <c r="P158" s="171"/>
      <c r="Q158" s="171"/>
      <c r="R158" s="171"/>
      <c r="S158" s="62"/>
      <c r="T158" s="62"/>
    </row>
    <row r="159" spans="1:20" s="1" customFormat="1" x14ac:dyDescent="0.3">
      <c r="A159" s="555"/>
      <c r="B159" s="464" t="s">
        <v>810</v>
      </c>
      <c r="C159" s="461"/>
      <c r="D159" s="171"/>
      <c r="E159" s="62"/>
      <c r="F159" s="62"/>
      <c r="G159" s="171"/>
      <c r="H159" s="171"/>
      <c r="I159" s="62"/>
      <c r="J159" s="171"/>
      <c r="K159" s="171"/>
      <c r="L159" s="171"/>
      <c r="M159" s="171"/>
      <c r="N159" s="171"/>
      <c r="O159" s="171"/>
      <c r="P159" s="171"/>
      <c r="Q159" s="171"/>
      <c r="R159" s="171"/>
      <c r="S159" s="62"/>
      <c r="T159" s="62"/>
    </row>
    <row r="160" spans="1:20" s="1" customFormat="1" x14ac:dyDescent="0.3">
      <c r="A160" s="555">
        <v>803</v>
      </c>
      <c r="B160" s="461" t="s">
        <v>1183</v>
      </c>
      <c r="C160" s="461"/>
      <c r="D160" s="171">
        <v>0</v>
      </c>
      <c r="E160" s="62"/>
      <c r="F160" s="62"/>
      <c r="G160" s="171"/>
      <c r="H160" s="171"/>
      <c r="I160" s="62"/>
      <c r="J160" s="171"/>
      <c r="K160" s="171"/>
      <c r="L160" s="171"/>
      <c r="M160" s="171"/>
      <c r="N160" s="171"/>
      <c r="O160" s="171"/>
      <c r="P160" s="171"/>
      <c r="Q160" s="171"/>
      <c r="R160" s="171"/>
      <c r="S160" s="62">
        <f t="shared" ref="S160:S177" si="52">SUM(J160:Q160)</f>
        <v>0</v>
      </c>
      <c r="T160" s="62">
        <f t="shared" ref="T160:T177" si="53">H160-S160</f>
        <v>0</v>
      </c>
    </row>
    <row r="161" spans="1:20" s="1" customFormat="1" x14ac:dyDescent="0.3">
      <c r="A161" s="555">
        <v>804</v>
      </c>
      <c r="B161" s="461" t="s">
        <v>839</v>
      </c>
      <c r="C161" s="461"/>
      <c r="D161" s="171">
        <v>0</v>
      </c>
      <c r="E161" s="62"/>
      <c r="F161" s="468">
        <f>D161+E161</f>
        <v>0</v>
      </c>
      <c r="G161" s="171">
        <f>F161</f>
        <v>0</v>
      </c>
      <c r="H161" s="171"/>
      <c r="I161" s="62"/>
      <c r="J161" s="171"/>
      <c r="K161" s="171"/>
      <c r="L161" s="171"/>
      <c r="M161" s="171"/>
      <c r="N161" s="171"/>
      <c r="O161" s="171"/>
      <c r="P161" s="171"/>
      <c r="Q161" s="171"/>
      <c r="R161" s="171"/>
      <c r="S161" s="62">
        <f t="shared" si="52"/>
        <v>0</v>
      </c>
      <c r="T161" s="62">
        <f t="shared" si="53"/>
        <v>0</v>
      </c>
    </row>
    <row r="162" spans="1:20" s="1" customFormat="1" x14ac:dyDescent="0.3">
      <c r="A162" s="555">
        <v>807</v>
      </c>
      <c r="B162" s="461" t="s">
        <v>842</v>
      </c>
      <c r="C162" s="461"/>
      <c r="D162" s="171">
        <v>0</v>
      </c>
      <c r="E162" s="62"/>
      <c r="F162" s="468">
        <f>D162+E162</f>
        <v>0</v>
      </c>
      <c r="G162" s="171">
        <f>F162</f>
        <v>0</v>
      </c>
      <c r="H162" s="171"/>
      <c r="I162" s="62"/>
      <c r="J162" s="171"/>
      <c r="K162" s="171"/>
      <c r="L162" s="171"/>
      <c r="M162" s="171"/>
      <c r="N162" s="171"/>
      <c r="O162" s="171"/>
      <c r="P162" s="171"/>
      <c r="Q162" s="171"/>
      <c r="R162" s="171"/>
      <c r="S162" s="62">
        <f t="shared" si="52"/>
        <v>0</v>
      </c>
      <c r="T162" s="62">
        <f t="shared" si="53"/>
        <v>0</v>
      </c>
    </row>
    <row r="163" spans="1:20" s="1" customFormat="1" x14ac:dyDescent="0.3">
      <c r="A163" s="558">
        <v>810</v>
      </c>
      <c r="B163" s="465" t="s">
        <v>1185</v>
      </c>
      <c r="C163" s="461"/>
      <c r="D163" s="171">
        <v>0</v>
      </c>
      <c r="E163" s="62"/>
      <c r="F163" s="468"/>
      <c r="G163" s="171"/>
      <c r="H163" s="171"/>
      <c r="I163" s="62"/>
      <c r="J163" s="171"/>
      <c r="K163" s="171"/>
      <c r="L163" s="171"/>
      <c r="M163" s="171"/>
      <c r="N163" s="171"/>
      <c r="O163" s="171"/>
      <c r="P163" s="171"/>
      <c r="Q163" s="171"/>
      <c r="R163" s="171"/>
      <c r="S163" s="62">
        <f t="shared" si="52"/>
        <v>0</v>
      </c>
      <c r="T163" s="62">
        <f t="shared" si="53"/>
        <v>0</v>
      </c>
    </row>
    <row r="164" spans="1:20" s="1" customFormat="1" x14ac:dyDescent="0.3">
      <c r="A164" s="555">
        <v>812</v>
      </c>
      <c r="B164" s="461" t="s">
        <v>843</v>
      </c>
      <c r="C164" s="461"/>
      <c r="D164" s="171">
        <v>0</v>
      </c>
      <c r="E164" s="62"/>
      <c r="F164" s="468">
        <f>D164+E164</f>
        <v>0</v>
      </c>
      <c r="G164" s="171">
        <f>F164</f>
        <v>0</v>
      </c>
      <c r="H164" s="171"/>
      <c r="I164" s="62"/>
      <c r="J164" s="171"/>
      <c r="K164" s="171"/>
      <c r="L164" s="171"/>
      <c r="M164" s="171"/>
      <c r="N164" s="171"/>
      <c r="O164" s="171"/>
      <c r="P164" s="171"/>
      <c r="Q164" s="171"/>
      <c r="R164" s="171"/>
      <c r="S164" s="62">
        <f t="shared" si="52"/>
        <v>0</v>
      </c>
      <c r="T164" s="62">
        <f t="shared" si="53"/>
        <v>0</v>
      </c>
    </row>
    <row r="165" spans="1:20" s="1" customFormat="1" x14ac:dyDescent="0.3">
      <c r="A165" s="555"/>
      <c r="B165" s="479" t="s">
        <v>861</v>
      </c>
      <c r="C165" s="461"/>
      <c r="D165" s="171">
        <f>SUM(D160:D164)</f>
        <v>0</v>
      </c>
      <c r="E165" s="62"/>
      <c r="F165" s="171">
        <f t="shared" ref="F165:Q165" si="54">SUM(F160:F164)</f>
        <v>0</v>
      </c>
      <c r="G165" s="171">
        <f t="shared" si="54"/>
        <v>0</v>
      </c>
      <c r="H165" s="171">
        <f t="shared" si="54"/>
        <v>0</v>
      </c>
      <c r="I165" s="171">
        <f t="shared" si="54"/>
        <v>0</v>
      </c>
      <c r="J165" s="171">
        <f t="shared" si="54"/>
        <v>0</v>
      </c>
      <c r="K165" s="171">
        <f t="shared" si="54"/>
        <v>0</v>
      </c>
      <c r="L165" s="171">
        <f t="shared" si="54"/>
        <v>0</v>
      </c>
      <c r="M165" s="171">
        <f t="shared" si="54"/>
        <v>0</v>
      </c>
      <c r="N165" s="171">
        <f t="shared" si="54"/>
        <v>0</v>
      </c>
      <c r="O165" s="171">
        <f t="shared" si="54"/>
        <v>0</v>
      </c>
      <c r="P165" s="171">
        <f t="shared" si="54"/>
        <v>0</v>
      </c>
      <c r="Q165" s="171">
        <f t="shared" si="54"/>
        <v>0</v>
      </c>
      <c r="R165" s="171"/>
      <c r="S165" s="62"/>
      <c r="T165" s="62"/>
    </row>
    <row r="166" spans="1:20" s="1" customFormat="1" x14ac:dyDescent="0.3">
      <c r="A166" s="555"/>
      <c r="B166" s="461"/>
      <c r="C166" s="461"/>
      <c r="D166" s="171"/>
      <c r="E166" s="62"/>
      <c r="F166" s="62"/>
      <c r="G166" s="171"/>
      <c r="H166" s="171"/>
      <c r="I166" s="62"/>
      <c r="J166" s="171"/>
      <c r="K166" s="171"/>
      <c r="L166" s="171"/>
      <c r="M166" s="171"/>
      <c r="N166" s="171"/>
      <c r="O166" s="171"/>
      <c r="P166" s="171"/>
      <c r="Q166" s="171"/>
      <c r="R166" s="171"/>
      <c r="S166" s="62"/>
      <c r="T166" s="62"/>
    </row>
    <row r="167" spans="1:20" s="1" customFormat="1" x14ac:dyDescent="0.3">
      <c r="A167" s="555"/>
      <c r="B167" s="464" t="s">
        <v>366</v>
      </c>
      <c r="C167" s="461"/>
      <c r="D167" s="171"/>
      <c r="E167" s="62"/>
      <c r="F167" s="62"/>
      <c r="G167" s="171"/>
      <c r="H167" s="171"/>
      <c r="I167" s="62"/>
      <c r="J167" s="171"/>
      <c r="K167" s="171"/>
      <c r="L167" s="171"/>
      <c r="M167" s="171"/>
      <c r="N167" s="171"/>
      <c r="O167" s="171"/>
      <c r="P167" s="171"/>
      <c r="Q167" s="171"/>
      <c r="R167" s="171"/>
      <c r="S167" s="62"/>
      <c r="T167" s="62"/>
    </row>
    <row r="168" spans="1:20" s="1" customFormat="1" x14ac:dyDescent="0.3">
      <c r="A168" s="555">
        <v>823</v>
      </c>
      <c r="B168" s="461" t="s">
        <v>1187</v>
      </c>
      <c r="C168" s="461"/>
      <c r="D168" s="171"/>
      <c r="E168" s="62"/>
      <c r="F168" s="62"/>
      <c r="G168" s="171"/>
      <c r="H168" s="171"/>
      <c r="I168" s="62"/>
      <c r="J168" s="171"/>
      <c r="K168" s="171"/>
      <c r="L168" s="171"/>
      <c r="M168" s="171"/>
      <c r="N168" s="171"/>
      <c r="O168" s="171"/>
      <c r="P168" s="171"/>
      <c r="Q168" s="171"/>
      <c r="R168" s="171"/>
      <c r="S168" s="62">
        <f t="shared" si="52"/>
        <v>0</v>
      </c>
      <c r="T168" s="62">
        <f t="shared" si="53"/>
        <v>0</v>
      </c>
    </row>
    <row r="169" spans="1:20" s="1" customFormat="1" x14ac:dyDescent="0.3">
      <c r="A169" s="555">
        <v>850</v>
      </c>
      <c r="B169" s="461" t="s">
        <v>1065</v>
      </c>
      <c r="C169" s="461"/>
      <c r="D169" s="171">
        <v>109999.27</v>
      </c>
      <c r="E169" s="62"/>
      <c r="F169" s="62">
        <f t="shared" ref="F169:F176" si="55">D169+E169</f>
        <v>109999.27</v>
      </c>
      <c r="G169" s="171">
        <f>D169</f>
        <v>109999.27</v>
      </c>
      <c r="H169" s="171"/>
      <c r="I169" s="62"/>
      <c r="J169" s="171"/>
      <c r="K169" s="171"/>
      <c r="L169" s="171"/>
      <c r="M169" s="171"/>
      <c r="N169" s="171"/>
      <c r="O169" s="171"/>
      <c r="P169" s="171"/>
      <c r="Q169" s="171"/>
      <c r="R169" s="171"/>
      <c r="S169" s="62">
        <f t="shared" si="52"/>
        <v>0</v>
      </c>
      <c r="T169" s="62">
        <f t="shared" si="53"/>
        <v>0</v>
      </c>
    </row>
    <row r="170" spans="1:20" s="1" customFormat="1" x14ac:dyDescent="0.3">
      <c r="A170" s="555">
        <v>851</v>
      </c>
      <c r="B170" s="461" t="s">
        <v>1189</v>
      </c>
      <c r="C170" s="461"/>
      <c r="D170" s="171">
        <v>0</v>
      </c>
      <c r="E170" s="62"/>
      <c r="F170" s="62"/>
      <c r="G170" s="171"/>
      <c r="H170" s="171"/>
      <c r="I170" s="62"/>
      <c r="J170" s="171"/>
      <c r="K170" s="171"/>
      <c r="L170" s="171"/>
      <c r="M170" s="171"/>
      <c r="N170" s="171"/>
      <c r="O170" s="171"/>
      <c r="P170" s="171"/>
      <c r="Q170" s="171"/>
      <c r="R170" s="171"/>
      <c r="S170" s="62">
        <f t="shared" si="52"/>
        <v>0</v>
      </c>
      <c r="T170" s="62">
        <f t="shared" si="53"/>
        <v>0</v>
      </c>
    </row>
    <row r="171" spans="1:20" s="1" customFormat="1" x14ac:dyDescent="0.3">
      <c r="A171" s="555">
        <v>853</v>
      </c>
      <c r="B171" s="461" t="s">
        <v>1061</v>
      </c>
      <c r="C171" s="461"/>
      <c r="D171" s="171">
        <v>0</v>
      </c>
      <c r="E171" s="62"/>
      <c r="F171" s="171">
        <f t="shared" si="55"/>
        <v>0</v>
      </c>
      <c r="G171" s="171">
        <f t="shared" ref="G171:G176" si="56">D171</f>
        <v>0</v>
      </c>
      <c r="H171" s="171"/>
      <c r="I171" s="62"/>
      <c r="J171" s="171"/>
      <c r="K171" s="171"/>
      <c r="L171" s="171"/>
      <c r="M171" s="171"/>
      <c r="N171" s="171"/>
      <c r="O171" s="171"/>
      <c r="P171" s="171"/>
      <c r="Q171" s="171"/>
      <c r="R171" s="171"/>
      <c r="S171" s="62">
        <f t="shared" si="52"/>
        <v>0</v>
      </c>
      <c r="T171" s="62">
        <f t="shared" si="53"/>
        <v>0</v>
      </c>
    </row>
    <row r="172" spans="1:20" s="1" customFormat="1" x14ac:dyDescent="0.3">
      <c r="A172" s="558">
        <v>856</v>
      </c>
      <c r="B172" s="480" t="s">
        <v>1191</v>
      </c>
      <c r="C172" s="461"/>
      <c r="D172" s="171">
        <v>0</v>
      </c>
      <c r="E172" s="62"/>
      <c r="F172" s="62"/>
      <c r="G172" s="171"/>
      <c r="H172" s="171"/>
      <c r="I172" s="62"/>
      <c r="J172" s="171"/>
      <c r="K172" s="171"/>
      <c r="L172" s="171"/>
      <c r="M172" s="171"/>
      <c r="N172" s="171"/>
      <c r="O172" s="171"/>
      <c r="P172" s="171"/>
      <c r="Q172" s="171"/>
      <c r="R172" s="171"/>
      <c r="S172" s="62">
        <f t="shared" si="52"/>
        <v>0</v>
      </c>
      <c r="T172" s="62">
        <f t="shared" si="53"/>
        <v>0</v>
      </c>
    </row>
    <row r="173" spans="1:20" s="1" customFormat="1" x14ac:dyDescent="0.3">
      <c r="A173" s="555">
        <v>857</v>
      </c>
      <c r="B173" s="461" t="s">
        <v>1062</v>
      </c>
      <c r="C173" s="461"/>
      <c r="D173" s="171">
        <v>59806.16</v>
      </c>
      <c r="E173" s="62"/>
      <c r="F173" s="62">
        <f t="shared" si="55"/>
        <v>59806.16</v>
      </c>
      <c r="G173" s="171">
        <f t="shared" si="56"/>
        <v>59806.16</v>
      </c>
      <c r="H173" s="171"/>
      <c r="I173" s="62"/>
      <c r="J173" s="171"/>
      <c r="K173" s="171"/>
      <c r="L173" s="171"/>
      <c r="M173" s="171"/>
      <c r="N173" s="171"/>
      <c r="O173" s="171"/>
      <c r="P173" s="171"/>
      <c r="Q173" s="171"/>
      <c r="R173" s="171"/>
      <c r="S173" s="62">
        <f t="shared" si="52"/>
        <v>0</v>
      </c>
      <c r="T173" s="62">
        <f t="shared" si="53"/>
        <v>0</v>
      </c>
    </row>
    <row r="174" spans="1:20" s="1" customFormat="1" x14ac:dyDescent="0.3">
      <c r="A174" s="555">
        <v>862</v>
      </c>
      <c r="B174" s="461"/>
      <c r="C174" s="461"/>
      <c r="D174" s="171">
        <v>2392.06</v>
      </c>
      <c r="E174" s="62"/>
      <c r="F174" s="62">
        <f t="shared" ref="F174" si="57">D174+E174</f>
        <v>2392.06</v>
      </c>
      <c r="G174" s="171">
        <f t="shared" ref="G174" si="58">D174</f>
        <v>2392.06</v>
      </c>
      <c r="H174" s="171"/>
      <c r="I174" s="62"/>
      <c r="J174" s="171"/>
      <c r="K174" s="171"/>
      <c r="L174" s="171"/>
      <c r="M174" s="171"/>
      <c r="N174" s="171"/>
      <c r="O174" s="171"/>
      <c r="P174" s="171"/>
      <c r="Q174" s="171"/>
      <c r="R174" s="171"/>
      <c r="S174" s="62">
        <f t="shared" si="52"/>
        <v>0</v>
      </c>
      <c r="T174" s="62">
        <f t="shared" si="53"/>
        <v>0</v>
      </c>
    </row>
    <row r="175" spans="1:20" s="1" customFormat="1" x14ac:dyDescent="0.3">
      <c r="A175" s="555">
        <v>863</v>
      </c>
      <c r="B175" s="461" t="s">
        <v>1063</v>
      </c>
      <c r="C175" s="461"/>
      <c r="D175" s="171">
        <v>3944.91</v>
      </c>
      <c r="E175" s="62"/>
      <c r="F175" s="62">
        <f t="shared" si="55"/>
        <v>3944.91</v>
      </c>
      <c r="G175" s="171">
        <f t="shared" si="56"/>
        <v>3944.91</v>
      </c>
      <c r="H175" s="171"/>
      <c r="I175" s="62"/>
      <c r="J175" s="171"/>
      <c r="K175" s="171"/>
      <c r="L175" s="171"/>
      <c r="M175" s="171"/>
      <c r="N175" s="171"/>
      <c r="O175" s="171"/>
      <c r="P175" s="171"/>
      <c r="Q175" s="171"/>
      <c r="R175" s="171"/>
      <c r="S175" s="62">
        <f t="shared" si="52"/>
        <v>0</v>
      </c>
      <c r="T175" s="62">
        <f t="shared" si="53"/>
        <v>0</v>
      </c>
    </row>
    <row r="176" spans="1:20" s="1" customFormat="1" x14ac:dyDescent="0.3">
      <c r="A176" s="555">
        <v>865</v>
      </c>
      <c r="B176" s="461" t="s">
        <v>1064</v>
      </c>
      <c r="C176" s="461"/>
      <c r="D176" s="171">
        <v>107411.55</v>
      </c>
      <c r="E176" s="62"/>
      <c r="F176" s="62">
        <f t="shared" si="55"/>
        <v>107411.55</v>
      </c>
      <c r="G176" s="171">
        <f t="shared" si="56"/>
        <v>107411.55</v>
      </c>
      <c r="H176" s="171"/>
      <c r="I176" s="62"/>
      <c r="J176" s="171"/>
      <c r="K176" s="171"/>
      <c r="L176" s="171"/>
      <c r="M176" s="171"/>
      <c r="N176" s="171"/>
      <c r="O176" s="171"/>
      <c r="P176" s="171"/>
      <c r="Q176" s="171"/>
      <c r="R176" s="171"/>
      <c r="S176" s="62">
        <f t="shared" si="52"/>
        <v>0</v>
      </c>
      <c r="T176" s="62">
        <f t="shared" si="53"/>
        <v>0</v>
      </c>
    </row>
    <row r="177" spans="1:20" s="1" customFormat="1" x14ac:dyDescent="0.3">
      <c r="A177" s="555">
        <v>867</v>
      </c>
      <c r="B177" s="461" t="s">
        <v>1193</v>
      </c>
      <c r="C177" s="461"/>
      <c r="D177" s="171">
        <v>0</v>
      </c>
      <c r="E177" s="62"/>
      <c r="F177" s="171">
        <f t="shared" ref="F177" si="59">D177+E177</f>
        <v>0</v>
      </c>
      <c r="G177" s="171">
        <f t="shared" ref="G177" si="60">D177</f>
        <v>0</v>
      </c>
      <c r="H177" s="171"/>
      <c r="I177" s="62"/>
      <c r="J177" s="171"/>
      <c r="K177" s="171"/>
      <c r="L177" s="171"/>
      <c r="M177" s="171"/>
      <c r="N177" s="171"/>
      <c r="O177" s="171"/>
      <c r="P177" s="171"/>
      <c r="Q177" s="171"/>
      <c r="R177" s="171"/>
      <c r="S177" s="62">
        <f t="shared" si="52"/>
        <v>0</v>
      </c>
      <c r="T177" s="62">
        <f t="shared" si="53"/>
        <v>0</v>
      </c>
    </row>
    <row r="178" spans="1:20" s="1" customFormat="1" x14ac:dyDescent="0.3">
      <c r="A178" s="555"/>
      <c r="B178" s="479" t="s">
        <v>1066</v>
      </c>
      <c r="C178" s="461"/>
      <c r="D178" s="171">
        <f t="shared" ref="D178:Q178" si="61">SUM(D169:D177)</f>
        <v>283553.95</v>
      </c>
      <c r="E178" s="171">
        <f t="shared" si="61"/>
        <v>0</v>
      </c>
      <c r="F178" s="171">
        <f t="shared" si="61"/>
        <v>283553.95</v>
      </c>
      <c r="G178" s="171">
        <f t="shared" si="61"/>
        <v>283553.95</v>
      </c>
      <c r="H178" s="171">
        <f t="shared" si="61"/>
        <v>0</v>
      </c>
      <c r="I178" s="171">
        <f t="shared" si="61"/>
        <v>0</v>
      </c>
      <c r="J178" s="171">
        <f t="shared" si="61"/>
        <v>0</v>
      </c>
      <c r="K178" s="171">
        <f t="shared" si="61"/>
        <v>0</v>
      </c>
      <c r="L178" s="171">
        <f t="shared" si="61"/>
        <v>0</v>
      </c>
      <c r="M178" s="171">
        <f t="shared" si="61"/>
        <v>0</v>
      </c>
      <c r="N178" s="171">
        <f t="shared" si="61"/>
        <v>0</v>
      </c>
      <c r="O178" s="171">
        <f t="shared" si="61"/>
        <v>0</v>
      </c>
      <c r="P178" s="171">
        <f t="shared" si="61"/>
        <v>0</v>
      </c>
      <c r="Q178" s="171">
        <f t="shared" si="61"/>
        <v>0</v>
      </c>
      <c r="R178" s="171"/>
      <c r="S178" s="62"/>
      <c r="T178" s="62"/>
    </row>
    <row r="179" spans="1:20" s="1" customFormat="1" x14ac:dyDescent="0.3">
      <c r="A179" s="555"/>
      <c r="B179" s="461"/>
      <c r="C179" s="461"/>
      <c r="D179" s="171"/>
      <c r="E179" s="62"/>
      <c r="F179" s="62"/>
      <c r="G179" s="171"/>
      <c r="H179" s="171"/>
      <c r="I179" s="62"/>
      <c r="J179" s="171"/>
      <c r="K179" s="171"/>
      <c r="L179" s="171"/>
      <c r="M179" s="171"/>
      <c r="N179" s="171"/>
      <c r="O179" s="171"/>
      <c r="P179" s="171"/>
      <c r="Q179" s="171"/>
      <c r="R179" s="171"/>
      <c r="S179" s="62"/>
      <c r="T179" s="62"/>
    </row>
    <row r="180" spans="1:20" s="1" customFormat="1" x14ac:dyDescent="0.3">
      <c r="A180" s="554" t="s">
        <v>846</v>
      </c>
      <c r="B180" s="464"/>
      <c r="C180" s="461"/>
      <c r="D180" s="171"/>
      <c r="E180" s="62"/>
      <c r="F180" s="62"/>
      <c r="G180" s="171"/>
      <c r="H180" s="171"/>
      <c r="I180" s="62"/>
      <c r="J180" s="171"/>
      <c r="K180" s="171"/>
      <c r="L180" s="171"/>
      <c r="M180" s="171"/>
      <c r="N180" s="171"/>
      <c r="O180" s="171"/>
      <c r="P180" s="171"/>
      <c r="Q180" s="171"/>
      <c r="R180" s="171"/>
      <c r="S180" s="62"/>
      <c r="T180" s="62"/>
    </row>
    <row r="181" spans="1:20" s="1" customFormat="1" x14ac:dyDescent="0.3">
      <c r="A181" s="554"/>
      <c r="B181" s="464" t="s">
        <v>549</v>
      </c>
      <c r="C181" s="461"/>
      <c r="D181" s="171"/>
      <c r="E181" s="62"/>
      <c r="F181" s="62"/>
      <c r="G181" s="171"/>
      <c r="H181" s="171"/>
      <c r="I181" s="62"/>
      <c r="J181" s="171"/>
      <c r="K181" s="171"/>
      <c r="L181" s="171"/>
      <c r="M181" s="171"/>
      <c r="N181" s="171"/>
      <c r="O181" s="171"/>
      <c r="P181" s="171"/>
      <c r="Q181" s="171"/>
      <c r="R181" s="171"/>
      <c r="S181" s="62"/>
      <c r="T181" s="62"/>
    </row>
    <row r="182" spans="1:20" s="1" customFormat="1" x14ac:dyDescent="0.3">
      <c r="A182" s="555">
        <v>870</v>
      </c>
      <c r="B182" s="461" t="s">
        <v>847</v>
      </c>
      <c r="C182" s="461"/>
      <c r="D182" s="171">
        <v>2223309.9900000002</v>
      </c>
      <c r="E182" s="62"/>
      <c r="F182" s="468">
        <f t="shared" ref="F182:F192" si="62">D182+E182</f>
        <v>2223309.9900000002</v>
      </c>
      <c r="G182" s="171">
        <f>F182</f>
        <v>2223309.9900000002</v>
      </c>
      <c r="H182" s="171"/>
      <c r="I182" s="62"/>
      <c r="J182" s="171"/>
      <c r="K182" s="171"/>
      <c r="L182" s="171"/>
      <c r="M182" s="171"/>
      <c r="N182" s="171"/>
      <c r="O182" s="171"/>
      <c r="P182" s="171"/>
      <c r="Q182" s="171"/>
      <c r="R182" s="171"/>
      <c r="S182" s="62">
        <f t="shared" ref="S182:S192" si="63">SUM(J182:Q182)</f>
        <v>0</v>
      </c>
      <c r="T182" s="62">
        <f t="shared" ref="T182:T192" si="64">H182-S182</f>
        <v>0</v>
      </c>
    </row>
    <row r="183" spans="1:20" s="1" customFormat="1" x14ac:dyDescent="0.3">
      <c r="A183" s="555">
        <v>871</v>
      </c>
      <c r="B183" s="461" t="s">
        <v>644</v>
      </c>
      <c r="C183" s="461"/>
      <c r="D183" s="171">
        <v>0</v>
      </c>
      <c r="E183" s="62"/>
      <c r="F183" s="468">
        <f t="shared" si="62"/>
        <v>0</v>
      </c>
      <c r="G183" s="171">
        <f t="shared" ref="G183:G192" si="65">F183</f>
        <v>0</v>
      </c>
      <c r="H183" s="171"/>
      <c r="I183" s="62"/>
      <c r="J183" s="171"/>
      <c r="K183" s="171"/>
      <c r="L183" s="171"/>
      <c r="M183" s="171"/>
      <c r="N183" s="171"/>
      <c r="O183" s="171"/>
      <c r="P183" s="171"/>
      <c r="Q183" s="171"/>
      <c r="R183" s="171"/>
      <c r="S183" s="62">
        <f t="shared" si="63"/>
        <v>0</v>
      </c>
      <c r="T183" s="62">
        <f t="shared" si="64"/>
        <v>0</v>
      </c>
    </row>
    <row r="184" spans="1:20" s="1" customFormat="1" x14ac:dyDescent="0.3">
      <c r="A184" s="555">
        <v>872</v>
      </c>
      <c r="B184" s="461" t="s">
        <v>848</v>
      </c>
      <c r="C184" s="461"/>
      <c r="D184" s="171">
        <v>0</v>
      </c>
      <c r="E184" s="62"/>
      <c r="F184" s="468">
        <f t="shared" si="62"/>
        <v>0</v>
      </c>
      <c r="G184" s="171">
        <f t="shared" si="65"/>
        <v>0</v>
      </c>
      <c r="H184" s="171"/>
      <c r="I184" s="62"/>
      <c r="J184" s="171"/>
      <c r="K184" s="171"/>
      <c r="L184" s="171"/>
      <c r="M184" s="171"/>
      <c r="N184" s="171"/>
      <c r="O184" s="171"/>
      <c r="P184" s="171"/>
      <c r="Q184" s="171"/>
      <c r="R184" s="171"/>
      <c r="S184" s="62">
        <f t="shared" si="63"/>
        <v>0</v>
      </c>
      <c r="T184" s="62">
        <f t="shared" si="64"/>
        <v>0</v>
      </c>
    </row>
    <row r="185" spans="1:20" s="1" customFormat="1" x14ac:dyDescent="0.3">
      <c r="A185" s="555">
        <v>873</v>
      </c>
      <c r="B185" s="461" t="s">
        <v>849</v>
      </c>
      <c r="C185" s="461"/>
      <c r="D185" s="171">
        <v>0</v>
      </c>
      <c r="E185" s="62"/>
      <c r="F185" s="468">
        <f t="shared" si="62"/>
        <v>0</v>
      </c>
      <c r="G185" s="171">
        <f t="shared" si="65"/>
        <v>0</v>
      </c>
      <c r="H185" s="171"/>
      <c r="I185" s="62"/>
      <c r="J185" s="171"/>
      <c r="K185" s="171"/>
      <c r="L185" s="171"/>
      <c r="M185" s="171"/>
      <c r="N185" s="171"/>
      <c r="O185" s="171"/>
      <c r="P185" s="171"/>
      <c r="Q185" s="171"/>
      <c r="R185" s="171"/>
      <c r="S185" s="62">
        <f t="shared" si="63"/>
        <v>0</v>
      </c>
      <c r="T185" s="62">
        <f t="shared" si="64"/>
        <v>0</v>
      </c>
    </row>
    <row r="186" spans="1:20" s="1" customFormat="1" x14ac:dyDescent="0.3">
      <c r="A186" s="555">
        <v>874</v>
      </c>
      <c r="B186" s="461" t="s">
        <v>850</v>
      </c>
      <c r="C186" s="461"/>
      <c r="D186" s="171">
        <v>1710584.28</v>
      </c>
      <c r="E186" s="62"/>
      <c r="F186" s="468">
        <f t="shared" si="62"/>
        <v>1710584.28</v>
      </c>
      <c r="G186" s="171">
        <f t="shared" si="65"/>
        <v>1710584.28</v>
      </c>
      <c r="H186" s="171"/>
      <c r="I186" s="62"/>
      <c r="J186" s="171"/>
      <c r="K186" s="171"/>
      <c r="L186" s="171"/>
      <c r="M186" s="171"/>
      <c r="N186" s="171"/>
      <c r="O186" s="171"/>
      <c r="P186" s="171"/>
      <c r="Q186" s="171"/>
      <c r="R186" s="171"/>
      <c r="S186" s="62">
        <f t="shared" si="63"/>
        <v>0</v>
      </c>
      <c r="T186" s="62">
        <f t="shared" si="64"/>
        <v>0</v>
      </c>
    </row>
    <row r="187" spans="1:20" s="1" customFormat="1" x14ac:dyDescent="0.3">
      <c r="A187" s="555">
        <v>875</v>
      </c>
      <c r="B187" s="461" t="s">
        <v>851</v>
      </c>
      <c r="C187" s="461"/>
      <c r="D187" s="171">
        <v>56809.15</v>
      </c>
      <c r="E187" s="62"/>
      <c r="F187" s="468">
        <f t="shared" si="62"/>
        <v>56809.15</v>
      </c>
      <c r="G187" s="171">
        <f t="shared" si="65"/>
        <v>56809.15</v>
      </c>
      <c r="H187" s="171"/>
      <c r="I187" s="62"/>
      <c r="J187" s="171"/>
      <c r="K187" s="171"/>
      <c r="L187" s="171"/>
      <c r="M187" s="171"/>
      <c r="N187" s="171"/>
      <c r="O187" s="171"/>
      <c r="P187" s="171"/>
      <c r="Q187" s="171"/>
      <c r="R187" s="171"/>
      <c r="S187" s="62">
        <f t="shared" si="63"/>
        <v>0</v>
      </c>
      <c r="T187" s="62">
        <f t="shared" si="64"/>
        <v>0</v>
      </c>
    </row>
    <row r="188" spans="1:20" s="1" customFormat="1" x14ac:dyDescent="0.3">
      <c r="A188" s="555">
        <v>876</v>
      </c>
      <c r="B188" s="461" t="s">
        <v>852</v>
      </c>
      <c r="C188" s="461"/>
      <c r="D188" s="171">
        <v>260460.65</v>
      </c>
      <c r="E188" s="62"/>
      <c r="F188" s="468">
        <f t="shared" si="62"/>
        <v>260460.65</v>
      </c>
      <c r="G188" s="171">
        <f t="shared" si="65"/>
        <v>260460.65</v>
      </c>
      <c r="H188" s="171"/>
      <c r="I188" s="62"/>
      <c r="J188" s="171"/>
      <c r="K188" s="171"/>
      <c r="L188" s="171"/>
      <c r="M188" s="171"/>
      <c r="N188" s="171"/>
      <c r="O188" s="171"/>
      <c r="P188" s="171"/>
      <c r="Q188" s="171"/>
      <c r="R188" s="171"/>
      <c r="S188" s="62">
        <f t="shared" si="63"/>
        <v>0</v>
      </c>
      <c r="T188" s="62">
        <f t="shared" si="64"/>
        <v>0</v>
      </c>
    </row>
    <row r="189" spans="1:20" s="1" customFormat="1" x14ac:dyDescent="0.3">
      <c r="A189" s="555">
        <v>877</v>
      </c>
      <c r="B189" s="461" t="s">
        <v>853</v>
      </c>
      <c r="C189" s="461"/>
      <c r="D189" s="171">
        <v>116223.72</v>
      </c>
      <c r="E189" s="62"/>
      <c r="F189" s="468">
        <f t="shared" si="62"/>
        <v>116223.72</v>
      </c>
      <c r="G189" s="171">
        <f t="shared" si="65"/>
        <v>116223.72</v>
      </c>
      <c r="H189" s="171"/>
      <c r="I189" s="62"/>
      <c r="J189" s="171"/>
      <c r="K189" s="171"/>
      <c r="L189" s="171"/>
      <c r="M189" s="171"/>
      <c r="N189" s="171"/>
      <c r="O189" s="171"/>
      <c r="P189" s="171"/>
      <c r="Q189" s="171"/>
      <c r="R189" s="171"/>
      <c r="S189" s="62">
        <f t="shared" si="63"/>
        <v>0</v>
      </c>
      <c r="T189" s="62">
        <f t="shared" si="64"/>
        <v>0</v>
      </c>
    </row>
    <row r="190" spans="1:20" s="1" customFormat="1" x14ac:dyDescent="0.3">
      <c r="A190" s="555">
        <v>878</v>
      </c>
      <c r="B190" s="461" t="s">
        <v>854</v>
      </c>
      <c r="C190" s="461"/>
      <c r="D190" s="171">
        <v>800251.15</v>
      </c>
      <c r="E190" s="62"/>
      <c r="F190" s="468">
        <f t="shared" si="62"/>
        <v>800251.15</v>
      </c>
      <c r="G190" s="171">
        <f t="shared" si="65"/>
        <v>800251.15</v>
      </c>
      <c r="H190" s="171"/>
      <c r="I190" s="62"/>
      <c r="J190" s="171"/>
      <c r="K190" s="171"/>
      <c r="L190" s="171"/>
      <c r="M190" s="171"/>
      <c r="N190" s="171"/>
      <c r="O190" s="171"/>
      <c r="P190" s="171"/>
      <c r="Q190" s="171"/>
      <c r="R190" s="171"/>
      <c r="S190" s="62">
        <f t="shared" si="63"/>
        <v>0</v>
      </c>
      <c r="T190" s="62">
        <f t="shared" si="64"/>
        <v>0</v>
      </c>
    </row>
    <row r="191" spans="1:20" s="1" customFormat="1" x14ac:dyDescent="0.3">
      <c r="A191" s="555">
        <v>879</v>
      </c>
      <c r="B191" s="461" t="s">
        <v>855</v>
      </c>
      <c r="C191" s="461"/>
      <c r="D191" s="171">
        <v>77800.63</v>
      </c>
      <c r="E191" s="62"/>
      <c r="F191" s="468">
        <f t="shared" si="62"/>
        <v>77800.63</v>
      </c>
      <c r="G191" s="171">
        <f t="shared" si="65"/>
        <v>77800.63</v>
      </c>
      <c r="H191" s="171"/>
      <c r="I191" s="62"/>
      <c r="J191" s="171"/>
      <c r="K191" s="171"/>
      <c r="L191" s="171"/>
      <c r="M191" s="171"/>
      <c r="N191" s="171"/>
      <c r="O191" s="171"/>
      <c r="P191" s="171"/>
      <c r="Q191" s="171"/>
      <c r="R191" s="171"/>
      <c r="S191" s="62">
        <f t="shared" si="63"/>
        <v>0</v>
      </c>
      <c r="T191" s="62">
        <f t="shared" si="64"/>
        <v>0</v>
      </c>
    </row>
    <row r="192" spans="1:20" s="1" customFormat="1" ht="14.5" x14ac:dyDescent="0.45">
      <c r="A192" s="555">
        <v>880</v>
      </c>
      <c r="B192" s="461" t="s">
        <v>856</v>
      </c>
      <c r="C192" s="461"/>
      <c r="D192" s="472">
        <v>3996950.81</v>
      </c>
      <c r="E192" s="62"/>
      <c r="F192" s="473">
        <f t="shared" si="62"/>
        <v>3996950.81</v>
      </c>
      <c r="G192" s="472">
        <f t="shared" si="65"/>
        <v>3996950.81</v>
      </c>
      <c r="H192" s="171"/>
      <c r="I192" s="62"/>
      <c r="J192" s="171"/>
      <c r="K192" s="171"/>
      <c r="L192" s="171"/>
      <c r="M192" s="171"/>
      <c r="N192" s="171"/>
      <c r="O192" s="171"/>
      <c r="P192" s="171"/>
      <c r="Q192" s="171"/>
      <c r="R192" s="171"/>
      <c r="S192" s="62">
        <f t="shared" si="63"/>
        <v>0</v>
      </c>
      <c r="T192" s="62">
        <f t="shared" si="64"/>
        <v>0</v>
      </c>
    </row>
    <row r="193" spans="1:20" s="1" customFormat="1" x14ac:dyDescent="0.3">
      <c r="A193" s="555"/>
      <c r="B193" s="474" t="s">
        <v>524</v>
      </c>
      <c r="C193" s="461"/>
      <c r="D193" s="171">
        <f>SUM(D182:D192)</f>
        <v>9242390.3800000008</v>
      </c>
      <c r="E193" s="62"/>
      <c r="F193" s="62">
        <f>SUM(F182:F192)</f>
        <v>9242390.3800000008</v>
      </c>
      <c r="G193" s="171">
        <f>SUM(G182:G192)</f>
        <v>9242390.3800000008</v>
      </c>
      <c r="H193" s="171">
        <f t="shared" ref="H193:Q193" si="66">SUM(H182:H192)</f>
        <v>0</v>
      </c>
      <c r="I193" s="171">
        <f t="shared" si="66"/>
        <v>0</v>
      </c>
      <c r="J193" s="171">
        <f t="shared" si="66"/>
        <v>0</v>
      </c>
      <c r="K193" s="171">
        <f t="shared" si="66"/>
        <v>0</v>
      </c>
      <c r="L193" s="171">
        <f t="shared" si="66"/>
        <v>0</v>
      </c>
      <c r="M193" s="171">
        <f t="shared" si="66"/>
        <v>0</v>
      </c>
      <c r="N193" s="171">
        <f t="shared" si="66"/>
        <v>0</v>
      </c>
      <c r="O193" s="171">
        <f t="shared" si="66"/>
        <v>0</v>
      </c>
      <c r="P193" s="171">
        <f t="shared" si="66"/>
        <v>0</v>
      </c>
      <c r="Q193" s="171">
        <f t="shared" si="66"/>
        <v>0</v>
      </c>
      <c r="R193" s="171"/>
      <c r="S193" s="62"/>
      <c r="T193" s="62"/>
    </row>
    <row r="194" spans="1:20" s="1" customFormat="1" x14ac:dyDescent="0.3">
      <c r="A194" s="555"/>
      <c r="B194" s="461"/>
      <c r="C194" s="461"/>
      <c r="D194" s="171"/>
      <c r="E194" s="62"/>
      <c r="F194" s="62"/>
      <c r="G194" s="171"/>
      <c r="H194" s="171"/>
      <c r="I194" s="62"/>
      <c r="J194" s="171"/>
      <c r="K194" s="171"/>
      <c r="L194" s="171"/>
      <c r="M194" s="171"/>
      <c r="N194" s="171"/>
      <c r="O194" s="171"/>
      <c r="P194" s="171"/>
      <c r="Q194" s="171"/>
      <c r="R194" s="171"/>
      <c r="S194" s="62"/>
      <c r="T194" s="62"/>
    </row>
    <row r="195" spans="1:20" s="1" customFormat="1" x14ac:dyDescent="0.3">
      <c r="A195" s="555"/>
      <c r="B195" s="464" t="s">
        <v>565</v>
      </c>
      <c r="C195" s="461"/>
      <c r="D195" s="171"/>
      <c r="E195" s="62"/>
      <c r="F195" s="62"/>
      <c r="G195" s="171"/>
      <c r="H195" s="171"/>
      <c r="I195" s="62"/>
      <c r="J195" s="171"/>
      <c r="K195" s="171"/>
      <c r="L195" s="171"/>
      <c r="M195" s="171"/>
      <c r="N195" s="171"/>
      <c r="O195" s="171"/>
      <c r="P195" s="171"/>
      <c r="Q195" s="171"/>
      <c r="R195" s="171"/>
      <c r="S195" s="62"/>
      <c r="T195" s="62"/>
    </row>
    <row r="196" spans="1:20" s="1" customFormat="1" x14ac:dyDescent="0.3">
      <c r="A196" s="555">
        <v>885</v>
      </c>
      <c r="B196" s="461" t="s">
        <v>847</v>
      </c>
      <c r="C196" s="461"/>
      <c r="D196" s="171">
        <v>930459.05</v>
      </c>
      <c r="E196" s="62"/>
      <c r="F196" s="468">
        <f t="shared" ref="F196:F205" si="67">D196+E196</f>
        <v>930459.05</v>
      </c>
      <c r="G196" s="171">
        <f>F196</f>
        <v>930459.05</v>
      </c>
      <c r="H196" s="171"/>
      <c r="I196" s="62"/>
      <c r="J196" s="171"/>
      <c r="K196" s="171"/>
      <c r="L196" s="171"/>
      <c r="M196" s="171"/>
      <c r="N196" s="171"/>
      <c r="O196" s="171"/>
      <c r="P196" s="171"/>
      <c r="Q196" s="171"/>
      <c r="R196" s="171"/>
      <c r="S196" s="62">
        <f t="shared" ref="S196:S205" si="68">SUM(J196:Q196)</f>
        <v>0</v>
      </c>
      <c r="T196" s="62">
        <f t="shared" ref="T196:T205" si="69">H196-S196</f>
        <v>0</v>
      </c>
    </row>
    <row r="197" spans="1:20" s="1" customFormat="1" x14ac:dyDescent="0.3">
      <c r="A197" s="555">
        <v>886</v>
      </c>
      <c r="B197" s="461" t="s">
        <v>857</v>
      </c>
      <c r="C197" s="461"/>
      <c r="D197" s="171">
        <v>0</v>
      </c>
      <c r="E197" s="62"/>
      <c r="F197" s="468">
        <f t="shared" si="67"/>
        <v>0</v>
      </c>
      <c r="G197" s="171">
        <f t="shared" ref="G197:G205" si="70">F197</f>
        <v>0</v>
      </c>
      <c r="H197" s="171"/>
      <c r="I197" s="62"/>
      <c r="J197" s="171"/>
      <c r="K197" s="171"/>
      <c r="L197" s="171"/>
      <c r="M197" s="171"/>
      <c r="N197" s="171"/>
      <c r="O197" s="171"/>
      <c r="P197" s="171"/>
      <c r="Q197" s="171"/>
      <c r="R197" s="171"/>
      <c r="S197" s="62">
        <f t="shared" si="68"/>
        <v>0</v>
      </c>
      <c r="T197" s="62">
        <f t="shared" si="69"/>
        <v>0</v>
      </c>
    </row>
    <row r="198" spans="1:20" s="1" customFormat="1" x14ac:dyDescent="0.3">
      <c r="A198" s="555">
        <v>887</v>
      </c>
      <c r="B198" s="461" t="s">
        <v>858</v>
      </c>
      <c r="C198" s="461"/>
      <c r="D198" s="171">
        <v>2987062.36</v>
      </c>
      <c r="E198" s="62"/>
      <c r="F198" s="468">
        <f t="shared" si="67"/>
        <v>2987062.36</v>
      </c>
      <c r="G198" s="171">
        <f t="shared" si="70"/>
        <v>2987062.36</v>
      </c>
      <c r="H198" s="171"/>
      <c r="I198" s="62"/>
      <c r="J198" s="171"/>
      <c r="K198" s="171"/>
      <c r="L198" s="171"/>
      <c r="M198" s="171"/>
      <c r="N198" s="171"/>
      <c r="O198" s="171"/>
      <c r="P198" s="171"/>
      <c r="Q198" s="171"/>
      <c r="R198" s="171"/>
      <c r="S198" s="62">
        <f t="shared" si="68"/>
        <v>0</v>
      </c>
      <c r="T198" s="62">
        <f t="shared" si="69"/>
        <v>0</v>
      </c>
    </row>
    <row r="199" spans="1:20" s="1" customFormat="1" x14ac:dyDescent="0.3">
      <c r="A199" s="555">
        <v>888</v>
      </c>
      <c r="B199" s="461" t="s">
        <v>859</v>
      </c>
      <c r="C199" s="461"/>
      <c r="D199" s="171">
        <v>0</v>
      </c>
      <c r="E199" s="62"/>
      <c r="F199" s="468">
        <f t="shared" si="67"/>
        <v>0</v>
      </c>
      <c r="G199" s="171">
        <f t="shared" si="70"/>
        <v>0</v>
      </c>
      <c r="H199" s="171"/>
      <c r="I199" s="62"/>
      <c r="J199" s="171"/>
      <c r="K199" s="171"/>
      <c r="L199" s="171"/>
      <c r="M199" s="171"/>
      <c r="N199" s="171"/>
      <c r="O199" s="171"/>
      <c r="P199" s="171"/>
      <c r="Q199" s="171"/>
      <c r="R199" s="171"/>
      <c r="S199" s="62">
        <f t="shared" si="68"/>
        <v>0</v>
      </c>
      <c r="T199" s="62">
        <f t="shared" si="69"/>
        <v>0</v>
      </c>
    </row>
    <row r="200" spans="1:20" s="1" customFormat="1" x14ac:dyDescent="0.3">
      <c r="A200" s="555">
        <v>889</v>
      </c>
      <c r="B200" s="461" t="s">
        <v>851</v>
      </c>
      <c r="C200" s="461"/>
      <c r="D200" s="171">
        <v>1289.75</v>
      </c>
      <c r="E200" s="62"/>
      <c r="F200" s="468">
        <f t="shared" si="67"/>
        <v>1289.75</v>
      </c>
      <c r="G200" s="171">
        <f t="shared" si="70"/>
        <v>1289.75</v>
      </c>
      <c r="H200" s="171"/>
      <c r="I200" s="62"/>
      <c r="J200" s="171"/>
      <c r="K200" s="171"/>
      <c r="L200" s="171"/>
      <c r="M200" s="171"/>
      <c r="N200" s="171"/>
      <c r="O200" s="171"/>
      <c r="P200" s="171"/>
      <c r="Q200" s="171"/>
      <c r="R200" s="171"/>
      <c r="S200" s="62">
        <f t="shared" si="68"/>
        <v>0</v>
      </c>
      <c r="T200" s="62">
        <f t="shared" si="69"/>
        <v>0</v>
      </c>
    </row>
    <row r="201" spans="1:20" s="1" customFormat="1" x14ac:dyDescent="0.3">
      <c r="A201" s="555">
        <v>890</v>
      </c>
      <c r="B201" s="461" t="s">
        <v>852</v>
      </c>
      <c r="C201" s="461"/>
      <c r="D201" s="171">
        <v>761.78</v>
      </c>
      <c r="E201" s="62"/>
      <c r="F201" s="468">
        <f t="shared" si="67"/>
        <v>761.78</v>
      </c>
      <c r="G201" s="171">
        <f t="shared" si="70"/>
        <v>761.78</v>
      </c>
      <c r="H201" s="171"/>
      <c r="I201" s="62"/>
      <c r="J201" s="171"/>
      <c r="K201" s="171"/>
      <c r="L201" s="171"/>
      <c r="M201" s="171"/>
      <c r="N201" s="171"/>
      <c r="O201" s="171"/>
      <c r="P201" s="171"/>
      <c r="Q201" s="171"/>
      <c r="R201" s="171"/>
      <c r="S201" s="62">
        <f t="shared" si="68"/>
        <v>0</v>
      </c>
      <c r="T201" s="62">
        <f t="shared" si="69"/>
        <v>0</v>
      </c>
    </row>
    <row r="202" spans="1:20" s="1" customFormat="1" x14ac:dyDescent="0.3">
      <c r="A202" s="555">
        <v>891</v>
      </c>
      <c r="B202" s="461" t="s">
        <v>853</v>
      </c>
      <c r="C202" s="461"/>
      <c r="D202" s="171">
        <v>52833.9</v>
      </c>
      <c r="E202" s="62"/>
      <c r="F202" s="468">
        <f t="shared" si="67"/>
        <v>52833.9</v>
      </c>
      <c r="G202" s="171">
        <f t="shared" si="70"/>
        <v>52833.9</v>
      </c>
      <c r="H202" s="171"/>
      <c r="I202" s="62"/>
      <c r="J202" s="171"/>
      <c r="K202" s="171"/>
      <c r="L202" s="171"/>
      <c r="M202" s="171"/>
      <c r="N202" s="171"/>
      <c r="O202" s="171"/>
      <c r="P202" s="171"/>
      <c r="Q202" s="171"/>
      <c r="R202" s="171"/>
      <c r="S202" s="62">
        <f t="shared" si="68"/>
        <v>0</v>
      </c>
      <c r="T202" s="62">
        <f t="shared" si="69"/>
        <v>0</v>
      </c>
    </row>
    <row r="203" spans="1:20" s="1" customFormat="1" x14ac:dyDescent="0.3">
      <c r="A203" s="555">
        <v>892</v>
      </c>
      <c r="B203" s="461" t="s">
        <v>456</v>
      </c>
      <c r="C203" s="461"/>
      <c r="D203" s="171">
        <v>1008850.98</v>
      </c>
      <c r="E203" s="62"/>
      <c r="F203" s="468">
        <f t="shared" si="67"/>
        <v>1008850.98</v>
      </c>
      <c r="G203" s="171">
        <f t="shared" si="70"/>
        <v>1008850.98</v>
      </c>
      <c r="H203" s="171"/>
      <c r="I203" s="62"/>
      <c r="J203" s="171"/>
      <c r="K203" s="171"/>
      <c r="L203" s="171"/>
      <c r="M203" s="171"/>
      <c r="N203" s="171"/>
      <c r="O203" s="171"/>
      <c r="P203" s="171"/>
      <c r="Q203" s="171"/>
      <c r="R203" s="171"/>
      <c r="S203" s="62">
        <f t="shared" si="68"/>
        <v>0</v>
      </c>
      <c r="T203" s="62">
        <f t="shared" si="69"/>
        <v>0</v>
      </c>
    </row>
    <row r="204" spans="1:20" s="1" customFormat="1" x14ac:dyDescent="0.3">
      <c r="A204" s="555">
        <v>893</v>
      </c>
      <c r="B204" s="461" t="s">
        <v>854</v>
      </c>
      <c r="C204" s="461"/>
      <c r="D204" s="171">
        <v>753667.18</v>
      </c>
      <c r="E204" s="62"/>
      <c r="F204" s="468">
        <f t="shared" si="67"/>
        <v>753667.18</v>
      </c>
      <c r="G204" s="171">
        <f t="shared" si="70"/>
        <v>753667.18</v>
      </c>
      <c r="H204" s="171"/>
      <c r="I204" s="62"/>
      <c r="J204" s="171"/>
      <c r="K204" s="171"/>
      <c r="L204" s="171"/>
      <c r="M204" s="171"/>
      <c r="N204" s="171"/>
      <c r="O204" s="171"/>
      <c r="P204" s="171"/>
      <c r="Q204" s="171"/>
      <c r="R204" s="171"/>
      <c r="S204" s="62">
        <f t="shared" si="68"/>
        <v>0</v>
      </c>
      <c r="T204" s="62">
        <f t="shared" si="69"/>
        <v>0</v>
      </c>
    </row>
    <row r="205" spans="1:20" s="1" customFormat="1" ht="14.5" x14ac:dyDescent="0.45">
      <c r="A205" s="555">
        <v>894</v>
      </c>
      <c r="B205" s="461" t="s">
        <v>860</v>
      </c>
      <c r="C205" s="461"/>
      <c r="D205" s="472">
        <v>0</v>
      </c>
      <c r="E205" s="62"/>
      <c r="F205" s="473">
        <f t="shared" si="67"/>
        <v>0</v>
      </c>
      <c r="G205" s="472">
        <f t="shared" si="70"/>
        <v>0</v>
      </c>
      <c r="H205" s="171"/>
      <c r="I205" s="62"/>
      <c r="J205" s="171"/>
      <c r="K205" s="171"/>
      <c r="L205" s="171"/>
      <c r="M205" s="171"/>
      <c r="N205" s="171"/>
      <c r="O205" s="171"/>
      <c r="P205" s="171"/>
      <c r="Q205" s="171"/>
      <c r="R205" s="171"/>
      <c r="S205" s="62">
        <f t="shared" si="68"/>
        <v>0</v>
      </c>
      <c r="T205" s="62">
        <f t="shared" si="69"/>
        <v>0</v>
      </c>
    </row>
    <row r="206" spans="1:20" s="1" customFormat="1" x14ac:dyDescent="0.3">
      <c r="A206" s="555"/>
      <c r="B206" s="474" t="s">
        <v>524</v>
      </c>
      <c r="C206" s="461"/>
      <c r="D206" s="171">
        <f>SUM(D196:D205)</f>
        <v>5734925</v>
      </c>
      <c r="E206" s="62"/>
      <c r="F206" s="62">
        <f>SUM(F196:F205)</f>
        <v>5734925</v>
      </c>
      <c r="G206" s="171">
        <f>SUM(G196:G205)</f>
        <v>5734925</v>
      </c>
      <c r="H206" s="171">
        <f t="shared" ref="H206:Q206" si="71">SUM(H196:H205)</f>
        <v>0</v>
      </c>
      <c r="I206" s="171">
        <f t="shared" si="71"/>
        <v>0</v>
      </c>
      <c r="J206" s="171">
        <f t="shared" si="71"/>
        <v>0</v>
      </c>
      <c r="K206" s="171">
        <f t="shared" si="71"/>
        <v>0</v>
      </c>
      <c r="L206" s="171">
        <f t="shared" si="71"/>
        <v>0</v>
      </c>
      <c r="M206" s="171">
        <f t="shared" si="71"/>
        <v>0</v>
      </c>
      <c r="N206" s="171">
        <f t="shared" si="71"/>
        <v>0</v>
      </c>
      <c r="O206" s="171">
        <f t="shared" si="71"/>
        <v>0</v>
      </c>
      <c r="P206" s="171">
        <f t="shared" si="71"/>
        <v>0</v>
      </c>
      <c r="Q206" s="171">
        <f t="shared" si="71"/>
        <v>0</v>
      </c>
      <c r="R206" s="171"/>
      <c r="S206" s="62"/>
      <c r="T206" s="62"/>
    </row>
    <row r="207" spans="1:20" s="1" customFormat="1" x14ac:dyDescent="0.3">
      <c r="A207" s="555"/>
      <c r="B207" s="461"/>
      <c r="C207" s="461"/>
      <c r="D207" s="171"/>
      <c r="E207" s="62"/>
      <c r="F207" s="62"/>
      <c r="G207" s="171"/>
      <c r="H207" s="171"/>
      <c r="I207" s="62"/>
      <c r="J207" s="171"/>
      <c r="K207" s="171"/>
      <c r="L207" s="171"/>
      <c r="M207" s="171"/>
      <c r="N207" s="171"/>
      <c r="O207" s="171"/>
      <c r="P207" s="171"/>
      <c r="Q207" s="171"/>
      <c r="R207" s="171"/>
      <c r="S207" s="62"/>
      <c r="T207" s="62"/>
    </row>
    <row r="208" spans="1:20" s="1" customFormat="1" x14ac:dyDescent="0.3">
      <c r="A208" s="555"/>
      <c r="B208" s="479" t="s">
        <v>543</v>
      </c>
      <c r="C208" s="461"/>
      <c r="D208" s="171">
        <f>D206+D193</f>
        <v>14977315.380000001</v>
      </c>
      <c r="E208" s="62"/>
      <c r="F208" s="171">
        <f>F206+F193</f>
        <v>14977315.380000001</v>
      </c>
      <c r="G208" s="171">
        <f>G206+G193</f>
        <v>14977315.380000001</v>
      </c>
      <c r="H208" s="171">
        <f t="shared" ref="H208:Q208" si="72">H206+H193</f>
        <v>0</v>
      </c>
      <c r="I208" s="171">
        <f t="shared" si="72"/>
        <v>0</v>
      </c>
      <c r="J208" s="171">
        <f t="shared" si="72"/>
        <v>0</v>
      </c>
      <c r="K208" s="171">
        <f t="shared" si="72"/>
        <v>0</v>
      </c>
      <c r="L208" s="171">
        <f t="shared" si="72"/>
        <v>0</v>
      </c>
      <c r="M208" s="171">
        <f t="shared" si="72"/>
        <v>0</v>
      </c>
      <c r="N208" s="171">
        <f t="shared" si="72"/>
        <v>0</v>
      </c>
      <c r="O208" s="171">
        <f t="shared" si="72"/>
        <v>0</v>
      </c>
      <c r="P208" s="171">
        <f t="shared" si="72"/>
        <v>0</v>
      </c>
      <c r="Q208" s="171">
        <f t="shared" si="72"/>
        <v>0</v>
      </c>
      <c r="R208" s="171"/>
      <c r="S208" s="62"/>
      <c r="T208" s="62"/>
    </row>
    <row r="209" spans="1:20" s="1" customFormat="1" x14ac:dyDescent="0.3">
      <c r="A209" s="555"/>
      <c r="B209" s="461"/>
      <c r="C209" s="461"/>
      <c r="D209" s="171"/>
      <c r="E209" s="62"/>
      <c r="F209" s="171"/>
      <c r="G209" s="171"/>
      <c r="H209" s="171"/>
      <c r="I209" s="62"/>
      <c r="J209" s="171"/>
      <c r="K209" s="171"/>
      <c r="L209" s="171"/>
      <c r="M209" s="171"/>
      <c r="N209" s="171"/>
      <c r="O209" s="171"/>
      <c r="P209" s="171"/>
      <c r="Q209" s="171"/>
      <c r="R209" s="171"/>
      <c r="S209" s="62"/>
      <c r="T209" s="62"/>
    </row>
    <row r="210" spans="1:20" s="1" customFormat="1" x14ac:dyDescent="0.3">
      <c r="A210" s="555"/>
      <c r="B210" s="479" t="s">
        <v>862</v>
      </c>
      <c r="C210" s="461"/>
      <c r="D210" s="171">
        <f>D208+D165+D178</f>
        <v>15260869.33</v>
      </c>
      <c r="E210" s="62"/>
      <c r="F210" s="171">
        <f t="shared" ref="F210:Q210" si="73">F208+F165+F178</f>
        <v>15260869.33</v>
      </c>
      <c r="G210" s="171">
        <f t="shared" si="73"/>
        <v>15260869.33</v>
      </c>
      <c r="H210" s="171">
        <f t="shared" si="73"/>
        <v>0</v>
      </c>
      <c r="I210" s="171">
        <f t="shared" si="73"/>
        <v>0</v>
      </c>
      <c r="J210" s="171">
        <f t="shared" si="73"/>
        <v>0</v>
      </c>
      <c r="K210" s="171">
        <f t="shared" si="73"/>
        <v>0</v>
      </c>
      <c r="L210" s="171">
        <f t="shared" si="73"/>
        <v>0</v>
      </c>
      <c r="M210" s="171">
        <f t="shared" si="73"/>
        <v>0</v>
      </c>
      <c r="N210" s="171">
        <f t="shared" si="73"/>
        <v>0</v>
      </c>
      <c r="O210" s="171">
        <f t="shared" si="73"/>
        <v>0</v>
      </c>
      <c r="P210" s="171">
        <f t="shared" si="73"/>
        <v>0</v>
      </c>
      <c r="Q210" s="171">
        <f t="shared" si="73"/>
        <v>0</v>
      </c>
      <c r="R210" s="171"/>
      <c r="S210" s="62"/>
      <c r="T210" s="62"/>
    </row>
    <row r="211" spans="1:20" s="1" customFormat="1" x14ac:dyDescent="0.3">
      <c r="A211" s="555"/>
      <c r="B211" s="461"/>
      <c r="C211" s="461"/>
      <c r="D211" s="171"/>
      <c r="E211" s="62"/>
      <c r="F211" s="62"/>
      <c r="G211" s="171"/>
      <c r="H211" s="171"/>
      <c r="I211" s="62"/>
      <c r="J211" s="171"/>
      <c r="K211" s="171"/>
      <c r="L211" s="171"/>
      <c r="M211" s="171"/>
      <c r="N211" s="171"/>
      <c r="O211" s="171"/>
      <c r="P211" s="171"/>
      <c r="Q211" s="171"/>
      <c r="R211" s="171"/>
      <c r="S211" s="62"/>
      <c r="T211" s="62"/>
    </row>
    <row r="212" spans="1:20" s="1" customFormat="1" x14ac:dyDescent="0.3">
      <c r="A212" s="555"/>
      <c r="B212" s="461"/>
      <c r="C212" s="461"/>
      <c r="D212" s="171"/>
      <c r="E212" s="62"/>
      <c r="F212" s="62"/>
      <c r="G212" s="171"/>
      <c r="H212" s="171"/>
      <c r="I212" s="62"/>
      <c r="J212" s="171"/>
      <c r="K212" s="171"/>
      <c r="L212" s="171"/>
      <c r="M212" s="171"/>
      <c r="N212" s="171"/>
      <c r="O212" s="171"/>
      <c r="P212" s="171"/>
      <c r="Q212" s="171"/>
      <c r="R212" s="171"/>
      <c r="S212" s="62"/>
      <c r="T212" s="62"/>
    </row>
    <row r="213" spans="1:20" s="1" customFormat="1" x14ac:dyDescent="0.3">
      <c r="A213" s="554" t="s">
        <v>696</v>
      </c>
      <c r="B213" s="461"/>
      <c r="C213" s="461"/>
      <c r="D213" s="171"/>
      <c r="E213" s="62"/>
      <c r="F213" s="62"/>
      <c r="G213" s="171"/>
      <c r="H213" s="171"/>
      <c r="I213" s="62"/>
      <c r="J213" s="171"/>
      <c r="K213" s="171"/>
      <c r="L213" s="171"/>
      <c r="M213" s="171"/>
      <c r="N213" s="171"/>
      <c r="O213" s="171"/>
      <c r="P213" s="171"/>
      <c r="Q213" s="171"/>
      <c r="R213" s="171"/>
      <c r="S213" s="62"/>
      <c r="T213" s="62"/>
    </row>
    <row r="214" spans="1:20" s="1" customFormat="1" x14ac:dyDescent="0.3">
      <c r="A214" s="555"/>
      <c r="B214" s="461"/>
      <c r="C214" s="461"/>
      <c r="D214" s="171"/>
      <c r="E214" s="62"/>
      <c r="F214" s="62"/>
      <c r="G214" s="171"/>
      <c r="H214" s="171"/>
      <c r="I214" s="62"/>
      <c r="J214" s="171"/>
      <c r="K214" s="171"/>
      <c r="L214" s="171"/>
      <c r="M214" s="171"/>
      <c r="N214" s="171"/>
      <c r="O214" s="171"/>
      <c r="P214" s="171"/>
      <c r="Q214" s="171"/>
      <c r="R214" s="171"/>
      <c r="S214" s="62"/>
      <c r="T214" s="62"/>
    </row>
    <row r="215" spans="1:20" s="1" customFormat="1" x14ac:dyDescent="0.3">
      <c r="A215" s="555"/>
      <c r="B215" s="464" t="s">
        <v>697</v>
      </c>
      <c r="C215" s="464"/>
      <c r="D215" s="171"/>
      <c r="E215" s="62"/>
      <c r="F215" s="62"/>
      <c r="G215" s="171"/>
      <c r="H215" s="171"/>
      <c r="I215" s="62"/>
      <c r="J215" s="171"/>
      <c r="K215" s="171"/>
      <c r="L215" s="171"/>
      <c r="M215" s="171"/>
      <c r="N215" s="171"/>
      <c r="O215" s="171"/>
      <c r="P215" s="171"/>
      <c r="Q215" s="171"/>
      <c r="R215" s="171"/>
      <c r="S215" s="62"/>
      <c r="T215" s="62"/>
    </row>
    <row r="216" spans="1:20" x14ac:dyDescent="0.3">
      <c r="A216" s="555">
        <v>901</v>
      </c>
      <c r="B216" s="461" t="s">
        <v>699</v>
      </c>
      <c r="C216" s="461" t="s">
        <v>1108</v>
      </c>
      <c r="D216" s="171">
        <v>259613.89</v>
      </c>
      <c r="E216" s="62"/>
      <c r="F216" s="468">
        <f>D216+E216</f>
        <v>259613.89</v>
      </c>
      <c r="G216" s="171">
        <f>G$222/F$222*F216</f>
        <v>16111.741162585191</v>
      </c>
      <c r="H216" s="171">
        <f>F216-G216</f>
        <v>243502.14883741483</v>
      </c>
      <c r="I216" s="468">
        <f>H216</f>
        <v>243502.14883741483</v>
      </c>
      <c r="J216" s="171"/>
      <c r="K216" s="171"/>
      <c r="L216" s="171">
        <f t="shared" ref="L216:Q216" si="74">L222/$I$222*$I$216</f>
        <v>0</v>
      </c>
      <c r="M216" s="488">
        <f>M222/$I$222*$I$216</f>
        <v>61983.063432429117</v>
      </c>
      <c r="N216" s="171">
        <f t="shared" si="74"/>
        <v>32215.979787846565</v>
      </c>
      <c r="O216" s="171">
        <f t="shared" si="74"/>
        <v>149303.10561713914</v>
      </c>
      <c r="P216" s="171">
        <f t="shared" si="74"/>
        <v>0</v>
      </c>
      <c r="Q216" s="171">
        <f t="shared" si="74"/>
        <v>0</v>
      </c>
      <c r="R216" s="171"/>
      <c r="S216" s="62">
        <f t="shared" ref="S216:S221" si="75">SUM(J216:Q216)</f>
        <v>243502.1488374148</v>
      </c>
      <c r="T216" s="62">
        <f t="shared" ref="T216:T221" si="76">H216-S216</f>
        <v>0</v>
      </c>
    </row>
    <row r="217" spans="1:20" x14ac:dyDescent="0.3">
      <c r="A217" s="555">
        <v>902</v>
      </c>
      <c r="B217" s="461" t="s">
        <v>701</v>
      </c>
      <c r="C217" s="484" t="s">
        <v>1235</v>
      </c>
      <c r="D217" s="171">
        <v>7262974.4900000002</v>
      </c>
      <c r="E217" s="62"/>
      <c r="F217" s="468">
        <f>D217+E217</f>
        <v>7262974.4900000002</v>
      </c>
      <c r="G217" s="171">
        <f>F217*'3a. OM_AG-i'!G218/'3a. OM_AG-i'!F218</f>
        <v>1481460.8958825937</v>
      </c>
      <c r="H217" s="171">
        <f>F217-G217</f>
        <v>5781513.5941174068</v>
      </c>
      <c r="I217" s="468">
        <f>H217</f>
        <v>5781513.5941174068</v>
      </c>
      <c r="J217" s="171"/>
      <c r="K217" s="171"/>
      <c r="L217" s="171"/>
      <c r="M217" s="171">
        <f>I217</f>
        <v>5781513.5941174068</v>
      </c>
      <c r="N217" s="171"/>
      <c r="O217" s="171"/>
      <c r="P217" s="171"/>
      <c r="Q217" s="171"/>
      <c r="R217" s="171"/>
      <c r="S217" s="62">
        <f t="shared" si="75"/>
        <v>5781513.5941174068</v>
      </c>
      <c r="T217" s="62">
        <f t="shared" si="76"/>
        <v>0</v>
      </c>
    </row>
    <row r="218" spans="1:20" x14ac:dyDescent="0.3">
      <c r="A218" s="555">
        <v>903</v>
      </c>
      <c r="B218" s="461" t="s">
        <v>703</v>
      </c>
      <c r="C218" s="62" t="s">
        <v>1231</v>
      </c>
      <c r="D218" s="171">
        <v>16952692.68</v>
      </c>
      <c r="E218" s="62"/>
      <c r="F218" s="468">
        <f>D218+E218</f>
        <v>16952692.68</v>
      </c>
      <c r="G218" s="171">
        <v>21373.03</v>
      </c>
      <c r="H218" s="171">
        <f>F218-G218</f>
        <v>16931319.649999999</v>
      </c>
      <c r="I218" s="468">
        <f>H218</f>
        <v>16931319.649999999</v>
      </c>
      <c r="J218" s="171">
        <f>$I218*'1a. Funct Factors'!K13/'1a. Funct Factors'!$J13</f>
        <v>0</v>
      </c>
      <c r="K218" s="171">
        <f>$I218*'1a. Funct Factors'!L13/'1a. Funct Factors'!$J13</f>
        <v>0</v>
      </c>
      <c r="L218" s="171">
        <f>$I218*'1a. Funct Factors'!M13/'1a. Funct Factors'!$J13</f>
        <v>0</v>
      </c>
      <c r="M218" s="171">
        <f>$I218*'1a. Funct Factors'!N13/'1a. Funct Factors'!$J13</f>
        <v>0</v>
      </c>
      <c r="N218" s="171">
        <f>$I218*'1a. Funct Factors'!O13/'1a. Funct Factors'!$J13</f>
        <v>3004968.0473488513</v>
      </c>
      <c r="O218" s="171">
        <f>$I218*'1a. Funct Factors'!P13/'1a. Funct Factors'!$J13</f>
        <v>13926351.602651145</v>
      </c>
      <c r="P218" s="171">
        <f>$I218*'1a. Funct Factors'!Q13/'1a. Funct Factors'!$J13</f>
        <v>0</v>
      </c>
      <c r="Q218" s="171">
        <f>$I218*'1a. Funct Factors'!R13/'1a. Funct Factors'!$J13</f>
        <v>0</v>
      </c>
      <c r="R218" s="171"/>
      <c r="S218" s="62">
        <f t="shared" si="75"/>
        <v>16931319.649999999</v>
      </c>
      <c r="T218" s="62">
        <f t="shared" si="76"/>
        <v>0</v>
      </c>
    </row>
    <row r="219" spans="1:20" x14ac:dyDescent="0.3">
      <c r="A219" s="555">
        <v>904</v>
      </c>
      <c r="B219" s="461" t="s">
        <v>705</v>
      </c>
      <c r="C219" s="461"/>
      <c r="D219" s="171">
        <v>0</v>
      </c>
      <c r="E219" s="62"/>
      <c r="F219" s="468">
        <f>D219+E219</f>
        <v>0</v>
      </c>
      <c r="G219" s="171"/>
      <c r="H219" s="171">
        <f>F219-G219</f>
        <v>0</v>
      </c>
      <c r="I219" s="468">
        <f>H219</f>
        <v>0</v>
      </c>
      <c r="J219" s="171"/>
      <c r="K219" s="171"/>
      <c r="L219" s="171">
        <f>I219</f>
        <v>0</v>
      </c>
      <c r="M219" s="171"/>
      <c r="N219" s="171"/>
      <c r="O219" s="171"/>
      <c r="P219" s="171"/>
      <c r="Q219" s="171"/>
      <c r="R219" s="171"/>
      <c r="S219" s="62">
        <f t="shared" si="75"/>
        <v>0</v>
      </c>
      <c r="T219" s="62">
        <f t="shared" si="76"/>
        <v>0</v>
      </c>
    </row>
    <row r="220" spans="1:20" ht="14.5" x14ac:dyDescent="0.45">
      <c r="A220" s="555">
        <v>905</v>
      </c>
      <c r="B220" s="466" t="s">
        <v>707</v>
      </c>
      <c r="C220" s="461" t="s">
        <v>1108</v>
      </c>
      <c r="D220" s="472">
        <v>23638.31</v>
      </c>
      <c r="E220" s="62"/>
      <c r="F220" s="473">
        <f>D220+E220</f>
        <v>23638.31</v>
      </c>
      <c r="G220" s="472">
        <f>G$222/F$222*F220</f>
        <v>1467.0029105181895</v>
      </c>
      <c r="H220" s="472">
        <f>F220-G220</f>
        <v>22171.307089481812</v>
      </c>
      <c r="I220" s="473">
        <f>H220</f>
        <v>22171.307089481812</v>
      </c>
      <c r="J220" s="472">
        <f>J222/$I$222*$I$220</f>
        <v>0</v>
      </c>
      <c r="K220" s="472">
        <f t="shared" ref="K220:Q220" si="77">K222/$I$222*$I$220</f>
        <v>0</v>
      </c>
      <c r="L220" s="472">
        <f t="shared" si="77"/>
        <v>0</v>
      </c>
      <c r="M220" s="472">
        <f t="shared" si="77"/>
        <v>5643.6690200413523</v>
      </c>
      <c r="N220" s="472">
        <f t="shared" si="77"/>
        <v>2933.3227015659727</v>
      </c>
      <c r="O220" s="472">
        <f t="shared" si="77"/>
        <v>13594.315367874484</v>
      </c>
      <c r="P220" s="472">
        <f t="shared" si="77"/>
        <v>0</v>
      </c>
      <c r="Q220" s="472">
        <f t="shared" si="77"/>
        <v>0</v>
      </c>
      <c r="R220" s="171"/>
      <c r="S220" s="62">
        <f t="shared" si="75"/>
        <v>22171.307089481808</v>
      </c>
      <c r="T220" s="62">
        <f t="shared" si="76"/>
        <v>0</v>
      </c>
    </row>
    <row r="221" spans="1:20" s="1" customFormat="1" x14ac:dyDescent="0.3">
      <c r="A221" s="555"/>
      <c r="B221" s="474" t="s">
        <v>524</v>
      </c>
      <c r="C221" s="474"/>
      <c r="D221" s="171">
        <f t="shared" ref="D221:I221" si="78">SUM(D216:D220)</f>
        <v>24498919.369999997</v>
      </c>
      <c r="E221" s="171">
        <f t="shared" si="78"/>
        <v>0</v>
      </c>
      <c r="F221" s="171">
        <f t="shared" si="78"/>
        <v>24498919.369999997</v>
      </c>
      <c r="G221" s="171">
        <f t="shared" si="78"/>
        <v>1520412.6699556969</v>
      </c>
      <c r="H221" s="171">
        <f t="shared" si="78"/>
        <v>22978506.7000443</v>
      </c>
      <c r="I221" s="171">
        <f t="shared" si="78"/>
        <v>22978506.7000443</v>
      </c>
      <c r="J221" s="171">
        <f t="shared" ref="J221:Q221" si="79">SUM(J216:J220)</f>
        <v>0</v>
      </c>
      <c r="K221" s="171">
        <f t="shared" si="79"/>
        <v>0</v>
      </c>
      <c r="L221" s="171">
        <f t="shared" si="79"/>
        <v>0</v>
      </c>
      <c r="M221" s="171">
        <f t="shared" si="79"/>
        <v>5849140.3265698766</v>
      </c>
      <c r="N221" s="171">
        <f t="shared" si="79"/>
        <v>3040117.3498382638</v>
      </c>
      <c r="O221" s="171">
        <f t="shared" si="79"/>
        <v>14089249.023636159</v>
      </c>
      <c r="P221" s="171">
        <f t="shared" si="79"/>
        <v>0</v>
      </c>
      <c r="Q221" s="171">
        <f t="shared" si="79"/>
        <v>0</v>
      </c>
      <c r="R221" s="171"/>
      <c r="S221" s="62">
        <f t="shared" si="75"/>
        <v>22978506.700044297</v>
      </c>
      <c r="T221" s="62">
        <f t="shared" si="76"/>
        <v>0</v>
      </c>
    </row>
    <row r="222" spans="1:20" s="1" customFormat="1" x14ac:dyDescent="0.3">
      <c r="A222" s="555" t="s">
        <v>1207</v>
      </c>
      <c r="B222" s="461" t="s">
        <v>1345</v>
      </c>
      <c r="C222" s="461"/>
      <c r="D222" s="171">
        <f t="shared" ref="D222:Q222" si="80">SUM(D217:D218)</f>
        <v>24215667.170000002</v>
      </c>
      <c r="E222" s="62"/>
      <c r="F222" s="171">
        <f t="shared" si="80"/>
        <v>24215667.170000002</v>
      </c>
      <c r="G222" s="171">
        <f t="shared" si="80"/>
        <v>1502833.9258825937</v>
      </c>
      <c r="H222" s="171">
        <f t="shared" si="80"/>
        <v>22712833.244117405</v>
      </c>
      <c r="I222" s="171">
        <f t="shared" si="80"/>
        <v>22712833.244117405</v>
      </c>
      <c r="J222" s="171">
        <f t="shared" si="80"/>
        <v>0</v>
      </c>
      <c r="K222" s="171">
        <f t="shared" si="80"/>
        <v>0</v>
      </c>
      <c r="L222" s="171">
        <f t="shared" si="80"/>
        <v>0</v>
      </c>
      <c r="M222" s="171">
        <f t="shared" si="80"/>
        <v>5781513.5941174068</v>
      </c>
      <c r="N222" s="171">
        <f t="shared" si="80"/>
        <v>3004968.0473488513</v>
      </c>
      <c r="O222" s="171">
        <f t="shared" si="80"/>
        <v>13926351.602651145</v>
      </c>
      <c r="P222" s="171">
        <f t="shared" si="80"/>
        <v>0</v>
      </c>
      <c r="Q222" s="171">
        <f t="shared" si="80"/>
        <v>0</v>
      </c>
      <c r="R222" s="171"/>
      <c r="S222" s="62">
        <f t="shared" ref="S222" si="81">SUM(J222:Q222)</f>
        <v>22712833.244117402</v>
      </c>
      <c r="T222" s="62">
        <f t="shared" ref="T222" si="82">H222-S222</f>
        <v>0</v>
      </c>
    </row>
    <row r="223" spans="1:20" s="1" customFormat="1" x14ac:dyDescent="0.3">
      <c r="A223" s="555"/>
      <c r="B223" s="464" t="s">
        <v>708</v>
      </c>
      <c r="C223" s="464"/>
      <c r="D223" s="171"/>
      <c r="E223" s="62"/>
      <c r="F223" s="62"/>
      <c r="G223" s="171"/>
      <c r="H223" s="171"/>
      <c r="I223" s="62"/>
      <c r="J223" s="171"/>
      <c r="K223" s="171"/>
      <c r="L223" s="171"/>
      <c r="M223" s="171"/>
      <c r="N223" s="171"/>
      <c r="O223" s="171"/>
      <c r="P223" s="171"/>
      <c r="Q223" s="171"/>
      <c r="R223" s="171"/>
      <c r="S223" s="62"/>
      <c r="T223" s="62"/>
    </row>
    <row r="224" spans="1:20" s="1" customFormat="1" x14ac:dyDescent="0.3">
      <c r="A224" s="555">
        <v>906</v>
      </c>
      <c r="B224" s="461" t="s">
        <v>710</v>
      </c>
      <c r="C224" s="461"/>
      <c r="D224" s="171">
        <v>0</v>
      </c>
      <c r="E224" s="62"/>
      <c r="F224" s="171">
        <v>0</v>
      </c>
      <c r="G224" s="171">
        <v>0</v>
      </c>
      <c r="H224" s="171">
        <f>F224-G224</f>
        <v>0</v>
      </c>
      <c r="I224" s="468">
        <f>H224</f>
        <v>0</v>
      </c>
      <c r="J224" s="171"/>
      <c r="K224" s="171"/>
      <c r="L224" s="62"/>
      <c r="M224" s="62"/>
      <c r="N224" s="62"/>
      <c r="O224" s="62"/>
      <c r="P224" s="62"/>
      <c r="Q224" s="62"/>
      <c r="R224" s="62"/>
      <c r="S224" s="62">
        <f t="shared" ref="S224:S229" si="83">SUM(J224:Q224)</f>
        <v>0</v>
      </c>
      <c r="T224" s="62">
        <f t="shared" ref="T224:T230" si="84">H224-S224</f>
        <v>0</v>
      </c>
    </row>
    <row r="225" spans="1:20" s="1" customFormat="1" x14ac:dyDescent="0.3">
      <c r="A225" s="555">
        <v>907</v>
      </c>
      <c r="B225" s="461" t="s">
        <v>699</v>
      </c>
      <c r="C225" s="461" t="s">
        <v>829</v>
      </c>
      <c r="D225" s="171">
        <v>0</v>
      </c>
      <c r="E225" s="62"/>
      <c r="F225" s="468">
        <f>D225+E225</f>
        <v>0</v>
      </c>
      <c r="G225" s="171">
        <v>0</v>
      </c>
      <c r="H225" s="171">
        <f>F225-G225</f>
        <v>0</v>
      </c>
      <c r="I225" s="468">
        <f>H225</f>
        <v>0</v>
      </c>
      <c r="J225" s="171" t="s">
        <v>546</v>
      </c>
      <c r="K225" s="171"/>
      <c r="L225" s="171"/>
      <c r="M225" s="171" t="s">
        <v>546</v>
      </c>
      <c r="N225" s="171" t="s">
        <v>546</v>
      </c>
      <c r="O225" s="171" t="s">
        <v>546</v>
      </c>
      <c r="P225" s="171" t="s">
        <v>546</v>
      </c>
      <c r="Q225" s="171" t="s">
        <v>546</v>
      </c>
      <c r="R225" s="62"/>
      <c r="S225" s="62">
        <f t="shared" si="83"/>
        <v>0</v>
      </c>
      <c r="T225" s="62">
        <f t="shared" si="84"/>
        <v>0</v>
      </c>
    </row>
    <row r="226" spans="1:20" s="1" customFormat="1" x14ac:dyDescent="0.3">
      <c r="A226" s="555">
        <v>908</v>
      </c>
      <c r="B226" s="466" t="s">
        <v>713</v>
      </c>
      <c r="C226" s="484"/>
      <c r="D226" s="171">
        <v>0</v>
      </c>
      <c r="E226" s="62"/>
      <c r="F226" s="468">
        <f>D226+E226</f>
        <v>0</v>
      </c>
      <c r="G226" s="171">
        <v>0</v>
      </c>
      <c r="H226" s="171">
        <f>F226-G226</f>
        <v>0</v>
      </c>
      <c r="I226" s="468">
        <f>H226</f>
        <v>0</v>
      </c>
      <c r="J226" s="171"/>
      <c r="K226" s="171"/>
      <c r="L226" s="62"/>
      <c r="M226" s="62"/>
      <c r="N226" s="62"/>
      <c r="O226" s="62"/>
      <c r="P226" s="62" t="s">
        <v>546</v>
      </c>
      <c r="Q226" s="62"/>
      <c r="R226" s="62"/>
      <c r="S226" s="62">
        <f t="shared" si="83"/>
        <v>0</v>
      </c>
      <c r="T226" s="62">
        <f t="shared" si="84"/>
        <v>0</v>
      </c>
    </row>
    <row r="227" spans="1:20" s="1" customFormat="1" x14ac:dyDescent="0.3">
      <c r="A227" s="555">
        <v>909</v>
      </c>
      <c r="B227" s="461" t="s">
        <v>715</v>
      </c>
      <c r="C227" s="461"/>
      <c r="D227" s="171">
        <v>0</v>
      </c>
      <c r="E227" s="62"/>
      <c r="F227" s="468">
        <f>D227+E227</f>
        <v>0</v>
      </c>
      <c r="G227" s="171">
        <v>0</v>
      </c>
      <c r="H227" s="171">
        <f>F227-G227</f>
        <v>0</v>
      </c>
      <c r="I227" s="468">
        <f>H227</f>
        <v>0</v>
      </c>
      <c r="J227" s="171"/>
      <c r="K227" s="171"/>
      <c r="L227" s="62"/>
      <c r="M227" s="62"/>
      <c r="N227" s="62"/>
      <c r="O227" s="62"/>
      <c r="P227" s="468">
        <f>I227</f>
        <v>0</v>
      </c>
      <c r="Q227" s="62"/>
      <c r="R227" s="62"/>
      <c r="S227" s="62">
        <f t="shared" si="83"/>
        <v>0</v>
      </c>
      <c r="T227" s="62">
        <f t="shared" si="84"/>
        <v>0</v>
      </c>
    </row>
    <row r="228" spans="1:20" ht="14.5" x14ac:dyDescent="0.45">
      <c r="A228" s="555">
        <v>910</v>
      </c>
      <c r="B228" s="461" t="s">
        <v>717</v>
      </c>
      <c r="C228" s="461" t="s">
        <v>829</v>
      </c>
      <c r="D228" s="472">
        <v>1532757.51</v>
      </c>
      <c r="E228" s="559"/>
      <c r="F228" s="473">
        <f>D228+E228</f>
        <v>1532757.51</v>
      </c>
      <c r="G228" s="472">
        <f>IF(F230=0,(G222/$F222)*$F228,G230/$F230*$F228)</f>
        <v>95123.540062238506</v>
      </c>
      <c r="H228" s="472">
        <f>+F228-G228</f>
        <v>1437633.9699377615</v>
      </c>
      <c r="I228" s="473">
        <f>H228</f>
        <v>1437633.9699377615</v>
      </c>
      <c r="J228" s="472" t="s">
        <v>546</v>
      </c>
      <c r="K228" s="472" t="s">
        <v>546</v>
      </c>
      <c r="L228" s="472">
        <v>0</v>
      </c>
      <c r="M228" s="472" t="s">
        <v>546</v>
      </c>
      <c r="N228" s="472" t="s">
        <v>546</v>
      </c>
      <c r="O228" s="472">
        <f>+I228</f>
        <v>1437633.9699377615</v>
      </c>
      <c r="P228" s="472">
        <v>0</v>
      </c>
      <c r="Q228" s="472" t="s">
        <v>546</v>
      </c>
      <c r="R228" s="62"/>
      <c r="S228" s="62">
        <f t="shared" si="83"/>
        <v>1437633.9699377615</v>
      </c>
      <c r="T228" s="62">
        <f t="shared" si="84"/>
        <v>0</v>
      </c>
    </row>
    <row r="229" spans="1:20" x14ac:dyDescent="0.3">
      <c r="A229" s="555"/>
      <c r="B229" s="474" t="s">
        <v>524</v>
      </c>
      <c r="C229" s="474"/>
      <c r="D229" s="171">
        <f>SUM(D224:D228)</f>
        <v>1532757.51</v>
      </c>
      <c r="E229" s="171">
        <f>SUM(E224:E228)</f>
        <v>0</v>
      </c>
      <c r="F229" s="171">
        <f>SUM(F225:F228)</f>
        <v>1532757.51</v>
      </c>
      <c r="G229" s="171">
        <f>SUM(G225:G228)</f>
        <v>95123.540062238506</v>
      </c>
      <c r="H229" s="171">
        <f>SUM(H224:H228)</f>
        <v>1437633.9699377615</v>
      </c>
      <c r="I229" s="171">
        <f>SUM(I224:I228)</f>
        <v>1437633.9699377615</v>
      </c>
      <c r="J229" s="171">
        <f t="shared" ref="J229:Q229" si="85">SUM(J224:J228)</f>
        <v>0</v>
      </c>
      <c r="K229" s="171">
        <f t="shared" si="85"/>
        <v>0</v>
      </c>
      <c r="L229" s="171">
        <f t="shared" si="85"/>
        <v>0</v>
      </c>
      <c r="M229" s="171">
        <f t="shared" si="85"/>
        <v>0</v>
      </c>
      <c r="N229" s="171">
        <f t="shared" si="85"/>
        <v>0</v>
      </c>
      <c r="O229" s="171">
        <f t="shared" si="85"/>
        <v>1437633.9699377615</v>
      </c>
      <c r="P229" s="171">
        <f t="shared" si="85"/>
        <v>0</v>
      </c>
      <c r="Q229" s="171">
        <f t="shared" si="85"/>
        <v>0</v>
      </c>
      <c r="R229" s="171"/>
      <c r="S229" s="62">
        <f t="shared" si="83"/>
        <v>1437633.9699377615</v>
      </c>
      <c r="T229" s="62">
        <f t="shared" si="84"/>
        <v>0</v>
      </c>
    </row>
    <row r="230" spans="1:20" s="1" customFormat="1" x14ac:dyDescent="0.3">
      <c r="A230" s="484" t="s">
        <v>1208</v>
      </c>
      <c r="B230" s="461" t="s">
        <v>829</v>
      </c>
      <c r="C230" s="474"/>
      <c r="D230" s="171">
        <f t="shared" ref="D230:Q230" si="86">SUM(D224:D224,D226:D227)</f>
        <v>0</v>
      </c>
      <c r="E230" s="171">
        <f t="shared" si="86"/>
        <v>0</v>
      </c>
      <c r="F230" s="171">
        <f t="shared" si="86"/>
        <v>0</v>
      </c>
      <c r="G230" s="171">
        <f t="shared" si="86"/>
        <v>0</v>
      </c>
      <c r="H230" s="171">
        <f t="shared" si="86"/>
        <v>0</v>
      </c>
      <c r="I230" s="171">
        <f t="shared" si="86"/>
        <v>0</v>
      </c>
      <c r="J230" s="171">
        <f t="shared" si="86"/>
        <v>0</v>
      </c>
      <c r="K230" s="171">
        <f t="shared" si="86"/>
        <v>0</v>
      </c>
      <c r="L230" s="171">
        <f t="shared" si="86"/>
        <v>0</v>
      </c>
      <c r="M230" s="171">
        <f t="shared" si="86"/>
        <v>0</v>
      </c>
      <c r="N230" s="171">
        <f t="shared" si="86"/>
        <v>0</v>
      </c>
      <c r="O230" s="171">
        <f t="shared" si="86"/>
        <v>0</v>
      </c>
      <c r="P230" s="171">
        <f t="shared" si="86"/>
        <v>0</v>
      </c>
      <c r="Q230" s="171">
        <f t="shared" si="86"/>
        <v>0</v>
      </c>
      <c r="R230" s="171"/>
      <c r="S230" s="62">
        <f t="shared" ref="S230" si="87">SUM(J230:Q230)</f>
        <v>0</v>
      </c>
      <c r="T230" s="62">
        <f t="shared" si="84"/>
        <v>0</v>
      </c>
    </row>
    <row r="231" spans="1:20" s="1" customFormat="1" x14ac:dyDescent="0.3">
      <c r="A231" s="555"/>
      <c r="B231" s="483" t="s">
        <v>718</v>
      </c>
      <c r="C231" s="483"/>
      <c r="D231" s="171"/>
      <c r="E231" s="62"/>
      <c r="F231" s="62"/>
      <c r="G231" s="171"/>
      <c r="H231" s="171"/>
      <c r="I231" s="62"/>
      <c r="J231" s="171"/>
      <c r="K231" s="171"/>
      <c r="L231" s="171"/>
      <c r="M231" s="171"/>
      <c r="N231" s="171"/>
      <c r="O231" s="171"/>
      <c r="P231" s="171"/>
      <c r="Q231" s="171"/>
      <c r="R231" s="171"/>
      <c r="S231" s="62"/>
      <c r="T231" s="62"/>
    </row>
    <row r="232" spans="1:20" s="1" customFormat="1" x14ac:dyDescent="0.3">
      <c r="A232" s="555">
        <v>911</v>
      </c>
      <c r="B232" s="484" t="s">
        <v>1068</v>
      </c>
      <c r="C232" s="483"/>
      <c r="D232" s="171">
        <v>0</v>
      </c>
      <c r="E232" s="62"/>
      <c r="F232" s="62"/>
      <c r="G232" s="171"/>
      <c r="H232" s="171"/>
      <c r="I232" s="62"/>
      <c r="J232" s="171"/>
      <c r="K232" s="171"/>
      <c r="L232" s="171"/>
      <c r="M232" s="171"/>
      <c r="N232" s="171"/>
      <c r="O232" s="171"/>
      <c r="P232" s="171"/>
      <c r="Q232" s="171"/>
      <c r="R232" s="171"/>
      <c r="S232" s="62">
        <f t="shared" ref="S232:S233" si="88">SUM(J232:Q232)</f>
        <v>0</v>
      </c>
      <c r="T232" s="62">
        <f t="shared" ref="T232:T233" si="89">H232-S232</f>
        <v>0</v>
      </c>
    </row>
    <row r="233" spans="1:20" s="1" customFormat="1" x14ac:dyDescent="0.3">
      <c r="A233" s="557">
        <v>912</v>
      </c>
      <c r="B233" s="485" t="s">
        <v>719</v>
      </c>
      <c r="C233" s="483"/>
      <c r="D233" s="171">
        <v>0</v>
      </c>
      <c r="E233" s="62"/>
      <c r="F233" s="62"/>
      <c r="G233" s="171"/>
      <c r="H233" s="171"/>
      <c r="I233" s="62"/>
      <c r="J233" s="171"/>
      <c r="K233" s="171"/>
      <c r="L233" s="171"/>
      <c r="M233" s="171"/>
      <c r="N233" s="171"/>
      <c r="O233" s="171"/>
      <c r="P233" s="171"/>
      <c r="Q233" s="171"/>
      <c r="R233" s="171"/>
      <c r="S233" s="62">
        <f t="shared" si="88"/>
        <v>0</v>
      </c>
      <c r="T233" s="62">
        <f t="shared" si="89"/>
        <v>0</v>
      </c>
    </row>
    <row r="234" spans="1:20" x14ac:dyDescent="0.3">
      <c r="A234" s="555">
        <v>913</v>
      </c>
      <c r="B234" s="243" t="s">
        <v>1331</v>
      </c>
      <c r="C234" s="243"/>
      <c r="D234" s="171">
        <v>0</v>
      </c>
      <c r="E234" s="62"/>
      <c r="F234" s="468">
        <f>D234+E234</f>
        <v>0</v>
      </c>
      <c r="G234" s="171">
        <v>0</v>
      </c>
      <c r="H234" s="171">
        <f>F234-G234</f>
        <v>0</v>
      </c>
      <c r="I234" s="468">
        <f>H234</f>
        <v>0</v>
      </c>
      <c r="J234" s="171"/>
      <c r="K234" s="171"/>
      <c r="L234" s="171"/>
      <c r="M234" s="171"/>
      <c r="N234" s="171"/>
      <c r="O234" s="171"/>
      <c r="P234" s="171">
        <f>I234</f>
        <v>0</v>
      </c>
      <c r="Q234" s="171"/>
      <c r="R234" s="171"/>
      <c r="S234" s="62">
        <f t="shared" ref="S234:S239" si="90">SUM(J234:Q234)</f>
        <v>0</v>
      </c>
      <c r="T234" s="62">
        <f t="shared" ref="T234:T239" si="91">H234-S234</f>
        <v>0</v>
      </c>
    </row>
    <row r="235" spans="1:20" s="1" customFormat="1" x14ac:dyDescent="0.3">
      <c r="A235" s="555">
        <v>915</v>
      </c>
      <c r="B235" s="243" t="s">
        <v>892</v>
      </c>
      <c r="C235" s="243"/>
      <c r="D235" s="171">
        <v>139061.93</v>
      </c>
      <c r="E235" s="62"/>
      <c r="F235" s="468">
        <f>D235+E235</f>
        <v>139061.93</v>
      </c>
      <c r="G235" s="171">
        <v>0</v>
      </c>
      <c r="H235" s="171">
        <f>F235-G235</f>
        <v>139061.93</v>
      </c>
      <c r="I235" s="468">
        <f>H235</f>
        <v>139061.93</v>
      </c>
      <c r="J235" s="171"/>
      <c r="K235" s="171"/>
      <c r="L235" s="171"/>
      <c r="M235" s="171"/>
      <c r="N235" s="171"/>
      <c r="O235" s="171"/>
      <c r="P235" s="171">
        <f>I235</f>
        <v>139061.93</v>
      </c>
      <c r="Q235" s="171"/>
      <c r="R235" s="171"/>
      <c r="S235" s="62">
        <f t="shared" si="90"/>
        <v>139061.93</v>
      </c>
      <c r="T235" s="62">
        <f t="shared" si="91"/>
        <v>0</v>
      </c>
    </row>
    <row r="236" spans="1:20" x14ac:dyDescent="0.3">
      <c r="A236" s="555">
        <v>916</v>
      </c>
      <c r="B236" s="243" t="s">
        <v>719</v>
      </c>
      <c r="C236" s="243" t="s">
        <v>831</v>
      </c>
      <c r="D236" s="171">
        <v>1233511.75</v>
      </c>
      <c r="E236" s="62"/>
      <c r="F236" s="468">
        <f>D236+E236</f>
        <v>1233511.75</v>
      </c>
      <c r="G236" s="171">
        <v>865.19</v>
      </c>
      <c r="H236" s="171">
        <f>F236-G236</f>
        <v>1232646.56</v>
      </c>
      <c r="I236" s="468">
        <f>H236</f>
        <v>1232646.56</v>
      </c>
      <c r="J236" s="171"/>
      <c r="K236" s="171"/>
      <c r="L236" s="171"/>
      <c r="M236" s="171"/>
      <c r="N236" s="171"/>
      <c r="O236" s="171"/>
      <c r="P236" s="171">
        <f>I236</f>
        <v>1232646.56</v>
      </c>
      <c r="Q236" s="171"/>
      <c r="R236" s="171"/>
      <c r="S236" s="62">
        <f t="shared" si="90"/>
        <v>1232646.56</v>
      </c>
      <c r="T236" s="62">
        <f t="shared" si="91"/>
        <v>0</v>
      </c>
    </row>
    <row r="237" spans="1:20" x14ac:dyDescent="0.3">
      <c r="A237" s="555">
        <v>917</v>
      </c>
      <c r="B237" s="243" t="s">
        <v>1009</v>
      </c>
      <c r="C237" s="243"/>
      <c r="D237" s="171">
        <v>398541.41</v>
      </c>
      <c r="E237" s="62"/>
      <c r="F237" s="468">
        <f>D237+E237</f>
        <v>398541.41</v>
      </c>
      <c r="G237" s="171">
        <v>0</v>
      </c>
      <c r="H237" s="171">
        <f>+F237-G237</f>
        <v>398541.41</v>
      </c>
      <c r="I237" s="468">
        <f>H237</f>
        <v>398541.41</v>
      </c>
      <c r="J237" s="171"/>
      <c r="K237" s="171"/>
      <c r="L237" s="171"/>
      <c r="M237" s="171"/>
      <c r="N237" s="171"/>
      <c r="O237" s="171"/>
      <c r="P237" s="171">
        <f>I237</f>
        <v>398541.41</v>
      </c>
      <c r="Q237" s="171"/>
      <c r="R237" s="171"/>
      <c r="S237" s="62">
        <f t="shared" si="90"/>
        <v>398541.41</v>
      </c>
      <c r="T237" s="62">
        <f t="shared" si="91"/>
        <v>0</v>
      </c>
    </row>
    <row r="238" spans="1:20" s="1" customFormat="1" ht="14.5" x14ac:dyDescent="0.45">
      <c r="A238" s="555">
        <v>918</v>
      </c>
      <c r="B238" s="243" t="s">
        <v>722</v>
      </c>
      <c r="C238" s="243"/>
      <c r="D238" s="472">
        <v>433279.77</v>
      </c>
      <c r="E238" s="472">
        <v>0</v>
      </c>
      <c r="F238" s="473">
        <f>D238+E238</f>
        <v>433279.77</v>
      </c>
      <c r="G238" s="472">
        <v>0</v>
      </c>
      <c r="H238" s="472">
        <f>F238-G238</f>
        <v>433279.77</v>
      </c>
      <c r="I238" s="473">
        <f>H238</f>
        <v>433279.77</v>
      </c>
      <c r="J238" s="171"/>
      <c r="K238" s="472"/>
      <c r="L238" s="472"/>
      <c r="M238" s="472"/>
      <c r="N238" s="472"/>
      <c r="O238" s="472"/>
      <c r="P238" s="472">
        <f>I238</f>
        <v>433279.77</v>
      </c>
      <c r="Q238" s="171"/>
      <c r="R238" s="171"/>
      <c r="S238" s="62">
        <f t="shared" si="90"/>
        <v>433279.77</v>
      </c>
      <c r="T238" s="62">
        <f t="shared" si="91"/>
        <v>0</v>
      </c>
    </row>
    <row r="239" spans="1:20" x14ac:dyDescent="0.3">
      <c r="A239" s="555"/>
      <c r="B239" s="486" t="s">
        <v>524</v>
      </c>
      <c r="C239" s="486"/>
      <c r="D239" s="171">
        <f>SUM(D232:D238)</f>
        <v>2204394.86</v>
      </c>
      <c r="E239" s="171">
        <f t="shared" ref="E239:Q239" si="92">SUM(E232:E238)</f>
        <v>0</v>
      </c>
      <c r="F239" s="171">
        <f t="shared" si="92"/>
        <v>2204394.86</v>
      </c>
      <c r="G239" s="171">
        <f t="shared" si="92"/>
        <v>865.19</v>
      </c>
      <c r="H239" s="171">
        <f t="shared" si="92"/>
        <v>2203529.67</v>
      </c>
      <c r="I239" s="171">
        <f t="shared" si="92"/>
        <v>2203529.67</v>
      </c>
      <c r="J239" s="171">
        <f t="shared" si="92"/>
        <v>0</v>
      </c>
      <c r="K239" s="171">
        <f t="shared" si="92"/>
        <v>0</v>
      </c>
      <c r="L239" s="171">
        <f t="shared" si="92"/>
        <v>0</v>
      </c>
      <c r="M239" s="171">
        <f t="shared" si="92"/>
        <v>0</v>
      </c>
      <c r="N239" s="171">
        <f t="shared" si="92"/>
        <v>0</v>
      </c>
      <c r="O239" s="171">
        <f t="shared" si="92"/>
        <v>0</v>
      </c>
      <c r="P239" s="171">
        <f t="shared" si="92"/>
        <v>2203529.67</v>
      </c>
      <c r="Q239" s="171">
        <f t="shared" si="92"/>
        <v>0</v>
      </c>
      <c r="R239" s="171"/>
      <c r="S239" s="62">
        <f t="shared" si="90"/>
        <v>2203529.67</v>
      </c>
      <c r="T239" s="62">
        <f t="shared" si="91"/>
        <v>0</v>
      </c>
    </row>
    <row r="240" spans="1:20" x14ac:dyDescent="0.3">
      <c r="A240" s="555">
        <v>912913917</v>
      </c>
      <c r="B240" s="243" t="s">
        <v>831</v>
      </c>
      <c r="C240" s="474"/>
      <c r="D240" s="171"/>
      <c r="E240" s="62"/>
      <c r="F240" s="62"/>
      <c r="G240" s="171"/>
      <c r="H240" s="171">
        <f t="shared" ref="H240:Q240" si="93">SUM(H234:H234,H237)</f>
        <v>398541.41</v>
      </c>
      <c r="I240" s="171">
        <f t="shared" si="93"/>
        <v>398541.41</v>
      </c>
      <c r="J240" s="171">
        <f t="shared" si="93"/>
        <v>0</v>
      </c>
      <c r="K240" s="171">
        <f t="shared" si="93"/>
        <v>0</v>
      </c>
      <c r="L240" s="171">
        <f t="shared" si="93"/>
        <v>0</v>
      </c>
      <c r="M240" s="171">
        <f t="shared" si="93"/>
        <v>0</v>
      </c>
      <c r="N240" s="171">
        <f t="shared" si="93"/>
        <v>0</v>
      </c>
      <c r="O240" s="171">
        <f t="shared" si="93"/>
        <v>0</v>
      </c>
      <c r="P240" s="171">
        <f t="shared" si="93"/>
        <v>398541.41</v>
      </c>
      <c r="Q240" s="171">
        <f t="shared" si="93"/>
        <v>0</v>
      </c>
      <c r="R240" s="171"/>
      <c r="S240" s="62">
        <f t="shared" ref="S240" si="94">SUM(J240:Q240)</f>
        <v>398541.41</v>
      </c>
      <c r="T240" s="62">
        <f t="shared" ref="T240" si="95">H240-S240</f>
        <v>0</v>
      </c>
    </row>
    <row r="241" spans="1:20" x14ac:dyDescent="0.3">
      <c r="A241" s="555"/>
      <c r="B241" s="487" t="s">
        <v>834</v>
      </c>
      <c r="C241" s="487"/>
      <c r="D241" s="171">
        <f t="shared" ref="D241:Q241" si="96">+D221+D229+D239</f>
        <v>28236071.739999998</v>
      </c>
      <c r="E241" s="171">
        <f t="shared" si="96"/>
        <v>0</v>
      </c>
      <c r="F241" s="171">
        <f t="shared" si="96"/>
        <v>28236071.739999998</v>
      </c>
      <c r="G241" s="171">
        <f t="shared" si="96"/>
        <v>1616401.4000179353</v>
      </c>
      <c r="H241" s="171">
        <f t="shared" si="96"/>
        <v>26619670.339982063</v>
      </c>
      <c r="I241" s="171">
        <f t="shared" si="96"/>
        <v>26619670.339982063</v>
      </c>
      <c r="J241" s="171">
        <f t="shared" si="96"/>
        <v>0</v>
      </c>
      <c r="K241" s="171">
        <f t="shared" si="96"/>
        <v>0</v>
      </c>
      <c r="L241" s="171">
        <f t="shared" si="96"/>
        <v>0</v>
      </c>
      <c r="M241" s="171">
        <f t="shared" si="96"/>
        <v>5849140.3265698766</v>
      </c>
      <c r="N241" s="171">
        <f t="shared" si="96"/>
        <v>3040117.3498382638</v>
      </c>
      <c r="O241" s="171">
        <f t="shared" si="96"/>
        <v>15526882.993573921</v>
      </c>
      <c r="P241" s="171">
        <f t="shared" si="96"/>
        <v>2203529.67</v>
      </c>
      <c r="Q241" s="171">
        <f t="shared" si="96"/>
        <v>0</v>
      </c>
      <c r="R241" s="171"/>
      <c r="S241" s="62">
        <f>SUM(J241:Q241)</f>
        <v>26619670.339982063</v>
      </c>
      <c r="T241" s="62">
        <f>H241-S241</f>
        <v>0</v>
      </c>
    </row>
    <row r="242" spans="1:20" x14ac:dyDescent="0.3">
      <c r="A242" s="555" t="s">
        <v>1070</v>
      </c>
      <c r="B242" s="461" t="s">
        <v>884</v>
      </c>
      <c r="C242" s="461"/>
      <c r="D242" s="171">
        <f t="shared" ref="D242:Q242" si="97">D152+D241+D210</f>
        <v>176538988.78000003</v>
      </c>
      <c r="E242" s="171">
        <f t="shared" si="97"/>
        <v>0</v>
      </c>
      <c r="F242" s="171">
        <f t="shared" si="97"/>
        <v>176538988.78000003</v>
      </c>
      <c r="G242" s="171">
        <f t="shared" si="97"/>
        <v>16877270.730017934</v>
      </c>
      <c r="H242" s="171">
        <f t="shared" si="97"/>
        <v>159661718.04998207</v>
      </c>
      <c r="I242" s="171">
        <f t="shared" si="97"/>
        <v>159661718.04998207</v>
      </c>
      <c r="J242" s="171">
        <f t="shared" si="97"/>
        <v>66192416.160000004</v>
      </c>
      <c r="K242" s="171">
        <f t="shared" si="97"/>
        <v>9772049.1699999999</v>
      </c>
      <c r="L242" s="171">
        <f t="shared" si="97"/>
        <v>51544435.908528537</v>
      </c>
      <c r="M242" s="171">
        <f t="shared" si="97"/>
        <v>11382286.798041336</v>
      </c>
      <c r="N242" s="171">
        <f t="shared" si="97"/>
        <v>3040117.3498382638</v>
      </c>
      <c r="O242" s="171">
        <f t="shared" si="97"/>
        <v>15526882.993573921</v>
      </c>
      <c r="P242" s="171">
        <f t="shared" si="97"/>
        <v>2203529.67</v>
      </c>
      <c r="Q242" s="171">
        <f t="shared" si="97"/>
        <v>0</v>
      </c>
      <c r="R242" s="171"/>
      <c r="S242" s="62">
        <f>SUM(J242:Q242)</f>
        <v>159661718.04998204</v>
      </c>
      <c r="T242" s="62">
        <f>H242-S242</f>
        <v>0</v>
      </c>
    </row>
    <row r="243" spans="1:20" x14ac:dyDescent="0.3">
      <c r="A243" s="515"/>
      <c r="B243" s="461"/>
      <c r="C243" s="461"/>
      <c r="D243" s="171"/>
      <c r="E243" s="62"/>
      <c r="F243" s="62"/>
      <c r="G243" s="177">
        <f>G242/F242</f>
        <v>9.5600812300166219E-2</v>
      </c>
      <c r="H243" s="177">
        <f>H242/F242</f>
        <v>0.90439918769983363</v>
      </c>
      <c r="I243" s="62"/>
      <c r="J243" s="177">
        <f t="shared" ref="J243:Q243" si="98">J242/$I$242</f>
        <v>0.41457912997828622</v>
      </c>
      <c r="K243" s="177">
        <f t="shared" si="98"/>
        <v>6.1204710116803715E-2</v>
      </c>
      <c r="L243" s="177">
        <f t="shared" si="98"/>
        <v>0.32283528285968061</v>
      </c>
      <c r="M243" s="177">
        <f t="shared" si="98"/>
        <v>7.1290018277757189E-2</v>
      </c>
      <c r="N243" s="177">
        <f t="shared" si="98"/>
        <v>1.9040991083952609E-2</v>
      </c>
      <c r="O243" s="177">
        <f t="shared" si="98"/>
        <v>9.7248627806405252E-2</v>
      </c>
      <c r="P243" s="177">
        <f t="shared" si="98"/>
        <v>1.3801239877114346E-2</v>
      </c>
      <c r="Q243" s="177">
        <f t="shared" si="98"/>
        <v>0</v>
      </c>
      <c r="R243" s="171"/>
      <c r="S243" s="62"/>
      <c r="T243" s="62"/>
    </row>
    <row r="244" spans="1:20" x14ac:dyDescent="0.3">
      <c r="A244" s="515" t="s">
        <v>1071</v>
      </c>
      <c r="B244" s="461"/>
      <c r="C244" s="461"/>
      <c r="D244" s="680">
        <v>176254050.82000002</v>
      </c>
      <c r="E244" s="680">
        <v>0</v>
      </c>
      <c r="F244" s="680">
        <v>176254050.82000002</v>
      </c>
      <c r="G244" s="680">
        <v>16877270.730017934</v>
      </c>
      <c r="H244" s="680">
        <v>159376780.08998206</v>
      </c>
      <c r="I244" s="680">
        <v>159376780.08998206</v>
      </c>
      <c r="J244" s="680">
        <v>65907478.200000003</v>
      </c>
      <c r="K244" s="680">
        <v>9772049.1699999999</v>
      </c>
      <c r="L244" s="680">
        <v>51544435.908528537</v>
      </c>
      <c r="M244" s="680">
        <v>11382286.798041336</v>
      </c>
      <c r="N244" s="680">
        <v>3040117.3498382638</v>
      </c>
      <c r="O244" s="680">
        <v>15526882.993573921</v>
      </c>
      <c r="P244" s="680">
        <v>2203529.67</v>
      </c>
      <c r="Q244" s="171">
        <f t="shared" ref="Q244" si="99">Q242-Q44-Q52</f>
        <v>0</v>
      </c>
      <c r="R244" s="171"/>
      <c r="S244" s="62">
        <f>SUM(J244:Q244)</f>
        <v>159376780.08998206</v>
      </c>
      <c r="T244" s="62">
        <f>H244-S244</f>
        <v>0</v>
      </c>
    </row>
    <row r="245" spans="1:20" x14ac:dyDescent="0.3">
      <c r="A245" s="515"/>
      <c r="B245" s="461"/>
      <c r="C245" s="461"/>
      <c r="D245" s="171"/>
      <c r="E245" s="62"/>
      <c r="F245" s="62"/>
      <c r="G245" s="177">
        <f>G244/F244</f>
        <v>9.5755363644117866E-2</v>
      </c>
      <c r="H245" s="177">
        <f>H244/F244</f>
        <v>0.90424463635588193</v>
      </c>
      <c r="I245" s="526">
        <f>SUM(J245:Q245)</f>
        <v>0.99999999999999989</v>
      </c>
      <c r="J245" s="177">
        <f t="shared" ref="J245:Q245" si="100">J244/$I$244</f>
        <v>0.41353249929374591</v>
      </c>
      <c r="K245" s="177">
        <f t="shared" si="100"/>
        <v>6.1314133492236619E-2</v>
      </c>
      <c r="L245" s="177">
        <f t="shared" si="100"/>
        <v>0.32341245618983655</v>
      </c>
      <c r="M245" s="177">
        <f t="shared" si="100"/>
        <v>7.141747242989252E-2</v>
      </c>
      <c r="N245" s="177">
        <f t="shared" si="100"/>
        <v>1.9075033063924701E-2</v>
      </c>
      <c r="O245" s="177">
        <f t="shared" si="100"/>
        <v>9.7422491437006348E-2</v>
      </c>
      <c r="P245" s="177">
        <f t="shared" si="100"/>
        <v>1.3825914093357362E-2</v>
      </c>
      <c r="Q245" s="177">
        <f t="shared" si="100"/>
        <v>0</v>
      </c>
      <c r="R245" s="171"/>
      <c r="S245" s="62"/>
      <c r="T245" s="62"/>
    </row>
    <row r="246" spans="1:20" s="1" customFormat="1" x14ac:dyDescent="0.3">
      <c r="A246" s="560" t="s">
        <v>1069</v>
      </c>
      <c r="B246" s="479"/>
      <c r="C246" s="479"/>
      <c r="D246" s="561"/>
      <c r="E246" s="463"/>
      <c r="F246" s="463"/>
      <c r="G246" s="562">
        <f>'7d. PAYXAG'!D7</f>
        <v>8.2701116087965279E-2</v>
      </c>
      <c r="H246" s="562">
        <f>SUM('7d. PAYXAG'!D4:D6,'7d. PAYXAG'!D8:D11)</f>
        <v>0.91729888391203485</v>
      </c>
      <c r="I246" s="563">
        <f>SUM(J246:Q246)</f>
        <v>1</v>
      </c>
      <c r="J246" s="563">
        <f>'7d. PAYXAG'!E4</f>
        <v>0.3195899383687153</v>
      </c>
      <c r="K246" s="563">
        <f>'7d. PAYXAG'!E5</f>
        <v>0.10890098833787311</v>
      </c>
      <c r="L246" s="563">
        <f>'7d. PAYXAG'!E6</f>
        <v>0.44879207296654028</v>
      </c>
      <c r="M246" s="563">
        <f>'7d. PAYXAG'!E10</f>
        <v>3.9052664767368482E-2</v>
      </c>
      <c r="N246" s="563">
        <f>'7d. PAYXAG'!E8</f>
        <v>1.4843993638813472E-2</v>
      </c>
      <c r="O246" s="563">
        <f>'7d. PAYXAG'!E9</f>
        <v>4.4268918673835034E-2</v>
      </c>
      <c r="P246" s="563">
        <f>'7d. PAYXAG'!E11</f>
        <v>2.4551423246854446E-2</v>
      </c>
      <c r="Q246" s="562"/>
      <c r="R246" s="561"/>
      <c r="S246" s="463"/>
      <c r="T246" s="463"/>
    </row>
    <row r="247" spans="1:20" s="1" customFormat="1" x14ac:dyDescent="0.3">
      <c r="A247" s="554" t="s">
        <v>1332</v>
      </c>
      <c r="B247" s="461"/>
      <c r="C247" s="461"/>
      <c r="D247" s="171"/>
      <c r="E247" s="62"/>
      <c r="F247" s="62"/>
      <c r="G247" s="177"/>
      <c r="H247" s="177"/>
      <c r="I247" s="62"/>
      <c r="J247" s="564"/>
      <c r="K247" s="564"/>
      <c r="L247" s="564"/>
      <c r="M247" s="564"/>
      <c r="N247" s="564"/>
      <c r="O247" s="564"/>
      <c r="P247" s="564"/>
      <c r="Q247" s="564"/>
      <c r="R247" s="171"/>
      <c r="S247" s="62"/>
      <c r="T247" s="62"/>
    </row>
    <row r="248" spans="1:20" x14ac:dyDescent="0.3">
      <c r="A248" s="555">
        <v>920</v>
      </c>
      <c r="B248" s="461" t="s">
        <v>725</v>
      </c>
      <c r="C248" s="461" t="s">
        <v>835</v>
      </c>
      <c r="D248" s="171">
        <v>574960.52999999991</v>
      </c>
      <c r="E248" s="62"/>
      <c r="F248" s="468">
        <f>D248+E248</f>
        <v>574960.52999999991</v>
      </c>
      <c r="G248" s="171">
        <v>14.14</v>
      </c>
      <c r="H248" s="171">
        <f>F248-G248</f>
        <v>574946.3899999999</v>
      </c>
      <c r="I248" s="468">
        <f t="shared" ref="I248:I260" si="101">H248</f>
        <v>574946.3899999999</v>
      </c>
      <c r="J248" s="481">
        <f>$I248*J$246</f>
        <v>183747.08134541532</v>
      </c>
      <c r="K248" s="481">
        <f t="shared" ref="K248:Q252" si="102">$I248*K$246</f>
        <v>62612.230112292236</v>
      </c>
      <c r="L248" s="481">
        <f t="shared" si="102"/>
        <v>258031.38221272887</v>
      </c>
      <c r="M248" s="481">
        <f t="shared" si="102"/>
        <v>22453.188627878695</v>
      </c>
      <c r="N248" s="481">
        <f t="shared" si="102"/>
        <v>8534.5005558187677</v>
      </c>
      <c r="O248" s="481">
        <f t="shared" si="102"/>
        <v>25452.254980725036</v>
      </c>
      <c r="P248" s="481">
        <f t="shared" si="102"/>
        <v>14115.752165141041</v>
      </c>
      <c r="Q248" s="468">
        <f t="shared" si="102"/>
        <v>0</v>
      </c>
      <c r="R248" s="481"/>
      <c r="S248" s="62">
        <f>SUM(J248:Q248)</f>
        <v>574946.3899999999</v>
      </c>
      <c r="T248" s="62">
        <f>H248-S248</f>
        <v>0</v>
      </c>
    </row>
    <row r="249" spans="1:20" s="1" customFormat="1" x14ac:dyDescent="0.3">
      <c r="A249" s="555" t="s">
        <v>1209</v>
      </c>
      <c r="B249" s="461"/>
      <c r="C249" s="484" t="s">
        <v>105</v>
      </c>
      <c r="D249" s="171">
        <v>0</v>
      </c>
      <c r="E249" s="62"/>
      <c r="F249" s="468"/>
      <c r="G249" s="171"/>
      <c r="H249" s="171"/>
      <c r="I249" s="468"/>
      <c r="J249" s="481"/>
      <c r="K249" s="481"/>
      <c r="L249" s="481"/>
      <c r="M249" s="481"/>
      <c r="N249" s="481"/>
      <c r="O249" s="481"/>
      <c r="P249" s="481"/>
      <c r="Q249" s="481"/>
      <c r="R249" s="481"/>
      <c r="S249" s="62"/>
      <c r="T249" s="62"/>
    </row>
    <row r="250" spans="1:20" s="1" customFormat="1" x14ac:dyDescent="0.3">
      <c r="A250" s="555">
        <v>920</v>
      </c>
      <c r="B250" s="461" t="s">
        <v>727</v>
      </c>
      <c r="C250" s="461" t="s">
        <v>835</v>
      </c>
      <c r="D250" s="171">
        <v>0</v>
      </c>
      <c r="E250" s="62"/>
      <c r="F250" s="468">
        <f>D250+E250</f>
        <v>0</v>
      </c>
      <c r="G250" s="171">
        <v>0</v>
      </c>
      <c r="H250" s="171">
        <f>F250-G250</f>
        <v>0</v>
      </c>
      <c r="I250" s="468">
        <f t="shared" si="101"/>
        <v>0</v>
      </c>
      <c r="J250" s="468">
        <f>$I250*J$246</f>
        <v>0</v>
      </c>
      <c r="K250" s="468">
        <f t="shared" si="102"/>
        <v>0</v>
      </c>
      <c r="L250" s="468">
        <f t="shared" si="102"/>
        <v>0</v>
      </c>
      <c r="M250" s="468">
        <f t="shared" si="102"/>
        <v>0</v>
      </c>
      <c r="N250" s="468">
        <f t="shared" si="102"/>
        <v>0</v>
      </c>
      <c r="O250" s="468">
        <f t="shared" si="102"/>
        <v>0</v>
      </c>
      <c r="P250" s="468">
        <f t="shared" si="102"/>
        <v>0</v>
      </c>
      <c r="Q250" s="468">
        <f t="shared" si="102"/>
        <v>0</v>
      </c>
      <c r="R250" s="481"/>
      <c r="S250" s="62">
        <f>SUM(J250:Q250)</f>
        <v>0</v>
      </c>
      <c r="T250" s="62">
        <f>H250-S250</f>
        <v>0</v>
      </c>
    </row>
    <row r="251" spans="1:20" s="1" customFormat="1" x14ac:dyDescent="0.3">
      <c r="A251" s="555" t="s">
        <v>1210</v>
      </c>
      <c r="B251" s="461"/>
      <c r="C251" s="484" t="s">
        <v>105</v>
      </c>
      <c r="D251" s="171"/>
      <c r="E251" s="62"/>
      <c r="F251" s="468"/>
      <c r="G251" s="171"/>
      <c r="H251" s="171"/>
      <c r="I251" s="468"/>
      <c r="J251" s="468"/>
      <c r="K251" s="468"/>
      <c r="L251" s="468"/>
      <c r="M251" s="468"/>
      <c r="N251" s="468"/>
      <c r="O251" s="468"/>
      <c r="P251" s="468"/>
      <c r="Q251" s="468"/>
      <c r="R251" s="481"/>
      <c r="S251" s="62"/>
      <c r="T251" s="62"/>
    </row>
    <row r="252" spans="1:20" s="1" customFormat="1" x14ac:dyDescent="0.3">
      <c r="A252" s="555">
        <v>922</v>
      </c>
      <c r="B252" s="461" t="s">
        <v>729</v>
      </c>
      <c r="C252" s="461" t="s">
        <v>835</v>
      </c>
      <c r="D252" s="171">
        <v>0</v>
      </c>
      <c r="E252" s="62"/>
      <c r="F252" s="468">
        <f>D252+E252</f>
        <v>0</v>
      </c>
      <c r="G252" s="171">
        <v>0</v>
      </c>
      <c r="H252" s="171">
        <f>F252-G252</f>
        <v>0</v>
      </c>
      <c r="I252" s="468">
        <f t="shared" si="101"/>
        <v>0</v>
      </c>
      <c r="J252" s="468">
        <f>$I252*J$246</f>
        <v>0</v>
      </c>
      <c r="K252" s="468">
        <f t="shared" si="102"/>
        <v>0</v>
      </c>
      <c r="L252" s="468">
        <f t="shared" si="102"/>
        <v>0</v>
      </c>
      <c r="M252" s="468">
        <f t="shared" si="102"/>
        <v>0</v>
      </c>
      <c r="N252" s="468">
        <f t="shared" si="102"/>
        <v>0</v>
      </c>
      <c r="O252" s="468">
        <f t="shared" si="102"/>
        <v>0</v>
      </c>
      <c r="P252" s="468">
        <f t="shared" si="102"/>
        <v>0</v>
      </c>
      <c r="Q252" s="468">
        <f t="shared" si="102"/>
        <v>0</v>
      </c>
      <c r="R252" s="62"/>
      <c r="S252" s="62">
        <f>SUM(J252:Q252)</f>
        <v>0</v>
      </c>
      <c r="T252" s="62">
        <f>H252-S252</f>
        <v>0</v>
      </c>
    </row>
    <row r="253" spans="1:20" s="1" customFormat="1" x14ac:dyDescent="0.3">
      <c r="A253" s="555">
        <v>923</v>
      </c>
      <c r="B253" s="466" t="s">
        <v>731</v>
      </c>
      <c r="C253" s="484" t="s">
        <v>919</v>
      </c>
      <c r="D253" s="171">
        <v>0</v>
      </c>
      <c r="E253" s="62"/>
      <c r="F253" s="468">
        <f>D253+E253</f>
        <v>0</v>
      </c>
      <c r="G253" s="171">
        <v>0</v>
      </c>
      <c r="H253" s="171">
        <f>F253-G253</f>
        <v>0</v>
      </c>
      <c r="I253" s="468">
        <f t="shared" si="101"/>
        <v>0</v>
      </c>
      <c r="J253" s="468">
        <f>$I253*J$246/$I$246</f>
        <v>0</v>
      </c>
      <c r="K253" s="468">
        <f t="shared" ref="K253:Q253" si="103">$I253*K$246/$I$246</f>
        <v>0</v>
      </c>
      <c r="L253" s="468">
        <f t="shared" si="103"/>
        <v>0</v>
      </c>
      <c r="M253" s="468">
        <f t="shared" si="103"/>
        <v>0</v>
      </c>
      <c r="N253" s="468">
        <f t="shared" si="103"/>
        <v>0</v>
      </c>
      <c r="O253" s="468">
        <f t="shared" si="103"/>
        <v>0</v>
      </c>
      <c r="P253" s="468">
        <f t="shared" si="103"/>
        <v>0</v>
      </c>
      <c r="Q253" s="468">
        <f t="shared" si="103"/>
        <v>0</v>
      </c>
      <c r="R253" s="481"/>
      <c r="S253" s="62">
        <f>SUM(J253:Q253)</f>
        <v>0</v>
      </c>
      <c r="T253" s="62">
        <f>H253-S253</f>
        <v>0</v>
      </c>
    </row>
    <row r="254" spans="1:20" s="1" customFormat="1" x14ac:dyDescent="0.3">
      <c r="A254" s="555" t="s">
        <v>1211</v>
      </c>
      <c r="B254" s="466"/>
      <c r="C254" s="484" t="s">
        <v>105</v>
      </c>
      <c r="D254" s="171"/>
      <c r="E254" s="62"/>
      <c r="F254" s="468"/>
      <c r="G254" s="171"/>
      <c r="H254" s="171"/>
      <c r="I254" s="468"/>
      <c r="J254" s="468"/>
      <c r="K254" s="468"/>
      <c r="L254" s="468"/>
      <c r="M254" s="468"/>
      <c r="N254" s="468"/>
      <c r="O254" s="468"/>
      <c r="P254" s="468"/>
      <c r="Q254" s="468"/>
      <c r="R254" s="481"/>
      <c r="S254" s="62"/>
      <c r="T254" s="62"/>
    </row>
    <row r="255" spans="1:20" s="1" customFormat="1" x14ac:dyDescent="0.3">
      <c r="A255" s="555">
        <v>924</v>
      </c>
      <c r="B255" s="461" t="s">
        <v>733</v>
      </c>
      <c r="C255" s="484" t="s">
        <v>105</v>
      </c>
      <c r="D255" s="171">
        <v>0</v>
      </c>
      <c r="E255" s="62"/>
      <c r="F255" s="468"/>
      <c r="G255" s="171">
        <v>0</v>
      </c>
      <c r="H255" s="171"/>
      <c r="I255" s="468"/>
      <c r="J255" s="171"/>
      <c r="K255" s="171"/>
      <c r="L255" s="171"/>
      <c r="M255" s="171"/>
      <c r="N255" s="171"/>
      <c r="O255" s="171"/>
      <c r="P255" s="171"/>
      <c r="Q255" s="171"/>
      <c r="R255" s="171"/>
      <c r="S255" s="62"/>
      <c r="T255" s="62"/>
    </row>
    <row r="256" spans="1:20" s="1" customFormat="1" x14ac:dyDescent="0.3">
      <c r="A256" s="555"/>
      <c r="B256" s="461" t="s">
        <v>734</v>
      </c>
      <c r="C256" s="484" t="s">
        <v>105</v>
      </c>
      <c r="D256" s="171">
        <v>0</v>
      </c>
      <c r="E256" s="62"/>
      <c r="F256" s="468">
        <f t="shared" ref="F256:F272" si="104">D256+E256</f>
        <v>0</v>
      </c>
      <c r="G256" s="171">
        <v>0</v>
      </c>
      <c r="H256" s="171">
        <f t="shared" ref="H256:H261" si="105">F256-G256</f>
        <v>0</v>
      </c>
      <c r="I256" s="171">
        <f t="shared" si="101"/>
        <v>0</v>
      </c>
      <c r="J256" s="171">
        <f>I256</f>
        <v>0</v>
      </c>
      <c r="K256" s="171"/>
      <c r="L256" s="171"/>
      <c r="M256" s="171"/>
      <c r="N256" s="171"/>
      <c r="O256" s="171"/>
      <c r="P256" s="171"/>
      <c r="Q256" s="171"/>
      <c r="R256" s="171"/>
      <c r="S256" s="62">
        <f t="shared" ref="S256:S272" si="106">SUM(J256:Q256)</f>
        <v>0</v>
      </c>
      <c r="T256" s="62">
        <f t="shared" ref="T256:T262" si="107">H256-S256</f>
        <v>0</v>
      </c>
    </row>
    <row r="257" spans="1:20" s="1" customFormat="1" x14ac:dyDescent="0.3">
      <c r="A257" s="555"/>
      <c r="B257" s="461" t="s">
        <v>735</v>
      </c>
      <c r="C257" s="484" t="s">
        <v>105</v>
      </c>
      <c r="D257" s="171">
        <v>0</v>
      </c>
      <c r="E257" s="62"/>
      <c r="F257" s="468">
        <f t="shared" si="104"/>
        <v>0</v>
      </c>
      <c r="G257" s="171">
        <v>0</v>
      </c>
      <c r="H257" s="171">
        <f t="shared" si="105"/>
        <v>0</v>
      </c>
      <c r="I257" s="171">
        <f t="shared" si="101"/>
        <v>0</v>
      </c>
      <c r="J257" s="171"/>
      <c r="K257" s="171">
        <f>I257</f>
        <v>0</v>
      </c>
      <c r="L257" s="171"/>
      <c r="M257" s="171"/>
      <c r="N257" s="171"/>
      <c r="O257" s="171"/>
      <c r="P257" s="171"/>
      <c r="Q257" s="171"/>
      <c r="R257" s="171"/>
      <c r="S257" s="62">
        <f t="shared" si="106"/>
        <v>0</v>
      </c>
      <c r="T257" s="62">
        <f t="shared" si="107"/>
        <v>0</v>
      </c>
    </row>
    <row r="258" spans="1:20" s="1" customFormat="1" x14ac:dyDescent="0.3">
      <c r="A258" s="555"/>
      <c r="B258" s="461" t="s">
        <v>736</v>
      </c>
      <c r="C258" s="484" t="s">
        <v>105</v>
      </c>
      <c r="D258" s="171">
        <v>0</v>
      </c>
      <c r="E258" s="62"/>
      <c r="F258" s="468">
        <f t="shared" si="104"/>
        <v>0</v>
      </c>
      <c r="G258" s="171">
        <v>0</v>
      </c>
      <c r="H258" s="171">
        <f t="shared" si="105"/>
        <v>0</v>
      </c>
      <c r="I258" s="171">
        <f t="shared" si="101"/>
        <v>0</v>
      </c>
      <c r="J258" s="171"/>
      <c r="K258" s="171"/>
      <c r="L258" s="171">
        <f>I258</f>
        <v>0</v>
      </c>
      <c r="M258" s="171"/>
      <c r="N258" s="171"/>
      <c r="O258" s="171"/>
      <c r="P258" s="171"/>
      <c r="Q258" s="171"/>
      <c r="R258" s="171"/>
      <c r="S258" s="62">
        <f t="shared" si="106"/>
        <v>0</v>
      </c>
      <c r="T258" s="62">
        <f t="shared" si="107"/>
        <v>0</v>
      </c>
    </row>
    <row r="259" spans="1:20" s="1" customFormat="1" x14ac:dyDescent="0.3">
      <c r="A259" s="555"/>
      <c r="B259" s="461" t="s">
        <v>156</v>
      </c>
      <c r="C259" s="484" t="s">
        <v>105</v>
      </c>
      <c r="D259" s="171">
        <v>0</v>
      </c>
      <c r="E259" s="62"/>
      <c r="F259" s="468">
        <f t="shared" si="104"/>
        <v>0</v>
      </c>
      <c r="G259" s="171">
        <v>0</v>
      </c>
      <c r="H259" s="171">
        <f t="shared" si="105"/>
        <v>0</v>
      </c>
      <c r="I259" s="171">
        <f t="shared" si="101"/>
        <v>0</v>
      </c>
      <c r="J259" s="171">
        <f>$I259*'1. RB-i'!J414/'1. RB-i'!$I414</f>
        <v>0</v>
      </c>
      <c r="K259" s="171">
        <f>$I259*'1. RB-i'!K414/'1. RB-i'!$I414</f>
        <v>0</v>
      </c>
      <c r="L259" s="171">
        <f>$I259*'1. RB-i'!L414/'1. RB-i'!$I414</f>
        <v>0</v>
      </c>
      <c r="M259" s="171">
        <f>$I259*'1. RB-i'!M414/'1. RB-i'!$I414</f>
        <v>0</v>
      </c>
      <c r="N259" s="171">
        <f>$I259*'1. RB-i'!N414/'1. RB-i'!$I414</f>
        <v>0</v>
      </c>
      <c r="O259" s="171">
        <f>$I259*'1. RB-i'!O414/'1. RB-i'!$I414</f>
        <v>0</v>
      </c>
      <c r="P259" s="171">
        <f>$I259*'1. RB-i'!P414/'1. RB-i'!$I414</f>
        <v>0</v>
      </c>
      <c r="Q259" s="171">
        <f>$I259*'1. RB-i'!Q414/'1. RB-i'!$I414</f>
        <v>0</v>
      </c>
      <c r="R259" s="481"/>
      <c r="S259" s="62">
        <f t="shared" si="106"/>
        <v>0</v>
      </c>
      <c r="T259" s="62">
        <f t="shared" si="107"/>
        <v>0</v>
      </c>
    </row>
    <row r="260" spans="1:20" s="1" customFormat="1" x14ac:dyDescent="0.3">
      <c r="A260" s="555"/>
      <c r="B260" s="461" t="s">
        <v>546</v>
      </c>
      <c r="C260" s="484" t="s">
        <v>105</v>
      </c>
      <c r="D260" s="171">
        <v>0</v>
      </c>
      <c r="E260" s="62"/>
      <c r="F260" s="468">
        <f t="shared" si="104"/>
        <v>0</v>
      </c>
      <c r="G260" s="171">
        <v>0</v>
      </c>
      <c r="H260" s="171">
        <f t="shared" si="105"/>
        <v>0</v>
      </c>
      <c r="I260" s="171">
        <f t="shared" si="101"/>
        <v>0</v>
      </c>
      <c r="J260" s="171">
        <f>I260</f>
        <v>0</v>
      </c>
      <c r="K260" s="171"/>
      <c r="L260" s="171"/>
      <c r="M260" s="171"/>
      <c r="N260" s="171"/>
      <c r="O260" s="171"/>
      <c r="P260" s="171"/>
      <c r="Q260" s="171"/>
      <c r="R260" s="171"/>
      <c r="S260" s="62">
        <f t="shared" si="106"/>
        <v>0</v>
      </c>
      <c r="T260" s="62">
        <f t="shared" si="107"/>
        <v>0</v>
      </c>
    </row>
    <row r="261" spans="1:20" s="1" customFormat="1" x14ac:dyDescent="0.3">
      <c r="A261" s="555" t="s">
        <v>546</v>
      </c>
      <c r="B261" s="474" t="s">
        <v>738</v>
      </c>
      <c r="C261" s="474"/>
      <c r="D261" s="171">
        <f>SUM(D255:D260)</f>
        <v>0</v>
      </c>
      <c r="E261" s="62"/>
      <c r="F261" s="468">
        <f t="shared" si="104"/>
        <v>0</v>
      </c>
      <c r="G261" s="171">
        <f>SUM(G255:G260)</f>
        <v>0</v>
      </c>
      <c r="H261" s="171">
        <f t="shared" si="105"/>
        <v>0</v>
      </c>
      <c r="I261" s="171">
        <f t="shared" ref="I261:Q261" si="108">SUM(I256:I260)</f>
        <v>0</v>
      </c>
      <c r="J261" s="171">
        <f t="shared" si="108"/>
        <v>0</v>
      </c>
      <c r="K261" s="171">
        <f t="shared" si="108"/>
        <v>0</v>
      </c>
      <c r="L261" s="171">
        <f t="shared" si="108"/>
        <v>0</v>
      </c>
      <c r="M261" s="171">
        <f t="shared" si="108"/>
        <v>0</v>
      </c>
      <c r="N261" s="171">
        <f t="shared" si="108"/>
        <v>0</v>
      </c>
      <c r="O261" s="171">
        <f t="shared" si="108"/>
        <v>0</v>
      </c>
      <c r="P261" s="171">
        <f t="shared" si="108"/>
        <v>0</v>
      </c>
      <c r="Q261" s="171">
        <f t="shared" si="108"/>
        <v>0</v>
      </c>
      <c r="R261" s="171"/>
      <c r="S261" s="62">
        <f t="shared" si="106"/>
        <v>0</v>
      </c>
      <c r="T261" s="62">
        <f t="shared" si="107"/>
        <v>0</v>
      </c>
    </row>
    <row r="262" spans="1:20" s="1" customFormat="1" x14ac:dyDescent="0.3">
      <c r="A262" s="555">
        <v>925</v>
      </c>
      <c r="B262" s="461" t="s">
        <v>740</v>
      </c>
      <c r="C262" s="461" t="s">
        <v>105</v>
      </c>
      <c r="D262" s="171">
        <v>0</v>
      </c>
      <c r="E262" s="62"/>
      <c r="F262" s="468">
        <f t="shared" si="104"/>
        <v>0</v>
      </c>
      <c r="G262" s="171">
        <v>0</v>
      </c>
      <c r="H262" s="171">
        <f>F262-G262</f>
        <v>0</v>
      </c>
      <c r="I262" s="171">
        <f t="shared" ref="I262:I272" si="109">H262</f>
        <v>0</v>
      </c>
      <c r="J262" s="171">
        <f>$I262*J$246/$I$246</f>
        <v>0</v>
      </c>
      <c r="K262" s="171">
        <f t="shared" ref="K262:Q262" si="110">$I262*K$246/$I$246</f>
        <v>0</v>
      </c>
      <c r="L262" s="171">
        <f t="shared" si="110"/>
        <v>0</v>
      </c>
      <c r="M262" s="171">
        <f t="shared" si="110"/>
        <v>0</v>
      </c>
      <c r="N262" s="171">
        <f t="shared" si="110"/>
        <v>0</v>
      </c>
      <c r="O262" s="171">
        <f t="shared" si="110"/>
        <v>0</v>
      </c>
      <c r="P262" s="171">
        <f t="shared" si="110"/>
        <v>0</v>
      </c>
      <c r="Q262" s="171">
        <f t="shared" si="110"/>
        <v>0</v>
      </c>
      <c r="R262" s="481"/>
      <c r="S262" s="62">
        <f t="shared" si="106"/>
        <v>0</v>
      </c>
      <c r="T262" s="62">
        <f t="shared" si="107"/>
        <v>0</v>
      </c>
    </row>
    <row r="263" spans="1:20" s="1" customFormat="1" x14ac:dyDescent="0.3">
      <c r="A263" s="555" t="s">
        <v>1212</v>
      </c>
      <c r="B263" s="461"/>
      <c r="C263" s="484" t="s">
        <v>105</v>
      </c>
      <c r="D263" s="171"/>
      <c r="E263" s="62"/>
      <c r="F263" s="468"/>
      <c r="G263" s="171"/>
      <c r="H263" s="171"/>
      <c r="I263" s="468"/>
      <c r="J263" s="481"/>
      <c r="K263" s="481"/>
      <c r="L263" s="481"/>
      <c r="M263" s="481"/>
      <c r="N263" s="481"/>
      <c r="O263" s="481"/>
      <c r="P263" s="481"/>
      <c r="Q263" s="481"/>
      <c r="R263" s="481"/>
      <c r="S263" s="62"/>
      <c r="T263" s="62"/>
    </row>
    <row r="264" spans="1:20" s="1" customFormat="1" x14ac:dyDescent="0.3">
      <c r="A264" s="555">
        <v>926</v>
      </c>
      <c r="B264" s="461" t="s">
        <v>742</v>
      </c>
      <c r="C264" s="461" t="s">
        <v>105</v>
      </c>
      <c r="D264" s="171">
        <v>6055217.0099999998</v>
      </c>
      <c r="E264" s="62"/>
      <c r="F264" s="468">
        <f t="shared" si="104"/>
        <v>6055217.0099999998</v>
      </c>
      <c r="G264" s="171">
        <v>940246.54</v>
      </c>
      <c r="H264" s="171">
        <f>F264-G264</f>
        <v>5114970.47</v>
      </c>
      <c r="I264" s="171">
        <f t="shared" si="109"/>
        <v>5114970.47</v>
      </c>
      <c r="J264" s="171">
        <f>$I264*J$246</f>
        <v>1634693.0972650987</v>
      </c>
      <c r="K264" s="171">
        <f t="shared" ref="K264:Q264" si="111">$I264*K$246</f>
        <v>557025.33950203529</v>
      </c>
      <c r="L264" s="171">
        <f t="shared" si="111"/>
        <v>2295558.2003939389</v>
      </c>
      <c r="M264" s="171">
        <f t="shared" si="111"/>
        <v>199753.22705989919</v>
      </c>
      <c r="N264" s="171">
        <f t="shared" si="111"/>
        <v>75926.589119398748</v>
      </c>
      <c r="O264" s="171">
        <f t="shared" si="111"/>
        <v>226434.21175549776</v>
      </c>
      <c r="P264" s="171">
        <f t="shared" si="111"/>
        <v>125579.804904132</v>
      </c>
      <c r="Q264" s="171">
        <f t="shared" si="111"/>
        <v>0</v>
      </c>
      <c r="R264" s="481"/>
      <c r="S264" s="62">
        <f t="shared" si="106"/>
        <v>5114970.47</v>
      </c>
      <c r="T264" s="62">
        <f>H264-S264</f>
        <v>0</v>
      </c>
    </row>
    <row r="265" spans="1:20" s="1" customFormat="1" x14ac:dyDescent="0.3">
      <c r="A265" s="555" t="s">
        <v>1213</v>
      </c>
      <c r="B265" s="461"/>
      <c r="C265" s="484" t="s">
        <v>105</v>
      </c>
      <c r="D265" s="171"/>
      <c r="E265" s="62"/>
      <c r="F265" s="468"/>
      <c r="G265" s="171"/>
      <c r="H265" s="171"/>
      <c r="I265" s="171"/>
      <c r="J265" s="171"/>
      <c r="K265" s="171"/>
      <c r="L265" s="171"/>
      <c r="M265" s="171"/>
      <c r="N265" s="171"/>
      <c r="O265" s="171"/>
      <c r="P265" s="171"/>
      <c r="Q265" s="171"/>
      <c r="R265" s="481"/>
      <c r="S265" s="62"/>
      <c r="T265" s="62"/>
    </row>
    <row r="266" spans="1:20" s="1" customFormat="1" x14ac:dyDescent="0.3">
      <c r="A266" s="555">
        <v>927</v>
      </c>
      <c r="B266" s="461" t="s">
        <v>744</v>
      </c>
      <c r="C266" s="484" t="s">
        <v>105</v>
      </c>
      <c r="D266" s="171">
        <v>0</v>
      </c>
      <c r="E266" s="62"/>
      <c r="F266" s="468">
        <f t="shared" si="104"/>
        <v>0</v>
      </c>
      <c r="G266" s="171">
        <v>0</v>
      </c>
      <c r="H266" s="171">
        <v>0</v>
      </c>
      <c r="I266" s="171">
        <f t="shared" si="109"/>
        <v>0</v>
      </c>
      <c r="J266" s="171"/>
      <c r="K266" s="171"/>
      <c r="L266" s="171"/>
      <c r="M266" s="171"/>
      <c r="N266" s="171"/>
      <c r="O266" s="171"/>
      <c r="P266" s="171"/>
      <c r="Q266" s="171"/>
      <c r="R266" s="171"/>
      <c r="S266" s="62">
        <f t="shared" si="106"/>
        <v>0</v>
      </c>
      <c r="T266" s="62">
        <f>H266-S266</f>
        <v>0</v>
      </c>
    </row>
    <row r="267" spans="1:20" s="1" customFormat="1" x14ac:dyDescent="0.3">
      <c r="A267" s="555">
        <v>928</v>
      </c>
      <c r="B267" s="466" t="s">
        <v>746</v>
      </c>
      <c r="C267" s="466" t="s">
        <v>105</v>
      </c>
      <c r="D267" s="171">
        <v>0</v>
      </c>
      <c r="E267" s="62"/>
      <c r="F267" s="468">
        <f t="shared" si="104"/>
        <v>0</v>
      </c>
      <c r="G267" s="171">
        <v>0</v>
      </c>
      <c r="H267" s="171">
        <f>F267-G267</f>
        <v>0</v>
      </c>
      <c r="I267" s="171">
        <f t="shared" si="109"/>
        <v>0</v>
      </c>
      <c r="J267" s="171">
        <f>I267</f>
        <v>0</v>
      </c>
      <c r="K267" s="171"/>
      <c r="L267" s="171"/>
      <c r="M267" s="171"/>
      <c r="N267" s="171"/>
      <c r="O267" s="171"/>
      <c r="P267" s="171"/>
      <c r="Q267" s="171"/>
      <c r="R267" s="171"/>
      <c r="S267" s="62">
        <f t="shared" si="106"/>
        <v>0</v>
      </c>
      <c r="T267" s="62">
        <f>H267-S267</f>
        <v>0</v>
      </c>
    </row>
    <row r="268" spans="1:20" s="1" customFormat="1" x14ac:dyDescent="0.3">
      <c r="A268" s="555">
        <v>929</v>
      </c>
      <c r="B268" s="484" t="s">
        <v>748</v>
      </c>
      <c r="C268" s="484" t="s">
        <v>105</v>
      </c>
      <c r="D268" s="171">
        <v>0</v>
      </c>
      <c r="E268" s="62"/>
      <c r="F268" s="468">
        <f t="shared" si="104"/>
        <v>0</v>
      </c>
      <c r="G268" s="171">
        <v>0</v>
      </c>
      <c r="H268" s="171">
        <v>0</v>
      </c>
      <c r="I268" s="171">
        <f t="shared" si="109"/>
        <v>0</v>
      </c>
      <c r="J268" s="171"/>
      <c r="K268" s="171"/>
      <c r="L268" s="171"/>
      <c r="M268" s="171"/>
      <c r="N268" s="171"/>
      <c r="O268" s="171"/>
      <c r="P268" s="171"/>
      <c r="Q268" s="171"/>
      <c r="R268" s="171"/>
      <c r="S268" s="62">
        <f t="shared" si="106"/>
        <v>0</v>
      </c>
      <c r="T268" s="62">
        <f>H268-S268</f>
        <v>0</v>
      </c>
    </row>
    <row r="269" spans="1:20" s="1" customFormat="1" x14ac:dyDescent="0.3">
      <c r="A269" s="556">
        <v>930</v>
      </c>
      <c r="B269" s="461" t="s">
        <v>750</v>
      </c>
      <c r="C269" s="461" t="s">
        <v>835</v>
      </c>
      <c r="D269" s="171">
        <v>6341512.0800000001</v>
      </c>
      <c r="E269" s="62"/>
      <c r="F269" s="468">
        <f t="shared" si="104"/>
        <v>6341512.0800000001</v>
      </c>
      <c r="G269" s="171">
        <v>13345.92</v>
      </c>
      <c r="H269" s="171">
        <f>F269-G269</f>
        <v>6328166.1600000001</v>
      </c>
      <c r="I269" s="171">
        <f t="shared" si="109"/>
        <v>6328166.1600000001</v>
      </c>
      <c r="J269" s="171">
        <f>$I269*J$246</f>
        <v>2022418.2330613898</v>
      </c>
      <c r="K269" s="171">
        <f t="shared" ref="K269:Q269" si="112">$I269*K$246</f>
        <v>689143.54919028329</v>
      </c>
      <c r="L269" s="171">
        <f t="shared" si="112"/>
        <v>2840030.8090231111</v>
      </c>
      <c r="M269" s="171">
        <f t="shared" si="112"/>
        <v>247131.7516386855</v>
      </c>
      <c r="N269" s="171">
        <f t="shared" si="112"/>
        <v>93935.258224394682</v>
      </c>
      <c r="O269" s="171">
        <f t="shared" si="112"/>
        <v>280141.07309155492</v>
      </c>
      <c r="P269" s="171">
        <f t="shared" si="112"/>
        <v>155365.48577058164</v>
      </c>
      <c r="Q269" s="171">
        <f t="shared" si="112"/>
        <v>0</v>
      </c>
      <c r="R269" s="481"/>
      <c r="S269" s="62">
        <f t="shared" si="106"/>
        <v>6328166.1600000001</v>
      </c>
      <c r="T269" s="62">
        <f>H269-S269</f>
        <v>0</v>
      </c>
    </row>
    <row r="270" spans="1:20" s="1" customFormat="1" x14ac:dyDescent="0.3">
      <c r="A270" s="555" t="s">
        <v>1214</v>
      </c>
      <c r="B270" s="461"/>
      <c r="C270" s="461" t="s">
        <v>105</v>
      </c>
      <c r="D270" s="171"/>
      <c r="E270" s="62"/>
      <c r="F270" s="468"/>
      <c r="G270" s="171"/>
      <c r="H270" s="171"/>
      <c r="I270" s="171"/>
      <c r="J270" s="171"/>
      <c r="K270" s="171"/>
      <c r="L270" s="171"/>
      <c r="M270" s="171"/>
      <c r="N270" s="171"/>
      <c r="O270" s="171"/>
      <c r="P270" s="171"/>
      <c r="Q270" s="171"/>
      <c r="R270" s="481"/>
      <c r="S270" s="62"/>
      <c r="T270" s="62"/>
    </row>
    <row r="271" spans="1:20" s="1" customFormat="1" x14ac:dyDescent="0.3">
      <c r="A271" s="555">
        <v>931</v>
      </c>
      <c r="B271" s="461" t="s">
        <v>564</v>
      </c>
      <c r="C271" s="461" t="s">
        <v>835</v>
      </c>
      <c r="D271" s="171">
        <v>0</v>
      </c>
      <c r="E271" s="62"/>
      <c r="F271" s="468">
        <f t="shared" si="104"/>
        <v>0</v>
      </c>
      <c r="G271" s="171">
        <v>0</v>
      </c>
      <c r="H271" s="171">
        <v>0</v>
      </c>
      <c r="I271" s="171">
        <f t="shared" si="109"/>
        <v>0</v>
      </c>
      <c r="J271" s="171">
        <f>$I271*J$246/$I$246</f>
        <v>0</v>
      </c>
      <c r="K271" s="171">
        <f t="shared" ref="K271:Q271" si="113">$I271*K$246/$I$246</f>
        <v>0</v>
      </c>
      <c r="L271" s="171">
        <f t="shared" si="113"/>
        <v>0</v>
      </c>
      <c r="M271" s="171">
        <f t="shared" si="113"/>
        <v>0</v>
      </c>
      <c r="N271" s="171">
        <f t="shared" si="113"/>
        <v>0</v>
      </c>
      <c r="O271" s="171">
        <f t="shared" si="113"/>
        <v>0</v>
      </c>
      <c r="P271" s="171">
        <f t="shared" si="113"/>
        <v>0</v>
      </c>
      <c r="Q271" s="171">
        <f t="shared" si="113"/>
        <v>0</v>
      </c>
      <c r="R271" s="481"/>
      <c r="S271" s="62">
        <f t="shared" si="106"/>
        <v>0</v>
      </c>
      <c r="T271" s="62">
        <f>H271-S271</f>
        <v>0</v>
      </c>
    </row>
    <row r="272" spans="1:20" s="1" customFormat="1" x14ac:dyDescent="0.3">
      <c r="A272" s="555">
        <v>932</v>
      </c>
      <c r="B272" s="461" t="s">
        <v>753</v>
      </c>
      <c r="C272" s="461" t="s">
        <v>105</v>
      </c>
      <c r="D272" s="171">
        <v>0</v>
      </c>
      <c r="E272" s="62"/>
      <c r="F272" s="468">
        <f t="shared" si="104"/>
        <v>0</v>
      </c>
      <c r="G272" s="171">
        <v>0</v>
      </c>
      <c r="H272" s="171">
        <f>F272-G272</f>
        <v>0</v>
      </c>
      <c r="I272" s="171">
        <f t="shared" si="109"/>
        <v>0</v>
      </c>
      <c r="J272" s="171">
        <f>I272</f>
        <v>0</v>
      </c>
      <c r="K272" s="171">
        <v>0</v>
      </c>
      <c r="L272" s="171">
        <v>0</v>
      </c>
      <c r="M272" s="171">
        <v>0</v>
      </c>
      <c r="N272" s="171">
        <v>0</v>
      </c>
      <c r="O272" s="171">
        <v>0</v>
      </c>
      <c r="P272" s="171">
        <v>0</v>
      </c>
      <c r="Q272" s="171">
        <v>0</v>
      </c>
      <c r="R272" s="481"/>
      <c r="S272" s="62">
        <f t="shared" si="106"/>
        <v>0</v>
      </c>
      <c r="T272" s="62">
        <f>H272-S272</f>
        <v>0</v>
      </c>
    </row>
    <row r="273" spans="1:20" s="1" customFormat="1" x14ac:dyDescent="0.3">
      <c r="A273" s="555" t="s">
        <v>1215</v>
      </c>
      <c r="B273" s="461"/>
      <c r="C273" s="461" t="s">
        <v>105</v>
      </c>
      <c r="D273" s="171"/>
      <c r="E273" s="62"/>
      <c r="F273" s="62"/>
      <c r="G273" s="171"/>
      <c r="H273" s="171"/>
      <c r="I273" s="171"/>
      <c r="J273" s="171"/>
      <c r="K273" s="171"/>
      <c r="L273" s="171"/>
      <c r="M273" s="171"/>
      <c r="N273" s="171"/>
      <c r="O273" s="171"/>
      <c r="P273" s="171"/>
      <c r="Q273" s="171"/>
      <c r="R273" s="171"/>
      <c r="S273" s="62"/>
      <c r="T273" s="62"/>
    </row>
    <row r="274" spans="1:20" s="1" customFormat="1" x14ac:dyDescent="0.3">
      <c r="A274" s="555"/>
      <c r="B274" s="487" t="s">
        <v>754</v>
      </c>
      <c r="C274" s="487"/>
      <c r="D274" s="171">
        <f>SUM(D261:D272,D248:D253)</f>
        <v>12971689.619999999</v>
      </c>
      <c r="E274" s="171">
        <f>SUM(E261:E272,E248:E253)</f>
        <v>0</v>
      </c>
      <c r="F274" s="171">
        <f>SUM(F261:F272,F248:F253)</f>
        <v>12971689.619999999</v>
      </c>
      <c r="G274" s="171">
        <f t="shared" ref="G274:Q274" si="114">SUM(G261:G272,G248:G253)</f>
        <v>953606.60000000009</v>
      </c>
      <c r="H274" s="171">
        <f>SUM(H261:H272,H248:H253)</f>
        <v>12018083.02</v>
      </c>
      <c r="I274" s="171">
        <f t="shared" si="114"/>
        <v>12018083.02</v>
      </c>
      <c r="J274" s="171">
        <f t="shared" si="114"/>
        <v>3840858.4116719035</v>
      </c>
      <c r="K274" s="171">
        <f t="shared" si="114"/>
        <v>1308781.1188046108</v>
      </c>
      <c r="L274" s="171">
        <f t="shared" si="114"/>
        <v>5393620.3916297788</v>
      </c>
      <c r="M274" s="171">
        <f t="shared" si="114"/>
        <v>469338.16732646339</v>
      </c>
      <c r="N274" s="171">
        <f t="shared" si="114"/>
        <v>178396.34789961218</v>
      </c>
      <c r="O274" s="171">
        <f t="shared" si="114"/>
        <v>532027.53982777765</v>
      </c>
      <c r="P274" s="171">
        <f t="shared" si="114"/>
        <v>295061.04283985472</v>
      </c>
      <c r="Q274" s="171">
        <f t="shared" si="114"/>
        <v>0</v>
      </c>
      <c r="R274" s="171"/>
      <c r="S274" s="62">
        <f>SUM(J274:Q274)</f>
        <v>12018083.02</v>
      </c>
      <c r="T274" s="62">
        <f>H274-S274</f>
        <v>0</v>
      </c>
    </row>
    <row r="275" spans="1:20" s="1" customFormat="1" x14ac:dyDescent="0.3">
      <c r="A275" s="555"/>
      <c r="B275" s="461"/>
      <c r="C275" s="461"/>
      <c r="D275" s="171"/>
      <c r="E275" s="62"/>
      <c r="F275" s="62"/>
      <c r="G275" s="171"/>
      <c r="H275" s="171"/>
      <c r="I275" s="171"/>
      <c r="J275" s="171"/>
      <c r="K275" s="171"/>
      <c r="L275" s="171"/>
      <c r="M275" s="171"/>
      <c r="N275" s="171"/>
      <c r="O275" s="171"/>
      <c r="P275" s="171"/>
      <c r="Q275" s="171"/>
      <c r="R275" s="171"/>
      <c r="S275" s="62"/>
      <c r="T275" s="62"/>
    </row>
    <row r="276" spans="1:20" s="1" customFormat="1" x14ac:dyDescent="0.3">
      <c r="A276" s="554" t="s">
        <v>55</v>
      </c>
      <c r="B276" s="461"/>
      <c r="C276" s="461"/>
      <c r="D276" s="171">
        <f t="shared" ref="D276:Q276" si="115">D274+D241</f>
        <v>41207761.359999999</v>
      </c>
      <c r="E276" s="171">
        <f t="shared" si="115"/>
        <v>0</v>
      </c>
      <c r="F276" s="171">
        <f t="shared" si="115"/>
        <v>41207761.359999999</v>
      </c>
      <c r="G276" s="171">
        <f t="shared" si="115"/>
        <v>2570008.0000179354</v>
      </c>
      <c r="H276" s="171">
        <f t="shared" si="115"/>
        <v>38637753.359982058</v>
      </c>
      <c r="I276" s="171">
        <f t="shared" si="115"/>
        <v>38637753.359982058</v>
      </c>
      <c r="J276" s="171">
        <f t="shared" si="115"/>
        <v>3840858.4116719035</v>
      </c>
      <c r="K276" s="171">
        <f t="shared" si="115"/>
        <v>1308781.1188046108</v>
      </c>
      <c r="L276" s="171">
        <f t="shared" si="115"/>
        <v>5393620.3916297788</v>
      </c>
      <c r="M276" s="171">
        <f t="shared" si="115"/>
        <v>6318478.49389634</v>
      </c>
      <c r="N276" s="171">
        <f t="shared" si="115"/>
        <v>3218513.6977378759</v>
      </c>
      <c r="O276" s="171">
        <f t="shared" si="115"/>
        <v>16058910.533401698</v>
      </c>
      <c r="P276" s="171">
        <f t="shared" si="115"/>
        <v>2498590.7128398549</v>
      </c>
      <c r="Q276" s="171">
        <f t="shared" si="115"/>
        <v>0</v>
      </c>
      <c r="R276" s="171"/>
      <c r="S276" s="62">
        <f>SUM(J276:Q276)</f>
        <v>38637753.359982058</v>
      </c>
      <c r="T276" s="62">
        <f>H276-S276</f>
        <v>0</v>
      </c>
    </row>
    <row r="277" spans="1:20" s="1" customFormat="1" x14ac:dyDescent="0.3">
      <c r="A277" s="555"/>
      <c r="B277" s="461"/>
      <c r="C277" s="461"/>
      <c r="D277" s="171"/>
      <c r="E277" s="62"/>
      <c r="F277" s="62"/>
      <c r="G277" s="171"/>
      <c r="H277" s="171"/>
      <c r="I277" s="171"/>
      <c r="J277" s="171"/>
      <c r="K277" s="171"/>
      <c r="L277" s="171"/>
      <c r="M277" s="171"/>
      <c r="N277" s="171"/>
      <c r="O277" s="171"/>
      <c r="P277" s="171"/>
      <c r="Q277" s="171"/>
      <c r="R277" s="171"/>
      <c r="S277" s="62"/>
      <c r="T277" s="62"/>
    </row>
    <row r="278" spans="1:20" s="1" customFormat="1" x14ac:dyDescent="0.3">
      <c r="A278" s="560" t="s">
        <v>56</v>
      </c>
      <c r="B278" s="62"/>
      <c r="C278" s="62"/>
      <c r="D278" s="171">
        <f t="shared" ref="D278:Q278" si="116">D276+D152+D210</f>
        <v>189510678.40000001</v>
      </c>
      <c r="E278" s="171">
        <f t="shared" si="116"/>
        <v>0</v>
      </c>
      <c r="F278" s="171">
        <f t="shared" si="116"/>
        <v>189510678.40000001</v>
      </c>
      <c r="G278" s="171">
        <f t="shared" si="116"/>
        <v>17830877.330017935</v>
      </c>
      <c r="H278" s="171">
        <f t="shared" si="116"/>
        <v>171679801.06998205</v>
      </c>
      <c r="I278" s="171">
        <f t="shared" si="116"/>
        <v>171679801.06998205</v>
      </c>
      <c r="J278" s="171">
        <f t="shared" si="116"/>
        <v>70033274.571671903</v>
      </c>
      <c r="K278" s="171">
        <f t="shared" si="116"/>
        <v>11080830.288804611</v>
      </c>
      <c r="L278" s="171">
        <f t="shared" si="116"/>
        <v>56938056.300158314</v>
      </c>
      <c r="M278" s="171">
        <f t="shared" si="116"/>
        <v>11851624.9653678</v>
      </c>
      <c r="N278" s="171">
        <f t="shared" si="116"/>
        <v>3218513.6977378759</v>
      </c>
      <c r="O278" s="171">
        <f t="shared" si="116"/>
        <v>16058910.533401698</v>
      </c>
      <c r="P278" s="171">
        <f t="shared" si="116"/>
        <v>2498590.7128398549</v>
      </c>
      <c r="Q278" s="171">
        <f t="shared" si="116"/>
        <v>0</v>
      </c>
      <c r="R278" s="171"/>
      <c r="S278" s="62">
        <f>SUM(J278:Q278)</f>
        <v>171679801.06998202</v>
      </c>
      <c r="T278" s="62">
        <f>H278-S278</f>
        <v>0</v>
      </c>
    </row>
    <row r="279" spans="1:20" s="1" customFormat="1" x14ac:dyDescent="0.3">
      <c r="A279" s="515"/>
      <c r="B279" s="62"/>
      <c r="C279" s="62"/>
      <c r="D279" s="171"/>
      <c r="E279" s="62"/>
      <c r="F279" s="62"/>
      <c r="G279" s="171"/>
      <c r="H279" s="171"/>
      <c r="I279" s="177">
        <f>SUM(J279:L279)</f>
        <v>0.80412582202585647</v>
      </c>
      <c r="J279" s="177">
        <f t="shared" ref="J279:Q279" si="117">J278/$I278</f>
        <v>0.40792961160948776</v>
      </c>
      <c r="K279" s="177">
        <f t="shared" si="117"/>
        <v>6.4543587654133636E-2</v>
      </c>
      <c r="L279" s="177">
        <f t="shared" si="117"/>
        <v>0.33165262276223506</v>
      </c>
      <c r="M279" s="177">
        <f t="shared" si="117"/>
        <v>6.903331021764586E-2</v>
      </c>
      <c r="N279" s="177">
        <f t="shared" si="117"/>
        <v>1.8747189114145753E-2</v>
      </c>
      <c r="O279" s="177">
        <f t="shared" si="117"/>
        <v>9.3539894811828117E-2</v>
      </c>
      <c r="P279" s="177">
        <f t="shared" si="117"/>
        <v>1.4553783830523843E-2</v>
      </c>
      <c r="Q279" s="177">
        <f t="shared" si="117"/>
        <v>0</v>
      </c>
      <c r="R279" s="177"/>
      <c r="S279" s="62"/>
      <c r="T279" s="62"/>
    </row>
    <row r="280" spans="1:20" s="1" customFormat="1" x14ac:dyDescent="0.3">
      <c r="A280" s="515"/>
      <c r="B280" s="62"/>
      <c r="C280" s="62"/>
      <c r="D280" s="171"/>
      <c r="E280" s="62"/>
      <c r="F280" s="62"/>
      <c r="G280" s="171"/>
      <c r="H280" s="171"/>
      <c r="I280" s="62"/>
      <c r="J280" s="171"/>
      <c r="K280" s="171"/>
      <c r="L280" s="171"/>
      <c r="M280" s="171"/>
      <c r="N280" s="171"/>
      <c r="O280" s="171"/>
      <c r="P280" s="171"/>
      <c r="Q280" s="171"/>
      <c r="R280" s="171"/>
      <c r="S280" s="62"/>
      <c r="T280" s="62"/>
    </row>
    <row r="281" spans="1:20" x14ac:dyDescent="0.3">
      <c r="A281" s="515"/>
      <c r="B281" s="62"/>
      <c r="C281" s="62"/>
      <c r="D281" s="171"/>
      <c r="E281" s="62"/>
      <c r="F281" s="62"/>
      <c r="G281" s="171"/>
      <c r="H281" s="171"/>
      <c r="I281" s="62"/>
      <c r="J281" s="171"/>
      <c r="K281" s="171"/>
      <c r="L281" s="171"/>
      <c r="M281" s="171"/>
      <c r="N281" s="171"/>
      <c r="O281" s="171"/>
      <c r="P281" s="171"/>
      <c r="Q281" s="171"/>
      <c r="R281" s="171"/>
      <c r="S281" s="62"/>
      <c r="T281" s="62"/>
    </row>
    <row r="282" spans="1:20" x14ac:dyDescent="0.3">
      <c r="A282" s="515"/>
      <c r="B282" s="62"/>
      <c r="C282" s="62"/>
      <c r="D282" s="171"/>
      <c r="E282" s="62"/>
      <c r="F282" s="62"/>
      <c r="G282" s="171"/>
      <c r="H282" s="171"/>
      <c r="I282" s="62"/>
      <c r="J282" s="171"/>
      <c r="K282" s="171"/>
      <c r="L282" s="171"/>
      <c r="M282" s="171"/>
      <c r="N282" s="171"/>
      <c r="O282" s="171"/>
      <c r="P282" s="171"/>
      <c r="Q282" s="171"/>
      <c r="R282" s="171"/>
      <c r="S282" s="62"/>
      <c r="T282" s="62"/>
    </row>
    <row r="283" spans="1:20" x14ac:dyDescent="0.3">
      <c r="A283" s="515"/>
      <c r="B283" s="62"/>
      <c r="C283" s="62"/>
      <c r="D283" s="171"/>
      <c r="E283" s="62"/>
      <c r="F283" s="62"/>
      <c r="G283" s="171"/>
      <c r="H283" s="171"/>
      <c r="I283" s="62"/>
      <c r="J283" s="171"/>
      <c r="K283" s="171"/>
      <c r="L283" s="171"/>
      <c r="M283" s="171"/>
      <c r="N283" s="171"/>
      <c r="O283" s="171"/>
      <c r="P283" s="171"/>
      <c r="Q283" s="171"/>
      <c r="R283" s="171"/>
      <c r="S283" s="62"/>
      <c r="T283" s="62"/>
    </row>
    <row r="284" spans="1:20" x14ac:dyDescent="0.3">
      <c r="A284" s="515"/>
      <c r="B284" s="62"/>
      <c r="C284" s="62"/>
      <c r="D284" s="171"/>
      <c r="E284" s="62"/>
      <c r="F284" s="62"/>
      <c r="G284" s="171"/>
      <c r="H284" s="171"/>
      <c r="I284" s="62"/>
      <c r="J284" s="171"/>
      <c r="K284" s="171"/>
      <c r="L284" s="171"/>
      <c r="M284" s="171"/>
      <c r="N284" s="171"/>
      <c r="O284" s="171"/>
      <c r="P284" s="171"/>
      <c r="Q284" s="171"/>
      <c r="R284" s="171"/>
      <c r="S284" s="62"/>
      <c r="T284" s="62"/>
    </row>
    <row r="285" spans="1:20" x14ac:dyDescent="0.3">
      <c r="A285" s="515"/>
      <c r="B285" s="62"/>
      <c r="C285" s="62"/>
      <c r="D285" s="171"/>
      <c r="E285" s="62"/>
      <c r="F285" s="62"/>
      <c r="G285" s="171"/>
      <c r="H285" s="171"/>
      <c r="I285" s="62"/>
      <c r="J285" s="171"/>
      <c r="K285" s="171"/>
      <c r="L285" s="171"/>
      <c r="M285" s="171"/>
      <c r="N285" s="171"/>
      <c r="O285" s="171"/>
      <c r="P285" s="171"/>
      <c r="Q285" s="171"/>
      <c r="R285" s="171"/>
      <c r="S285" s="62"/>
      <c r="T285" s="62"/>
    </row>
    <row r="286" spans="1:20" x14ac:dyDescent="0.3">
      <c r="A286" s="515"/>
      <c r="B286" s="62"/>
      <c r="C286" s="62"/>
      <c r="D286" s="171"/>
      <c r="E286" s="62"/>
      <c r="F286" s="62"/>
      <c r="G286" s="171"/>
      <c r="H286" s="171"/>
      <c r="I286" s="62"/>
      <c r="J286" s="171"/>
      <c r="K286" s="171"/>
      <c r="L286" s="171"/>
      <c r="M286" s="171"/>
      <c r="N286" s="171"/>
      <c r="O286" s="171"/>
      <c r="P286" s="171"/>
      <c r="Q286" s="171"/>
      <c r="R286" s="171"/>
      <c r="S286" s="62"/>
      <c r="T286" s="62"/>
    </row>
    <row r="287" spans="1:20" x14ac:dyDescent="0.3">
      <c r="A287" s="515"/>
      <c r="B287" s="62"/>
      <c r="C287" s="62"/>
      <c r="D287" s="171"/>
      <c r="E287" s="62"/>
      <c r="F287" s="62"/>
      <c r="G287" s="171"/>
      <c r="H287" s="171"/>
      <c r="I287" s="62"/>
      <c r="J287" s="171"/>
      <c r="K287" s="171"/>
      <c r="L287" s="171"/>
      <c r="M287" s="171"/>
      <c r="N287" s="171"/>
      <c r="O287" s="171"/>
      <c r="P287" s="171"/>
      <c r="Q287" s="171"/>
      <c r="R287" s="171"/>
      <c r="S287" s="62"/>
      <c r="T287" s="62"/>
    </row>
    <row r="288" spans="1:20" x14ac:dyDescent="0.3">
      <c r="A288" s="515"/>
      <c r="B288" s="62"/>
      <c r="C288" s="62"/>
      <c r="D288" s="171"/>
      <c r="E288" s="62"/>
      <c r="F288" s="62"/>
      <c r="G288" s="171"/>
      <c r="H288" s="171"/>
      <c r="I288" s="62"/>
      <c r="J288" s="171"/>
      <c r="K288" s="171"/>
      <c r="L288" s="171"/>
      <c r="M288" s="171"/>
      <c r="N288" s="171"/>
      <c r="O288" s="171"/>
      <c r="P288" s="171"/>
      <c r="Q288" s="171"/>
      <c r="R288" s="171"/>
      <c r="S288" s="62"/>
      <c r="T288" s="62"/>
    </row>
    <row r="289" spans="1:20" x14ac:dyDescent="0.3">
      <c r="A289" s="515"/>
      <c r="B289" s="62"/>
      <c r="C289" s="62"/>
      <c r="D289" s="171"/>
      <c r="E289" s="62"/>
      <c r="F289" s="62"/>
      <c r="G289" s="171"/>
      <c r="H289" s="171"/>
      <c r="I289" s="62"/>
      <c r="J289" s="171"/>
      <c r="K289" s="171"/>
      <c r="L289" s="171"/>
      <c r="M289" s="171"/>
      <c r="N289" s="171"/>
      <c r="O289" s="171"/>
      <c r="P289" s="171"/>
      <c r="Q289" s="171"/>
      <c r="R289" s="171"/>
      <c r="S289" s="62"/>
      <c r="T289" s="62"/>
    </row>
    <row r="290" spans="1:20" x14ac:dyDescent="0.3">
      <c r="A290" s="515"/>
      <c r="B290" s="62"/>
      <c r="C290" s="62"/>
      <c r="D290" s="171"/>
      <c r="E290" s="62"/>
      <c r="F290" s="62"/>
      <c r="G290" s="171"/>
      <c r="H290" s="171"/>
      <c r="I290" s="62"/>
      <c r="J290" s="171"/>
      <c r="K290" s="171"/>
      <c r="L290" s="171"/>
      <c r="M290" s="171"/>
      <c r="N290" s="171"/>
      <c r="O290" s="171"/>
      <c r="P290" s="171"/>
      <c r="Q290" s="171"/>
      <c r="R290" s="171"/>
      <c r="S290" s="62"/>
      <c r="T290" s="62"/>
    </row>
    <row r="291" spans="1:20" x14ac:dyDescent="0.3">
      <c r="A291" s="515"/>
      <c r="B291" s="62"/>
      <c r="C291" s="62"/>
      <c r="D291" s="171"/>
      <c r="E291" s="62"/>
      <c r="F291" s="62"/>
      <c r="G291" s="171"/>
      <c r="H291" s="171"/>
      <c r="I291" s="62"/>
      <c r="J291" s="171"/>
      <c r="K291" s="171"/>
      <c r="L291" s="171"/>
      <c r="M291" s="171"/>
      <c r="N291" s="171"/>
      <c r="O291" s="171"/>
      <c r="P291" s="171"/>
      <c r="Q291" s="171"/>
      <c r="R291" s="171"/>
      <c r="S291" s="62"/>
      <c r="T291" s="62"/>
    </row>
    <row r="292" spans="1:20" x14ac:dyDescent="0.3">
      <c r="A292" s="515"/>
      <c r="B292" s="62"/>
      <c r="C292" s="62"/>
      <c r="D292" s="171"/>
      <c r="E292" s="62"/>
      <c r="F292" s="62"/>
      <c r="G292" s="171"/>
      <c r="H292" s="171"/>
      <c r="I292" s="62"/>
      <c r="J292" s="171"/>
      <c r="K292" s="171"/>
      <c r="L292" s="171"/>
      <c r="M292" s="171"/>
      <c r="N292" s="171"/>
      <c r="O292" s="171"/>
      <c r="P292" s="171"/>
      <c r="Q292" s="171"/>
      <c r="R292" s="171"/>
      <c r="S292" s="62"/>
      <c r="T292" s="62"/>
    </row>
    <row r="293" spans="1:20" x14ac:dyDescent="0.3">
      <c r="A293" s="515"/>
      <c r="B293" s="62"/>
      <c r="C293" s="62"/>
      <c r="D293" s="171"/>
      <c r="E293" s="62"/>
      <c r="F293" s="62"/>
      <c r="G293" s="171"/>
      <c r="H293" s="171"/>
      <c r="I293" s="62"/>
      <c r="J293" s="171"/>
      <c r="K293" s="171"/>
      <c r="L293" s="171"/>
      <c r="M293" s="171"/>
      <c r="N293" s="171"/>
      <c r="O293" s="171"/>
      <c r="P293" s="171"/>
      <c r="Q293" s="171"/>
      <c r="R293" s="171"/>
      <c r="S293" s="62"/>
      <c r="T293" s="62"/>
    </row>
    <row r="294" spans="1:20" x14ac:dyDescent="0.3">
      <c r="A294" s="515"/>
      <c r="B294" s="62"/>
      <c r="C294" s="62"/>
      <c r="D294" s="171"/>
      <c r="E294" s="62"/>
      <c r="F294" s="62"/>
      <c r="G294" s="171"/>
      <c r="H294" s="171"/>
      <c r="I294" s="62"/>
      <c r="J294" s="171"/>
      <c r="K294" s="171"/>
      <c r="L294" s="171"/>
      <c r="M294" s="171"/>
      <c r="N294" s="171"/>
      <c r="O294" s="171"/>
      <c r="P294" s="171"/>
      <c r="Q294" s="171"/>
      <c r="R294" s="171"/>
      <c r="S294" s="62"/>
      <c r="T294" s="62"/>
    </row>
    <row r="295" spans="1:20" x14ac:dyDescent="0.3">
      <c r="A295" s="515"/>
      <c r="B295" s="62"/>
      <c r="C295" s="62"/>
      <c r="D295" s="171"/>
      <c r="E295" s="62"/>
      <c r="F295" s="62"/>
      <c r="G295" s="171"/>
      <c r="H295" s="171"/>
      <c r="I295" s="62"/>
      <c r="J295" s="171"/>
      <c r="K295" s="171"/>
      <c r="L295" s="171"/>
      <c r="M295" s="171"/>
      <c r="N295" s="171"/>
      <c r="O295" s="171"/>
      <c r="P295" s="171"/>
      <c r="Q295" s="171"/>
      <c r="R295" s="171"/>
      <c r="S295" s="62"/>
      <c r="T295" s="62"/>
    </row>
    <row r="296" spans="1:20" x14ac:dyDescent="0.3">
      <c r="A296" s="515"/>
      <c r="B296" s="62"/>
      <c r="C296" s="62"/>
      <c r="D296" s="171"/>
      <c r="E296" s="62"/>
      <c r="F296" s="62"/>
      <c r="G296" s="171"/>
      <c r="H296" s="171"/>
      <c r="I296" s="62"/>
      <c r="J296" s="171"/>
      <c r="K296" s="171"/>
      <c r="L296" s="171"/>
      <c r="M296" s="171"/>
      <c r="N296" s="171"/>
      <c r="O296" s="171"/>
      <c r="P296" s="171"/>
      <c r="Q296" s="171"/>
      <c r="R296" s="171"/>
      <c r="S296" s="62"/>
      <c r="T296" s="62"/>
    </row>
    <row r="297" spans="1:20" x14ac:dyDescent="0.3">
      <c r="A297" s="515"/>
      <c r="B297" s="62"/>
      <c r="C297" s="62"/>
      <c r="D297" s="171"/>
      <c r="E297" s="62"/>
      <c r="F297" s="62"/>
      <c r="G297" s="171"/>
      <c r="H297" s="171"/>
      <c r="I297" s="62"/>
      <c r="J297" s="171"/>
      <c r="K297" s="171"/>
      <c r="L297" s="171"/>
      <c r="M297" s="171"/>
      <c r="N297" s="171"/>
      <c r="O297" s="171"/>
      <c r="P297" s="171"/>
      <c r="Q297" s="171"/>
      <c r="R297" s="171"/>
      <c r="S297" s="62"/>
      <c r="T297" s="62"/>
    </row>
    <row r="298" spans="1:20" x14ac:dyDescent="0.3">
      <c r="A298" s="515"/>
      <c r="B298" s="62"/>
      <c r="C298" s="62"/>
      <c r="D298" s="171"/>
      <c r="E298" s="62"/>
      <c r="F298" s="62"/>
      <c r="G298" s="171"/>
      <c r="H298" s="171"/>
      <c r="I298" s="62"/>
      <c r="J298" s="171"/>
      <c r="K298" s="171"/>
      <c r="L298" s="171"/>
      <c r="M298" s="171"/>
      <c r="N298" s="171"/>
      <c r="O298" s="171"/>
      <c r="P298" s="171"/>
      <c r="Q298" s="171"/>
      <c r="R298" s="171"/>
      <c r="S298" s="62"/>
      <c r="T298" s="62"/>
    </row>
    <row r="299" spans="1:20" x14ac:dyDescent="0.3">
      <c r="A299" s="515"/>
      <c r="B299" s="62"/>
      <c r="C299" s="62"/>
      <c r="D299" s="171"/>
      <c r="E299" s="62"/>
      <c r="F299" s="62"/>
      <c r="G299" s="171"/>
      <c r="H299" s="171"/>
      <c r="I299" s="62"/>
      <c r="J299" s="171"/>
      <c r="K299" s="171"/>
      <c r="L299" s="171"/>
      <c r="M299" s="171"/>
      <c r="N299" s="171"/>
      <c r="O299" s="171"/>
      <c r="P299" s="171"/>
      <c r="Q299" s="171"/>
      <c r="R299" s="171"/>
      <c r="S299" s="62"/>
      <c r="T299" s="62"/>
    </row>
  </sheetData>
  <customSheetViews>
    <customSheetView guid="{121E4431-22F3-11D5-8242-00600818425F}" scale="75" showRuler="0">
      <pane xSplit="2" ySplit="7" topLeftCell="C224" activePane="bottomRight" state="frozen"/>
      <selection pane="bottomRight" activeCell="D237" sqref="D237"/>
      <rowBreaks count="4" manualBreakCount="4">
        <brk id="53" max="16383" man="1"/>
        <brk id="98" max="16383" man="1"/>
        <brk id="152" max="16383" man="1"/>
        <brk id="195" max="16383" man="1"/>
      </rowBreaks>
      <pageMargins left="0" right="0" top="0.5" bottom="0.4" header="0.2" footer="0.2"/>
      <printOptions horizontalCentered="1" gridLines="1"/>
      <pageSetup scale="60" fitToHeight="0" orientation="landscape" horizontalDpi="300" vertic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showRuler="0">
      <pane xSplit="2" ySplit="7" topLeftCell="C218" activePane="bottomRight" state="frozen"/>
      <selection pane="bottomRight" activeCell="H239" sqref="H239"/>
      <rowBreaks count="4" manualBreakCount="4">
        <brk id="53" max="16383" man="1"/>
        <brk id="98" max="16383" man="1"/>
        <brk id="152" max="16383" man="1"/>
        <brk id="195" max="16383" man="1"/>
      </rowBreaks>
      <pageMargins left="0" right="0" top="0.5" bottom="0.4" header="0.2" footer="0.2"/>
      <printOptions horizontalCentered="1" gridLines="1"/>
      <pageSetup scale="60" fitToHeight="0" orientation="landscape" horizontalDpi="300" vertic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showRuler="0">
      <pane xSplit="2" ySplit="7" topLeftCell="C218" activePane="bottomRight" state="frozen"/>
      <selection pane="bottomRight" activeCell="H239" sqref="H239"/>
      <rowBreaks count="4" manualBreakCount="4">
        <brk id="53" max="16383" man="1"/>
        <brk id="98" max="16383" man="1"/>
        <brk id="152" max="16383" man="1"/>
        <brk id="195" max="16383" man="1"/>
      </rowBreaks>
      <pageMargins left="0" right="0" top="0.5" bottom="0.4" header="0.2" footer="0.2"/>
      <printOptions horizontalCentered="1" gridLines="1"/>
      <pageSetup scale="60" fitToHeight="0" orientation="landscape" horizontalDpi="300" verticalDpi="30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57" fitToHeight="0" orientation="landscape" horizontalDpi="300" verticalDpi="300" r:id="rId4"/>
  <headerFooter alignWithMargins="0">
    <oddFooter>&amp;L&amp;8&amp;F&amp;C&amp;8&amp;A
page &amp;P&amp;R&amp;8&amp;D
&amp;T</oddFooter>
  </headerFooter>
  <rowBreaks count="4" manualBreakCount="4">
    <brk id="53" max="16383" man="1"/>
    <brk id="100" max="16383" man="1"/>
    <brk id="154" max="16383" man="1"/>
    <brk id="212" max="16383" man="1"/>
  </rowBreaks>
  <ignoredErrors>
    <ignoredError sqref="K230:L230 G230 D149 D222" formulaRange="1"/>
    <ignoredError sqref="I261 L134 H237 S240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Z287"/>
  <sheetViews>
    <sheetView zoomScale="75" zoomScaleNormal="75" workbookViewId="0">
      <pane xSplit="2" ySplit="7" topLeftCell="C8" activePane="bottomRight" state="frozen"/>
      <selection activeCell="C368" sqref="C368"/>
      <selection pane="topRight" activeCell="C368" sqref="C368"/>
      <selection pane="bottomLeft" activeCell="C368" sqref="C368"/>
      <selection pane="bottomRight" activeCell="C8" sqref="C8"/>
    </sheetView>
  </sheetViews>
  <sheetFormatPr defaultColWidth="9.1796875" defaultRowHeight="13" x14ac:dyDescent="0.3"/>
  <cols>
    <col min="1" max="1" width="10.453125" style="4" customWidth="1"/>
    <col min="2" max="2" width="38.81640625" style="4" customWidth="1"/>
    <col min="3" max="3" width="12.54296875" style="4" customWidth="1"/>
    <col min="4" max="4" width="13.54296875" style="3" customWidth="1"/>
    <col min="5" max="11" width="13.54296875" style="20" customWidth="1"/>
    <col min="12" max="12" width="11.54296875" style="3" customWidth="1"/>
    <col min="13" max="13" width="12.81640625" style="3" bestFit="1" customWidth="1"/>
    <col min="14" max="14" width="11.453125" style="4" customWidth="1"/>
    <col min="15" max="15" width="11" style="4" bestFit="1" customWidth="1"/>
    <col min="16" max="16" width="10.54296875" style="4" bestFit="1" customWidth="1"/>
    <col min="17" max="17" width="12.453125" style="4" bestFit="1" customWidth="1"/>
    <col min="18" max="18" width="11" style="4" bestFit="1" customWidth="1"/>
    <col min="19" max="19" width="10.54296875" style="4" bestFit="1" customWidth="1"/>
    <col min="20" max="20" width="12.453125" style="4" bestFit="1" customWidth="1"/>
    <col min="21" max="21" width="9.453125" style="4" bestFit="1" customWidth="1"/>
    <col min="22" max="23" width="10.453125" style="4" customWidth="1"/>
    <col min="24" max="24" width="15.1796875" style="1" bestFit="1" customWidth="1"/>
    <col min="25" max="26" width="15" style="4" customWidth="1"/>
    <col min="27" max="28" width="11.54296875" style="1" bestFit="1" customWidth="1"/>
    <col min="29" max="29" width="12.54296875" style="1" bestFit="1" customWidth="1"/>
    <col min="30" max="31" width="11.54296875" style="1" customWidth="1"/>
    <col min="32" max="32" width="12.1796875" style="1" bestFit="1" customWidth="1"/>
    <col min="33" max="33" width="12" style="1" customWidth="1"/>
    <col min="34" max="34" width="11.54296875" style="1" bestFit="1" customWidth="1"/>
    <col min="35" max="35" width="9.1796875" style="4"/>
    <col min="36" max="36" width="13.54296875" style="4" bestFit="1" customWidth="1"/>
    <col min="37" max="37" width="13" style="4" bestFit="1" customWidth="1"/>
    <col min="38" max="38" width="11.81640625" style="4" bestFit="1" customWidth="1"/>
    <col min="39" max="16384" width="9.1796875" style="4"/>
  </cols>
  <sheetData>
    <row r="1" spans="1:38" x14ac:dyDescent="0.3">
      <c r="A1" s="343" t="str">
        <f>'1. RB-i'!A1</f>
        <v>CPS Energy</v>
      </c>
      <c r="B1" s="207"/>
      <c r="C1" s="207"/>
      <c r="D1" s="207"/>
      <c r="E1" s="207"/>
      <c r="F1" s="449"/>
      <c r="G1" s="449"/>
      <c r="H1" s="449"/>
      <c r="I1" s="449"/>
      <c r="J1" s="449"/>
      <c r="K1" s="449"/>
      <c r="L1" s="353"/>
      <c r="M1" s="353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345"/>
    </row>
    <row r="2" spans="1:38" x14ac:dyDescent="0.3">
      <c r="A2" s="346" t="s">
        <v>1302</v>
      </c>
      <c r="B2" s="191"/>
      <c r="C2" s="191"/>
      <c r="D2" s="256"/>
      <c r="E2" s="445"/>
      <c r="F2" s="445"/>
      <c r="G2" s="445"/>
      <c r="H2" s="445"/>
      <c r="I2" s="445"/>
      <c r="J2" s="445"/>
      <c r="K2" s="445"/>
      <c r="L2" s="256"/>
      <c r="M2" s="256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347"/>
    </row>
    <row r="3" spans="1:38" x14ac:dyDescent="0.3">
      <c r="A3" s="346" t="str">
        <f>'7a. LX_AG-i'!A3</f>
        <v>FYE 2017</v>
      </c>
      <c r="B3" s="191"/>
      <c r="C3" s="191"/>
      <c r="D3" s="256"/>
      <c r="E3" s="445"/>
      <c r="F3" s="445"/>
      <c r="G3" s="445"/>
      <c r="H3" s="445"/>
      <c r="I3" s="445"/>
      <c r="J3" s="445"/>
      <c r="K3" s="445"/>
      <c r="L3" s="256"/>
      <c r="M3" s="257" t="s">
        <v>367</v>
      </c>
      <c r="N3" s="258"/>
      <c r="O3" s="258"/>
      <c r="P3" s="258"/>
      <c r="Q3" s="258"/>
      <c r="R3" s="258"/>
      <c r="S3" s="258"/>
      <c r="T3" s="258"/>
      <c r="U3" s="258"/>
      <c r="V3" s="259"/>
      <c r="W3" s="259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347"/>
      <c r="AJ3" s="31"/>
    </row>
    <row r="4" spans="1:38" x14ac:dyDescent="0.3">
      <c r="A4" s="261"/>
      <c r="B4" s="262"/>
      <c r="C4" s="262"/>
      <c r="D4" s="257" t="s">
        <v>544</v>
      </c>
      <c r="E4" s="258"/>
      <c r="F4" s="258"/>
      <c r="G4" s="258"/>
      <c r="H4" s="258"/>
      <c r="I4" s="259"/>
      <c r="J4" s="258"/>
      <c r="K4" s="259"/>
      <c r="L4" s="262"/>
      <c r="M4" s="191"/>
      <c r="N4" s="257" t="s">
        <v>922</v>
      </c>
      <c r="O4" s="258"/>
      <c r="P4" s="258"/>
      <c r="Q4" s="259"/>
      <c r="R4" s="257" t="s">
        <v>923</v>
      </c>
      <c r="S4" s="258"/>
      <c r="T4" s="258"/>
      <c r="U4" s="258"/>
      <c r="V4" s="259"/>
      <c r="W4" s="265"/>
      <c r="X4" s="257" t="s">
        <v>907</v>
      </c>
      <c r="Y4" s="258"/>
      <c r="Z4" s="259"/>
      <c r="AA4" s="191"/>
      <c r="AB4" s="257" t="s">
        <v>85</v>
      </c>
      <c r="AC4" s="258"/>
      <c r="AD4" s="258"/>
      <c r="AE4" s="258"/>
      <c r="AF4" s="257" t="s">
        <v>912</v>
      </c>
      <c r="AG4" s="259"/>
      <c r="AH4" s="347"/>
      <c r="AJ4" s="31"/>
    </row>
    <row r="5" spans="1:38" x14ac:dyDescent="0.3">
      <c r="A5" s="268"/>
      <c r="B5" s="194"/>
      <c r="C5" s="194"/>
      <c r="D5" s="195" t="s">
        <v>357</v>
      </c>
      <c r="E5" s="417" t="s">
        <v>924</v>
      </c>
      <c r="F5" s="417"/>
      <c r="G5" s="417"/>
      <c r="H5" s="417"/>
      <c r="I5" s="417" t="s">
        <v>924</v>
      </c>
      <c r="J5" s="269"/>
      <c r="K5" s="197" t="s">
        <v>79</v>
      </c>
      <c r="L5" s="198" t="s">
        <v>357</v>
      </c>
      <c r="M5" s="199" t="s">
        <v>357</v>
      </c>
      <c r="N5" s="270"/>
      <c r="O5" s="271" t="s">
        <v>925</v>
      </c>
      <c r="P5" s="271" t="s">
        <v>926</v>
      </c>
      <c r="Q5" s="216"/>
      <c r="R5" s="270" t="s">
        <v>925</v>
      </c>
      <c r="S5" s="271" t="s">
        <v>926</v>
      </c>
      <c r="T5" s="271"/>
      <c r="U5" s="263"/>
      <c r="V5" s="263"/>
      <c r="W5" s="216" t="s">
        <v>1010</v>
      </c>
      <c r="X5" s="271" t="s">
        <v>357</v>
      </c>
      <c r="Y5" s="270"/>
      <c r="Z5" s="270" t="s">
        <v>994</v>
      </c>
      <c r="AA5" s="215" t="s">
        <v>357</v>
      </c>
      <c r="AB5" s="215" t="s">
        <v>357</v>
      </c>
      <c r="AC5" s="215" t="s">
        <v>86</v>
      </c>
      <c r="AD5" s="215" t="s">
        <v>1003</v>
      </c>
      <c r="AE5" s="272"/>
      <c r="AF5" s="215" t="s">
        <v>911</v>
      </c>
      <c r="AG5" s="215"/>
      <c r="AH5" s="217" t="s">
        <v>357</v>
      </c>
      <c r="AJ5" s="5" t="s">
        <v>357</v>
      </c>
    </row>
    <row r="6" spans="1:38" x14ac:dyDescent="0.3">
      <c r="A6" s="268" t="s">
        <v>539</v>
      </c>
      <c r="B6" s="186" t="s">
        <v>359</v>
      </c>
      <c r="C6" s="194"/>
      <c r="D6" s="200" t="s">
        <v>544</v>
      </c>
      <c r="E6" s="417" t="s">
        <v>928</v>
      </c>
      <c r="F6" s="417" t="s">
        <v>1140</v>
      </c>
      <c r="G6" s="417" t="s">
        <v>1139</v>
      </c>
      <c r="H6" s="417" t="s">
        <v>947</v>
      </c>
      <c r="I6" s="417" t="s">
        <v>927</v>
      </c>
      <c r="J6" s="417" t="s">
        <v>617</v>
      </c>
      <c r="K6" s="187" t="s">
        <v>80</v>
      </c>
      <c r="L6" s="198" t="s">
        <v>366</v>
      </c>
      <c r="M6" s="199" t="s">
        <v>367</v>
      </c>
      <c r="N6" s="200" t="s">
        <v>929</v>
      </c>
      <c r="O6" s="417" t="s">
        <v>930</v>
      </c>
      <c r="P6" s="417" t="s">
        <v>930</v>
      </c>
      <c r="Q6" s="187" t="s">
        <v>931</v>
      </c>
      <c r="R6" s="200" t="s">
        <v>930</v>
      </c>
      <c r="S6" s="417" t="s">
        <v>930</v>
      </c>
      <c r="T6" s="417" t="s">
        <v>931</v>
      </c>
      <c r="U6" s="417" t="s">
        <v>456</v>
      </c>
      <c r="V6" s="417" t="s">
        <v>932</v>
      </c>
      <c r="W6" s="187" t="s">
        <v>1011</v>
      </c>
      <c r="X6" s="417" t="s">
        <v>907</v>
      </c>
      <c r="Y6" s="200" t="s">
        <v>907</v>
      </c>
      <c r="Z6" s="200" t="s">
        <v>995</v>
      </c>
      <c r="AA6" s="186" t="s">
        <v>84</v>
      </c>
      <c r="AB6" s="186" t="s">
        <v>82</v>
      </c>
      <c r="AC6" s="186" t="s">
        <v>87</v>
      </c>
      <c r="AD6" s="186" t="s">
        <v>1004</v>
      </c>
      <c r="AE6" s="186" t="s">
        <v>1005</v>
      </c>
      <c r="AF6" s="186" t="s">
        <v>912</v>
      </c>
      <c r="AG6" s="186" t="s">
        <v>1006</v>
      </c>
      <c r="AH6" s="219" t="s">
        <v>913</v>
      </c>
      <c r="AJ6" s="5" t="s">
        <v>365</v>
      </c>
      <c r="AK6" s="6" t="s">
        <v>933</v>
      </c>
      <c r="AL6" s="6" t="s">
        <v>824</v>
      </c>
    </row>
    <row r="7" spans="1:38" ht="13.5" thickBot="1" x14ac:dyDescent="0.35">
      <c r="A7" s="278" t="s">
        <v>545</v>
      </c>
      <c r="B7" s="279"/>
      <c r="C7" s="279"/>
      <c r="D7" s="281" t="s">
        <v>815</v>
      </c>
      <c r="E7" s="282" t="s">
        <v>816</v>
      </c>
      <c r="F7" s="282"/>
      <c r="G7" s="282"/>
      <c r="H7" s="282"/>
      <c r="I7" s="282" t="s">
        <v>817</v>
      </c>
      <c r="J7" s="282" t="s">
        <v>818</v>
      </c>
      <c r="K7" s="282" t="s">
        <v>819</v>
      </c>
      <c r="L7" s="234" t="s">
        <v>820</v>
      </c>
      <c r="M7" s="282" t="s">
        <v>821</v>
      </c>
      <c r="N7" s="281" t="s">
        <v>822</v>
      </c>
      <c r="O7" s="282" t="s">
        <v>823</v>
      </c>
      <c r="P7" s="282" t="s">
        <v>908</v>
      </c>
      <c r="Q7" s="282" t="s">
        <v>914</v>
      </c>
      <c r="R7" s="281" t="s">
        <v>915</v>
      </c>
      <c r="S7" s="282" t="s">
        <v>916</v>
      </c>
      <c r="T7" s="282" t="s">
        <v>917</v>
      </c>
      <c r="U7" s="282" t="s">
        <v>918</v>
      </c>
      <c r="V7" s="282" t="s">
        <v>934</v>
      </c>
      <c r="W7" s="283" t="s">
        <v>935</v>
      </c>
      <c r="X7" s="282" t="s">
        <v>936</v>
      </c>
      <c r="Y7" s="234" t="s">
        <v>937</v>
      </c>
      <c r="Z7" s="234" t="s">
        <v>938</v>
      </c>
      <c r="AA7" s="234" t="s">
        <v>939</v>
      </c>
      <c r="AB7" s="234" t="s">
        <v>985</v>
      </c>
      <c r="AC7" s="234" t="s">
        <v>986</v>
      </c>
      <c r="AD7" s="234" t="s">
        <v>987</v>
      </c>
      <c r="AE7" s="234" t="s">
        <v>988</v>
      </c>
      <c r="AF7" s="234" t="s">
        <v>989</v>
      </c>
      <c r="AG7" s="234" t="s">
        <v>990</v>
      </c>
      <c r="AH7" s="235" t="s">
        <v>991</v>
      </c>
      <c r="AJ7" s="45"/>
    </row>
    <row r="8" spans="1:38" x14ac:dyDescent="0.3">
      <c r="A8" s="44"/>
      <c r="B8" s="31"/>
      <c r="D8" s="7"/>
      <c r="E8" s="5"/>
      <c r="F8" s="625"/>
      <c r="G8" s="625"/>
      <c r="H8" s="625"/>
      <c r="I8" s="5"/>
      <c r="J8" s="5"/>
      <c r="K8" s="5"/>
      <c r="L8" s="7"/>
      <c r="M8" s="2"/>
      <c r="N8" s="5"/>
      <c r="O8" s="5"/>
      <c r="P8" s="5"/>
      <c r="Q8" s="5"/>
      <c r="R8" s="5"/>
      <c r="S8" s="5"/>
      <c r="T8" s="5"/>
      <c r="U8" s="5"/>
      <c r="V8" s="5"/>
      <c r="W8" s="5"/>
      <c r="X8" s="2"/>
      <c r="Y8" s="6"/>
      <c r="Z8" s="6"/>
      <c r="AA8" s="2"/>
      <c r="AB8" s="2"/>
      <c r="AC8" s="2"/>
      <c r="AD8" s="2"/>
      <c r="AE8" s="2"/>
      <c r="AF8" s="2"/>
      <c r="AG8" s="2"/>
      <c r="AH8" s="2"/>
      <c r="AJ8" s="45"/>
    </row>
    <row r="9" spans="1:38" x14ac:dyDescent="0.3">
      <c r="A9" s="460" t="s">
        <v>547</v>
      </c>
      <c r="B9" s="461"/>
      <c r="C9" s="62"/>
      <c r="D9" s="171"/>
      <c r="E9" s="481"/>
      <c r="F9" s="619"/>
      <c r="G9" s="619"/>
      <c r="H9" s="619"/>
      <c r="I9" s="481"/>
      <c r="J9" s="481"/>
      <c r="K9" s="481"/>
      <c r="L9" s="171"/>
      <c r="M9" s="468"/>
      <c r="N9" s="62"/>
      <c r="O9" s="62"/>
      <c r="P9" s="62"/>
      <c r="Q9" s="62"/>
      <c r="R9" s="62"/>
      <c r="S9" s="62"/>
      <c r="T9" s="62"/>
      <c r="U9" s="62"/>
      <c r="V9" s="62"/>
      <c r="W9" s="62"/>
      <c r="X9" s="468"/>
      <c r="Y9" s="468"/>
      <c r="Z9" s="468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</row>
    <row r="10" spans="1:38" x14ac:dyDescent="0.3">
      <c r="A10" s="462"/>
      <c r="B10" s="461"/>
      <c r="C10" s="62"/>
      <c r="D10" s="171"/>
      <c r="E10" s="481"/>
      <c r="F10" s="619"/>
      <c r="G10" s="619"/>
      <c r="H10" s="619"/>
      <c r="I10" s="481"/>
      <c r="J10" s="481"/>
      <c r="K10" s="481"/>
      <c r="L10" s="171"/>
      <c r="M10" s="171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</row>
    <row r="11" spans="1:38" x14ac:dyDescent="0.3">
      <c r="A11" s="462"/>
      <c r="B11" s="463" t="s">
        <v>548</v>
      </c>
      <c r="C11" s="62"/>
      <c r="D11" s="171"/>
      <c r="E11" s="481"/>
      <c r="F11" s="481"/>
      <c r="G11" s="481"/>
      <c r="H11" s="481"/>
      <c r="I11" s="481"/>
      <c r="J11" s="481"/>
      <c r="K11" s="481"/>
      <c r="L11" s="171"/>
      <c r="M11" s="171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</row>
    <row r="12" spans="1:38" x14ac:dyDescent="0.3">
      <c r="A12" s="462"/>
      <c r="B12" s="464" t="s">
        <v>549</v>
      </c>
      <c r="C12" s="62"/>
      <c r="D12" s="171"/>
      <c r="E12" s="481"/>
      <c r="F12" s="481"/>
      <c r="G12" s="481"/>
      <c r="H12" s="481"/>
      <c r="I12" s="481"/>
      <c r="J12" s="481"/>
      <c r="K12" s="481"/>
      <c r="L12" s="171"/>
      <c r="M12" s="171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</row>
    <row r="13" spans="1:38" x14ac:dyDescent="0.3">
      <c r="A13" s="462" t="s">
        <v>550</v>
      </c>
      <c r="B13" s="466" t="s">
        <v>551</v>
      </c>
      <c r="C13" s="62"/>
      <c r="D13" s="669"/>
      <c r="E13" s="669"/>
      <c r="F13" s="669"/>
      <c r="G13" s="669"/>
      <c r="H13" s="669"/>
      <c r="I13" s="669"/>
      <c r="J13" s="669"/>
      <c r="K13" s="669"/>
      <c r="L13" s="669"/>
      <c r="M13" s="669"/>
      <c r="N13" s="669"/>
      <c r="O13" s="669"/>
      <c r="P13" s="669"/>
      <c r="Q13" s="669"/>
      <c r="R13" s="669"/>
      <c r="S13" s="669"/>
      <c r="T13" s="669"/>
      <c r="U13" s="669"/>
      <c r="V13" s="669"/>
      <c r="W13" s="669"/>
      <c r="X13" s="669"/>
      <c r="Y13" s="669"/>
      <c r="Z13" s="669"/>
      <c r="AA13" s="669"/>
      <c r="AB13" s="669"/>
      <c r="AC13" s="669"/>
      <c r="AD13" s="669"/>
      <c r="AE13" s="669"/>
      <c r="AF13" s="669"/>
      <c r="AG13" s="669"/>
      <c r="AH13" s="669"/>
      <c r="AI13" s="62"/>
      <c r="AJ13" s="669"/>
      <c r="AK13" s="677"/>
      <c r="AL13" s="677"/>
    </row>
    <row r="14" spans="1:38" x14ac:dyDescent="0.3">
      <c r="A14" s="462" t="s">
        <v>552</v>
      </c>
      <c r="B14" s="461" t="s">
        <v>553</v>
      </c>
      <c r="C14" s="62"/>
      <c r="D14" s="669"/>
      <c r="E14" s="669"/>
      <c r="F14" s="669"/>
      <c r="G14" s="669"/>
      <c r="H14" s="669"/>
      <c r="I14" s="669"/>
      <c r="J14" s="669"/>
      <c r="K14" s="669"/>
      <c r="L14" s="669"/>
      <c r="M14" s="669"/>
      <c r="N14" s="669"/>
      <c r="O14" s="669"/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2"/>
      <c r="AJ14" s="669"/>
      <c r="AK14" s="677"/>
      <c r="AL14" s="677"/>
    </row>
    <row r="15" spans="1:38" x14ac:dyDescent="0.3">
      <c r="A15" s="462" t="s">
        <v>552</v>
      </c>
      <c r="B15" s="466" t="s">
        <v>554</v>
      </c>
      <c r="C15" s="62"/>
      <c r="D15" s="669"/>
      <c r="E15" s="669"/>
      <c r="F15" s="669"/>
      <c r="G15" s="669"/>
      <c r="H15" s="669"/>
      <c r="I15" s="669"/>
      <c r="J15" s="669"/>
      <c r="K15" s="669"/>
      <c r="L15" s="669"/>
      <c r="M15" s="669"/>
      <c r="N15" s="669"/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2"/>
      <c r="AJ15" s="669"/>
      <c r="AK15" s="677"/>
      <c r="AL15" s="677"/>
    </row>
    <row r="16" spans="1:38" x14ac:dyDescent="0.3">
      <c r="A16" s="462" t="s">
        <v>555</v>
      </c>
      <c r="B16" s="461" t="s">
        <v>556</v>
      </c>
      <c r="C16" s="62"/>
      <c r="D16" s="669"/>
      <c r="E16" s="669"/>
      <c r="F16" s="669"/>
      <c r="G16" s="669"/>
      <c r="H16" s="669"/>
      <c r="I16" s="669"/>
      <c r="J16" s="669"/>
      <c r="K16" s="669"/>
      <c r="L16" s="669"/>
      <c r="M16" s="669"/>
      <c r="N16" s="669"/>
      <c r="O16" s="669"/>
      <c r="P16" s="669"/>
      <c r="Q16" s="669"/>
      <c r="R16" s="669"/>
      <c r="S16" s="669"/>
      <c r="T16" s="669"/>
      <c r="U16" s="669"/>
      <c r="V16" s="669"/>
      <c r="W16" s="669"/>
      <c r="X16" s="669"/>
      <c r="Y16" s="669"/>
      <c r="Z16" s="669"/>
      <c r="AA16" s="669"/>
      <c r="AB16" s="669"/>
      <c r="AC16" s="669"/>
      <c r="AD16" s="669"/>
      <c r="AE16" s="669"/>
      <c r="AF16" s="669"/>
      <c r="AG16" s="669"/>
      <c r="AH16" s="669"/>
      <c r="AI16" s="62"/>
      <c r="AJ16" s="669"/>
      <c r="AK16" s="677"/>
      <c r="AL16" s="677"/>
    </row>
    <row r="17" spans="1:38" x14ac:dyDescent="0.3">
      <c r="A17" s="462" t="s">
        <v>557</v>
      </c>
      <c r="B17" s="461" t="s">
        <v>558</v>
      </c>
      <c r="C17" s="62"/>
      <c r="D17" s="669"/>
      <c r="E17" s="669"/>
      <c r="F17" s="669"/>
      <c r="G17" s="669"/>
      <c r="H17" s="669"/>
      <c r="I17" s="669"/>
      <c r="J17" s="669"/>
      <c r="K17" s="669"/>
      <c r="L17" s="669"/>
      <c r="M17" s="669"/>
      <c r="N17" s="669"/>
      <c r="O17" s="669"/>
      <c r="P17" s="669"/>
      <c r="Q17" s="669"/>
      <c r="R17" s="669"/>
      <c r="S17" s="669"/>
      <c r="T17" s="669"/>
      <c r="U17" s="669"/>
      <c r="V17" s="669"/>
      <c r="W17" s="669"/>
      <c r="X17" s="669"/>
      <c r="Y17" s="669"/>
      <c r="Z17" s="669"/>
      <c r="AA17" s="669"/>
      <c r="AB17" s="669"/>
      <c r="AC17" s="669"/>
      <c r="AD17" s="669"/>
      <c r="AE17" s="669"/>
      <c r="AF17" s="669"/>
      <c r="AG17" s="669"/>
      <c r="AH17" s="669"/>
      <c r="AI17" s="62"/>
      <c r="AJ17" s="669"/>
      <c r="AK17" s="677"/>
      <c r="AL17" s="677"/>
    </row>
    <row r="18" spans="1:38" x14ac:dyDescent="0.3">
      <c r="A18" s="462" t="s">
        <v>559</v>
      </c>
      <c r="B18" s="461" t="s">
        <v>560</v>
      </c>
      <c r="C18" s="62"/>
      <c r="D18" s="669"/>
      <c r="E18" s="669"/>
      <c r="F18" s="669"/>
      <c r="G18" s="669"/>
      <c r="H18" s="669"/>
      <c r="I18" s="669"/>
      <c r="J18" s="669"/>
      <c r="K18" s="669"/>
      <c r="L18" s="669"/>
      <c r="M18" s="669"/>
      <c r="N18" s="669"/>
      <c r="O18" s="669"/>
      <c r="P18" s="669"/>
      <c r="Q18" s="669"/>
      <c r="R18" s="669"/>
      <c r="S18" s="669"/>
      <c r="T18" s="669"/>
      <c r="U18" s="669"/>
      <c r="V18" s="669"/>
      <c r="W18" s="669"/>
      <c r="X18" s="669"/>
      <c r="Y18" s="669"/>
      <c r="Z18" s="669"/>
      <c r="AA18" s="669"/>
      <c r="AB18" s="669"/>
      <c r="AC18" s="669"/>
      <c r="AD18" s="669"/>
      <c r="AE18" s="669"/>
      <c r="AF18" s="669"/>
      <c r="AG18" s="669"/>
      <c r="AH18" s="669"/>
      <c r="AI18" s="62"/>
      <c r="AJ18" s="669"/>
      <c r="AK18" s="677"/>
      <c r="AL18" s="677"/>
    </row>
    <row r="19" spans="1:38" x14ac:dyDescent="0.3">
      <c r="A19" s="462" t="s">
        <v>561</v>
      </c>
      <c r="B19" s="461" t="s">
        <v>562</v>
      </c>
      <c r="C19" s="62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  <c r="O19" s="669"/>
      <c r="P19" s="669"/>
      <c r="Q19" s="669"/>
      <c r="R19" s="669"/>
      <c r="S19" s="669"/>
      <c r="T19" s="669"/>
      <c r="U19" s="669"/>
      <c r="V19" s="669"/>
      <c r="W19" s="669"/>
      <c r="X19" s="669"/>
      <c r="Y19" s="669"/>
      <c r="Z19" s="669"/>
      <c r="AA19" s="669"/>
      <c r="AB19" s="669"/>
      <c r="AC19" s="669"/>
      <c r="AD19" s="669"/>
      <c r="AE19" s="669"/>
      <c r="AF19" s="669"/>
      <c r="AG19" s="669"/>
      <c r="AH19" s="669"/>
      <c r="AI19" s="62"/>
      <c r="AJ19" s="669"/>
      <c r="AK19" s="677"/>
      <c r="AL19" s="677"/>
    </row>
    <row r="20" spans="1:38" x14ac:dyDescent="0.3">
      <c r="A20" s="462" t="s">
        <v>563</v>
      </c>
      <c r="B20" s="461" t="s">
        <v>564</v>
      </c>
      <c r="C20" s="62"/>
      <c r="D20" s="669"/>
      <c r="E20" s="669"/>
      <c r="F20" s="669"/>
      <c r="G20" s="669"/>
      <c r="H20" s="669"/>
      <c r="I20" s="669"/>
      <c r="J20" s="669"/>
      <c r="K20" s="669"/>
      <c r="L20" s="669"/>
      <c r="M20" s="669"/>
      <c r="N20" s="669"/>
      <c r="O20" s="669"/>
      <c r="P20" s="669"/>
      <c r="Q20" s="669"/>
      <c r="R20" s="669"/>
      <c r="S20" s="669"/>
      <c r="T20" s="669"/>
      <c r="U20" s="669"/>
      <c r="V20" s="669"/>
      <c r="W20" s="669"/>
      <c r="X20" s="669"/>
      <c r="Y20" s="669"/>
      <c r="Z20" s="669"/>
      <c r="AA20" s="669"/>
      <c r="AB20" s="669"/>
      <c r="AC20" s="669"/>
      <c r="AD20" s="669"/>
      <c r="AE20" s="669"/>
      <c r="AF20" s="669"/>
      <c r="AG20" s="669"/>
      <c r="AH20" s="669"/>
      <c r="AI20" s="62"/>
      <c r="AJ20" s="669"/>
      <c r="AK20" s="677"/>
      <c r="AL20" s="677"/>
    </row>
    <row r="21" spans="1:38" s="1" customFormat="1" ht="14.5" x14ac:dyDescent="0.45">
      <c r="A21" s="462" t="s">
        <v>887</v>
      </c>
      <c r="B21" s="461" t="s">
        <v>888</v>
      </c>
      <c r="C21" s="62"/>
      <c r="D21" s="701"/>
      <c r="E21" s="701"/>
      <c r="F21" s="701"/>
      <c r="G21" s="701"/>
      <c r="H21" s="701"/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  <c r="AI21" s="62"/>
      <c r="AJ21" s="669"/>
      <c r="AK21" s="677"/>
      <c r="AL21" s="677"/>
    </row>
    <row r="22" spans="1:38" x14ac:dyDescent="0.3">
      <c r="A22" s="462"/>
      <c r="B22" s="474" t="s">
        <v>524</v>
      </c>
      <c r="C22" s="62"/>
      <c r="D22" s="678"/>
      <c r="E22" s="678"/>
      <c r="F22" s="678"/>
      <c r="G22" s="678"/>
      <c r="H22" s="678"/>
      <c r="I22" s="678"/>
      <c r="J22" s="678"/>
      <c r="K22" s="678"/>
      <c r="L22" s="678"/>
      <c r="M22" s="678"/>
      <c r="N22" s="678"/>
      <c r="O22" s="678"/>
      <c r="P22" s="678"/>
      <c r="Q22" s="678"/>
      <c r="R22" s="678"/>
      <c r="S22" s="678"/>
      <c r="T22" s="678"/>
      <c r="U22" s="678"/>
      <c r="V22" s="678"/>
      <c r="W22" s="678"/>
      <c r="X22" s="678"/>
      <c r="Y22" s="678"/>
      <c r="Z22" s="678"/>
      <c r="AA22" s="678"/>
      <c r="AB22" s="678"/>
      <c r="AC22" s="678"/>
      <c r="AD22" s="678"/>
      <c r="AE22" s="678"/>
      <c r="AF22" s="678"/>
      <c r="AG22" s="678"/>
      <c r="AH22" s="678"/>
      <c r="AI22" s="62"/>
      <c r="AJ22" s="678"/>
      <c r="AK22" s="677"/>
      <c r="AL22" s="677"/>
    </row>
    <row r="23" spans="1:38" x14ac:dyDescent="0.3">
      <c r="A23" s="462"/>
      <c r="B23" s="461" t="s">
        <v>130</v>
      </c>
      <c r="C23" s="62"/>
      <c r="D23" s="678"/>
      <c r="E23" s="678"/>
      <c r="F23" s="707"/>
      <c r="G23" s="678"/>
      <c r="H23" s="678"/>
      <c r="I23" s="678"/>
      <c r="J23" s="687"/>
      <c r="K23" s="687"/>
      <c r="L23" s="678"/>
      <c r="M23" s="678"/>
      <c r="N23" s="677"/>
      <c r="O23" s="677"/>
      <c r="P23" s="677"/>
      <c r="Q23" s="677"/>
      <c r="R23" s="677"/>
      <c r="S23" s="677"/>
      <c r="T23" s="677"/>
      <c r="U23" s="677"/>
      <c r="V23" s="677"/>
      <c r="W23" s="677"/>
      <c r="X23" s="677"/>
      <c r="Y23" s="677"/>
      <c r="Z23" s="677"/>
      <c r="AA23" s="677"/>
      <c r="AB23" s="677"/>
      <c r="AC23" s="677"/>
      <c r="AD23" s="677"/>
      <c r="AE23" s="677"/>
      <c r="AF23" s="677"/>
      <c r="AG23" s="677"/>
      <c r="AH23" s="677"/>
      <c r="AI23" s="62"/>
      <c r="AJ23" s="677"/>
      <c r="AK23" s="677"/>
      <c r="AL23" s="677"/>
    </row>
    <row r="24" spans="1:38" x14ac:dyDescent="0.3">
      <c r="A24" s="462"/>
      <c r="B24" s="464" t="s">
        <v>565</v>
      </c>
      <c r="C24" s="62"/>
      <c r="D24" s="678"/>
      <c r="E24" s="687"/>
      <c r="F24" s="687"/>
      <c r="G24" s="687"/>
      <c r="H24" s="687"/>
      <c r="I24" s="687"/>
      <c r="J24" s="687"/>
      <c r="K24" s="687"/>
      <c r="L24" s="678"/>
      <c r="M24" s="678"/>
      <c r="N24" s="677"/>
      <c r="O24" s="677"/>
      <c r="P24" s="677"/>
      <c r="Q24" s="677"/>
      <c r="R24" s="677"/>
      <c r="S24" s="677"/>
      <c r="T24" s="677"/>
      <c r="U24" s="677"/>
      <c r="V24" s="677"/>
      <c r="W24" s="677"/>
      <c r="X24" s="677"/>
      <c r="Y24" s="677"/>
      <c r="Z24" s="677"/>
      <c r="AA24" s="677"/>
      <c r="AB24" s="677"/>
      <c r="AC24" s="677"/>
      <c r="AD24" s="677"/>
      <c r="AE24" s="677"/>
      <c r="AF24" s="677"/>
      <c r="AG24" s="677"/>
      <c r="AH24" s="677"/>
      <c r="AI24" s="62"/>
      <c r="AJ24" s="677"/>
      <c r="AK24" s="677"/>
      <c r="AL24" s="677"/>
    </row>
    <row r="25" spans="1:38" x14ac:dyDescent="0.3">
      <c r="A25" s="462" t="s">
        <v>566</v>
      </c>
      <c r="B25" s="466" t="s">
        <v>567</v>
      </c>
      <c r="C25" s="62"/>
      <c r="D25" s="669"/>
      <c r="E25" s="669"/>
      <c r="F25" s="669"/>
      <c r="G25" s="669"/>
      <c r="H25" s="669"/>
      <c r="I25" s="669"/>
      <c r="J25" s="669"/>
      <c r="K25" s="669"/>
      <c r="L25" s="669"/>
      <c r="M25" s="669"/>
      <c r="N25" s="669"/>
      <c r="O25" s="669"/>
      <c r="P25" s="669"/>
      <c r="Q25" s="669"/>
      <c r="R25" s="669"/>
      <c r="S25" s="669"/>
      <c r="T25" s="669"/>
      <c r="U25" s="669"/>
      <c r="V25" s="669"/>
      <c r="W25" s="669"/>
      <c r="X25" s="669"/>
      <c r="Y25" s="669"/>
      <c r="Z25" s="669"/>
      <c r="AA25" s="669"/>
      <c r="AB25" s="669"/>
      <c r="AC25" s="669"/>
      <c r="AD25" s="669"/>
      <c r="AE25" s="669"/>
      <c r="AF25" s="669"/>
      <c r="AG25" s="669"/>
      <c r="AH25" s="669"/>
      <c r="AI25" s="62"/>
      <c r="AJ25" s="669"/>
      <c r="AK25" s="677"/>
      <c r="AL25" s="677"/>
    </row>
    <row r="26" spans="1:38" x14ac:dyDescent="0.3">
      <c r="A26" s="462" t="s">
        <v>568</v>
      </c>
      <c r="B26" s="466" t="s">
        <v>569</v>
      </c>
      <c r="C26" s="62"/>
      <c r="D26" s="669"/>
      <c r="E26" s="669"/>
      <c r="F26" s="669"/>
      <c r="G26" s="669"/>
      <c r="H26" s="669"/>
      <c r="I26" s="669"/>
      <c r="J26" s="669"/>
      <c r="K26" s="669"/>
      <c r="L26" s="669"/>
      <c r="M26" s="669"/>
      <c r="N26" s="669"/>
      <c r="O26" s="669"/>
      <c r="P26" s="669"/>
      <c r="Q26" s="669"/>
      <c r="R26" s="669"/>
      <c r="S26" s="669"/>
      <c r="T26" s="669"/>
      <c r="U26" s="669"/>
      <c r="V26" s="669"/>
      <c r="W26" s="669"/>
      <c r="X26" s="669"/>
      <c r="Y26" s="669"/>
      <c r="Z26" s="669"/>
      <c r="AA26" s="669"/>
      <c r="AB26" s="669"/>
      <c r="AC26" s="669"/>
      <c r="AD26" s="669"/>
      <c r="AE26" s="669"/>
      <c r="AF26" s="669"/>
      <c r="AG26" s="669"/>
      <c r="AH26" s="669"/>
      <c r="AI26" s="62"/>
      <c r="AJ26" s="669"/>
      <c r="AK26" s="677"/>
      <c r="AL26" s="677"/>
    </row>
    <row r="27" spans="1:38" x14ac:dyDescent="0.3">
      <c r="A27" s="462" t="s">
        <v>570</v>
      </c>
      <c r="B27" s="461" t="s">
        <v>571</v>
      </c>
      <c r="C27" s="62"/>
      <c r="D27" s="669"/>
      <c r="E27" s="669"/>
      <c r="F27" s="669"/>
      <c r="G27" s="669"/>
      <c r="H27" s="669"/>
      <c r="I27" s="669"/>
      <c r="J27" s="669"/>
      <c r="K27" s="669"/>
      <c r="L27" s="669"/>
      <c r="M27" s="669"/>
      <c r="N27" s="669"/>
      <c r="O27" s="669"/>
      <c r="P27" s="669"/>
      <c r="Q27" s="669"/>
      <c r="R27" s="669"/>
      <c r="S27" s="669"/>
      <c r="T27" s="669"/>
      <c r="U27" s="669"/>
      <c r="V27" s="669"/>
      <c r="W27" s="669"/>
      <c r="X27" s="669"/>
      <c r="Y27" s="669"/>
      <c r="Z27" s="669"/>
      <c r="AA27" s="669"/>
      <c r="AB27" s="669"/>
      <c r="AC27" s="669"/>
      <c r="AD27" s="669"/>
      <c r="AE27" s="669"/>
      <c r="AF27" s="669"/>
      <c r="AG27" s="669"/>
      <c r="AH27" s="669"/>
      <c r="AI27" s="62"/>
      <c r="AJ27" s="669"/>
      <c r="AK27" s="677"/>
      <c r="AL27" s="677"/>
    </row>
    <row r="28" spans="1:38" x14ac:dyDescent="0.3">
      <c r="A28" s="462" t="s">
        <v>572</v>
      </c>
      <c r="B28" s="461" t="s">
        <v>573</v>
      </c>
      <c r="C28" s="62"/>
      <c r="D28" s="669"/>
      <c r="E28" s="669"/>
      <c r="F28" s="669"/>
      <c r="G28" s="669"/>
      <c r="H28" s="669"/>
      <c r="I28" s="669"/>
      <c r="J28" s="669"/>
      <c r="K28" s="669"/>
      <c r="L28" s="669"/>
      <c r="M28" s="669"/>
      <c r="N28" s="669"/>
      <c r="O28" s="669"/>
      <c r="P28" s="669"/>
      <c r="Q28" s="669"/>
      <c r="R28" s="669"/>
      <c r="S28" s="669"/>
      <c r="T28" s="669"/>
      <c r="U28" s="669"/>
      <c r="V28" s="669"/>
      <c r="W28" s="669"/>
      <c r="X28" s="669"/>
      <c r="Y28" s="669"/>
      <c r="Z28" s="669"/>
      <c r="AA28" s="669"/>
      <c r="AB28" s="669"/>
      <c r="AC28" s="669"/>
      <c r="AD28" s="669"/>
      <c r="AE28" s="669"/>
      <c r="AF28" s="669"/>
      <c r="AG28" s="669"/>
      <c r="AH28" s="669"/>
      <c r="AI28" s="62"/>
      <c r="AJ28" s="669"/>
      <c r="AK28" s="677"/>
      <c r="AL28" s="677"/>
    </row>
    <row r="29" spans="1:38" x14ac:dyDescent="0.3">
      <c r="A29" s="462" t="s">
        <v>574</v>
      </c>
      <c r="B29" s="461" t="s">
        <v>575</v>
      </c>
      <c r="C29" s="62"/>
      <c r="D29" s="669"/>
      <c r="E29" s="669"/>
      <c r="F29" s="669"/>
      <c r="G29" s="669"/>
      <c r="H29" s="669"/>
      <c r="I29" s="669"/>
      <c r="J29" s="669"/>
      <c r="K29" s="669"/>
      <c r="L29" s="669"/>
      <c r="M29" s="669"/>
      <c r="N29" s="669"/>
      <c r="O29" s="669"/>
      <c r="P29" s="669"/>
      <c r="Q29" s="669"/>
      <c r="R29" s="669"/>
      <c r="S29" s="669"/>
      <c r="T29" s="669"/>
      <c r="U29" s="669"/>
      <c r="V29" s="669"/>
      <c r="W29" s="669"/>
      <c r="X29" s="669"/>
      <c r="Y29" s="669"/>
      <c r="Z29" s="669"/>
      <c r="AA29" s="669"/>
      <c r="AB29" s="669"/>
      <c r="AC29" s="669"/>
      <c r="AD29" s="669"/>
      <c r="AE29" s="669"/>
      <c r="AF29" s="669"/>
      <c r="AG29" s="669"/>
      <c r="AH29" s="669"/>
      <c r="AI29" s="62"/>
      <c r="AJ29" s="669"/>
      <c r="AK29" s="677"/>
      <c r="AL29" s="677"/>
    </row>
    <row r="30" spans="1:38" ht="14.5" x14ac:dyDescent="0.45">
      <c r="A30" s="462" t="s">
        <v>885</v>
      </c>
      <c r="B30" s="461" t="s">
        <v>886</v>
      </c>
      <c r="C30" s="62"/>
      <c r="D30" s="701"/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701"/>
      <c r="Q30" s="701"/>
      <c r="R30" s="701"/>
      <c r="S30" s="701"/>
      <c r="T30" s="701"/>
      <c r="U30" s="701"/>
      <c r="V30" s="701"/>
      <c r="W30" s="701"/>
      <c r="X30" s="701"/>
      <c r="Y30" s="701"/>
      <c r="Z30" s="701"/>
      <c r="AA30" s="701"/>
      <c r="AB30" s="701"/>
      <c r="AC30" s="701"/>
      <c r="AD30" s="701"/>
      <c r="AE30" s="701"/>
      <c r="AF30" s="701"/>
      <c r="AG30" s="701"/>
      <c r="AH30" s="701"/>
      <c r="AI30" s="62"/>
      <c r="AJ30" s="669"/>
      <c r="AK30" s="677"/>
      <c r="AL30" s="677"/>
    </row>
    <row r="31" spans="1:38" x14ac:dyDescent="0.3">
      <c r="A31" s="462"/>
      <c r="B31" s="474" t="s">
        <v>524</v>
      </c>
      <c r="C31" s="62"/>
      <c r="D31" s="678"/>
      <c r="E31" s="678"/>
      <c r="F31" s="678"/>
      <c r="G31" s="678"/>
      <c r="H31" s="678"/>
      <c r="I31" s="678"/>
      <c r="J31" s="678"/>
      <c r="K31" s="678"/>
      <c r="L31" s="678"/>
      <c r="M31" s="678"/>
      <c r="N31" s="678"/>
      <c r="O31" s="678"/>
      <c r="P31" s="678"/>
      <c r="Q31" s="678"/>
      <c r="R31" s="678"/>
      <c r="S31" s="678"/>
      <c r="T31" s="678"/>
      <c r="U31" s="678"/>
      <c r="V31" s="678"/>
      <c r="W31" s="678"/>
      <c r="X31" s="678"/>
      <c r="Y31" s="678"/>
      <c r="Z31" s="678"/>
      <c r="AA31" s="678"/>
      <c r="AB31" s="678"/>
      <c r="AC31" s="678"/>
      <c r="AD31" s="678"/>
      <c r="AE31" s="678"/>
      <c r="AF31" s="678"/>
      <c r="AG31" s="678"/>
      <c r="AH31" s="678"/>
      <c r="AI31" s="62"/>
      <c r="AJ31" s="669"/>
      <c r="AK31" s="677"/>
      <c r="AL31" s="677"/>
    </row>
    <row r="32" spans="1:38" x14ac:dyDescent="0.3">
      <c r="A32" s="462"/>
      <c r="B32" s="486" t="s">
        <v>131</v>
      </c>
      <c r="C32" s="62"/>
      <c r="D32" s="678"/>
      <c r="E32" s="678"/>
      <c r="F32" s="707"/>
      <c r="G32" s="678"/>
      <c r="H32" s="678"/>
      <c r="I32" s="678"/>
      <c r="J32" s="687"/>
      <c r="K32" s="687"/>
      <c r="L32" s="678"/>
      <c r="M32" s="678"/>
      <c r="N32" s="677"/>
      <c r="O32" s="677"/>
      <c r="P32" s="677"/>
      <c r="Q32" s="677"/>
      <c r="R32" s="677"/>
      <c r="S32" s="677"/>
      <c r="T32" s="677"/>
      <c r="U32" s="677"/>
      <c r="V32" s="677"/>
      <c r="W32" s="677"/>
      <c r="X32" s="677"/>
      <c r="Y32" s="677"/>
      <c r="Z32" s="677"/>
      <c r="AA32" s="677"/>
      <c r="AB32" s="677"/>
      <c r="AC32" s="677"/>
      <c r="AD32" s="677"/>
      <c r="AE32" s="677"/>
      <c r="AF32" s="677"/>
      <c r="AG32" s="677"/>
      <c r="AH32" s="677"/>
      <c r="AI32" s="62"/>
      <c r="AJ32" s="677"/>
      <c r="AK32" s="677"/>
      <c r="AL32" s="677"/>
    </row>
    <row r="33" spans="1:38" x14ac:dyDescent="0.3">
      <c r="A33" s="462" t="s">
        <v>576</v>
      </c>
      <c r="B33" s="461" t="s">
        <v>577</v>
      </c>
      <c r="C33" s="62"/>
      <c r="D33" s="669"/>
      <c r="E33" s="707"/>
      <c r="F33" s="707"/>
      <c r="G33" s="707"/>
      <c r="H33" s="707"/>
      <c r="I33" s="707"/>
      <c r="J33" s="707"/>
      <c r="K33" s="707"/>
      <c r="L33" s="669"/>
      <c r="M33" s="669"/>
      <c r="N33" s="669"/>
      <c r="O33" s="669"/>
      <c r="P33" s="669"/>
      <c r="Q33" s="669"/>
      <c r="R33" s="669"/>
      <c r="S33" s="669"/>
      <c r="T33" s="669"/>
      <c r="U33" s="669"/>
      <c r="V33" s="669"/>
      <c r="W33" s="669"/>
      <c r="X33" s="669"/>
      <c r="Y33" s="669"/>
      <c r="Z33" s="669"/>
      <c r="AA33" s="669"/>
      <c r="AB33" s="669"/>
      <c r="AC33" s="669"/>
      <c r="AD33" s="669"/>
      <c r="AE33" s="669"/>
      <c r="AF33" s="669"/>
      <c r="AG33" s="669"/>
      <c r="AH33" s="669"/>
      <c r="AI33" s="62"/>
      <c r="AJ33" s="669"/>
      <c r="AK33" s="677"/>
      <c r="AL33" s="677"/>
    </row>
    <row r="34" spans="1:38" x14ac:dyDescent="0.3">
      <c r="A34" s="462"/>
      <c r="B34" s="461"/>
      <c r="C34" s="62"/>
      <c r="D34" s="678"/>
      <c r="E34" s="687"/>
      <c r="F34" s="687"/>
      <c r="G34" s="687"/>
      <c r="H34" s="687"/>
      <c r="I34" s="687"/>
      <c r="J34" s="687"/>
      <c r="K34" s="687"/>
      <c r="L34" s="678"/>
      <c r="M34" s="678"/>
      <c r="N34" s="677"/>
      <c r="O34" s="677"/>
      <c r="P34" s="677"/>
      <c r="Q34" s="677"/>
      <c r="R34" s="677"/>
      <c r="S34" s="677"/>
      <c r="T34" s="677"/>
      <c r="U34" s="677"/>
      <c r="V34" s="677"/>
      <c r="W34" s="677"/>
      <c r="X34" s="677"/>
      <c r="Y34" s="677"/>
      <c r="Z34" s="677"/>
      <c r="AA34" s="677"/>
      <c r="AB34" s="677"/>
      <c r="AC34" s="677"/>
      <c r="AD34" s="677"/>
      <c r="AE34" s="677"/>
      <c r="AF34" s="677"/>
      <c r="AG34" s="677"/>
      <c r="AH34" s="677"/>
      <c r="AI34" s="62"/>
      <c r="AJ34" s="677"/>
      <c r="AK34" s="677"/>
      <c r="AL34" s="677"/>
    </row>
    <row r="35" spans="1:38" x14ac:dyDescent="0.3">
      <c r="A35" s="462"/>
      <c r="B35" s="463" t="s">
        <v>578</v>
      </c>
      <c r="C35" s="62"/>
      <c r="D35" s="678"/>
      <c r="E35" s="687"/>
      <c r="F35" s="687"/>
      <c r="G35" s="687"/>
      <c r="H35" s="687"/>
      <c r="I35" s="687"/>
      <c r="J35" s="687"/>
      <c r="K35" s="687"/>
      <c r="L35" s="678"/>
      <c r="M35" s="678"/>
      <c r="N35" s="677"/>
      <c r="O35" s="677"/>
      <c r="P35" s="677"/>
      <c r="Q35" s="677"/>
      <c r="R35" s="677"/>
      <c r="S35" s="677"/>
      <c r="T35" s="677"/>
      <c r="U35" s="677"/>
      <c r="V35" s="677"/>
      <c r="W35" s="677"/>
      <c r="X35" s="677"/>
      <c r="Y35" s="677"/>
      <c r="Z35" s="677"/>
      <c r="AA35" s="677"/>
      <c r="AB35" s="677"/>
      <c r="AC35" s="677"/>
      <c r="AD35" s="677"/>
      <c r="AE35" s="677"/>
      <c r="AF35" s="677"/>
      <c r="AG35" s="677"/>
      <c r="AH35" s="677"/>
      <c r="AI35" s="62"/>
      <c r="AJ35" s="677"/>
      <c r="AK35" s="677"/>
      <c r="AL35" s="677"/>
    </row>
    <row r="36" spans="1:38" x14ac:dyDescent="0.3">
      <c r="A36" s="462"/>
      <c r="B36" s="464" t="s">
        <v>549</v>
      </c>
      <c r="C36" s="62"/>
      <c r="D36" s="678"/>
      <c r="E36" s="687"/>
      <c r="F36" s="687"/>
      <c r="G36" s="687"/>
      <c r="H36" s="687"/>
      <c r="I36" s="687"/>
      <c r="J36" s="687"/>
      <c r="K36" s="687"/>
      <c r="L36" s="678"/>
      <c r="M36" s="678"/>
      <c r="N36" s="677"/>
      <c r="O36" s="677"/>
      <c r="P36" s="677"/>
      <c r="Q36" s="677"/>
      <c r="R36" s="677"/>
      <c r="S36" s="677"/>
      <c r="T36" s="677"/>
      <c r="U36" s="677"/>
      <c r="V36" s="677"/>
      <c r="W36" s="677"/>
      <c r="X36" s="677"/>
      <c r="Y36" s="677"/>
      <c r="Z36" s="677"/>
      <c r="AA36" s="677"/>
      <c r="AB36" s="677"/>
      <c r="AC36" s="677"/>
      <c r="AD36" s="677"/>
      <c r="AE36" s="677"/>
      <c r="AF36" s="677"/>
      <c r="AG36" s="677"/>
      <c r="AH36" s="677"/>
      <c r="AI36" s="62"/>
      <c r="AJ36" s="677"/>
      <c r="AK36" s="677"/>
      <c r="AL36" s="677"/>
    </row>
    <row r="37" spans="1:38" x14ac:dyDescent="0.3">
      <c r="A37" s="462" t="s">
        <v>579</v>
      </c>
      <c r="B37" s="461" t="s">
        <v>580</v>
      </c>
      <c r="C37" s="62"/>
      <c r="D37" s="669"/>
      <c r="E37" s="669"/>
      <c r="F37" s="669"/>
      <c r="G37" s="669"/>
      <c r="H37" s="669"/>
      <c r="I37" s="669"/>
      <c r="J37" s="669"/>
      <c r="K37" s="669"/>
      <c r="L37" s="669"/>
      <c r="M37" s="669"/>
      <c r="N37" s="669"/>
      <c r="O37" s="669"/>
      <c r="P37" s="669"/>
      <c r="Q37" s="669"/>
      <c r="R37" s="669"/>
      <c r="S37" s="669"/>
      <c r="T37" s="669"/>
      <c r="U37" s="669"/>
      <c r="V37" s="669"/>
      <c r="W37" s="669"/>
      <c r="X37" s="669"/>
      <c r="Y37" s="669"/>
      <c r="Z37" s="669"/>
      <c r="AA37" s="669"/>
      <c r="AB37" s="669"/>
      <c r="AC37" s="669"/>
      <c r="AD37" s="669"/>
      <c r="AE37" s="669"/>
      <c r="AF37" s="669"/>
      <c r="AG37" s="669"/>
      <c r="AH37" s="669"/>
      <c r="AI37" s="62"/>
      <c r="AJ37" s="669"/>
      <c r="AK37" s="677"/>
      <c r="AL37" s="677"/>
    </row>
    <row r="38" spans="1:38" x14ac:dyDescent="0.3">
      <c r="A38" s="462" t="s">
        <v>581</v>
      </c>
      <c r="B38" s="461" t="s">
        <v>582</v>
      </c>
      <c r="C38" s="62"/>
      <c r="D38" s="669"/>
      <c r="E38" s="669"/>
      <c r="F38" s="669"/>
      <c r="G38" s="669"/>
      <c r="H38" s="669"/>
      <c r="I38" s="669"/>
      <c r="J38" s="669"/>
      <c r="K38" s="669"/>
      <c r="L38" s="669"/>
      <c r="M38" s="669"/>
      <c r="N38" s="669"/>
      <c r="O38" s="669"/>
      <c r="P38" s="669"/>
      <c r="Q38" s="669"/>
      <c r="R38" s="669"/>
      <c r="S38" s="669"/>
      <c r="T38" s="669"/>
      <c r="U38" s="669"/>
      <c r="V38" s="669"/>
      <c r="W38" s="669"/>
      <c r="X38" s="669"/>
      <c r="Y38" s="669"/>
      <c r="Z38" s="669"/>
      <c r="AA38" s="669"/>
      <c r="AB38" s="669"/>
      <c r="AC38" s="669"/>
      <c r="AD38" s="669"/>
      <c r="AE38" s="669"/>
      <c r="AF38" s="669"/>
      <c r="AG38" s="669"/>
      <c r="AH38" s="669"/>
      <c r="AI38" s="62"/>
      <c r="AJ38" s="669"/>
      <c r="AK38" s="677"/>
      <c r="AL38" s="677"/>
    </row>
    <row r="39" spans="1:38" x14ac:dyDescent="0.3">
      <c r="A39" s="462" t="s">
        <v>583</v>
      </c>
      <c r="B39" s="461" t="s">
        <v>584</v>
      </c>
      <c r="C39" s="62"/>
      <c r="D39" s="669"/>
      <c r="E39" s="669"/>
      <c r="F39" s="669"/>
      <c r="G39" s="669"/>
      <c r="H39" s="669"/>
      <c r="I39" s="669"/>
      <c r="J39" s="669"/>
      <c r="K39" s="669"/>
      <c r="L39" s="669"/>
      <c r="M39" s="669"/>
      <c r="N39" s="669"/>
      <c r="O39" s="669"/>
      <c r="P39" s="669"/>
      <c r="Q39" s="669"/>
      <c r="R39" s="669"/>
      <c r="S39" s="669"/>
      <c r="T39" s="669"/>
      <c r="U39" s="669"/>
      <c r="V39" s="669"/>
      <c r="W39" s="669"/>
      <c r="X39" s="669"/>
      <c r="Y39" s="669"/>
      <c r="Z39" s="669"/>
      <c r="AA39" s="669"/>
      <c r="AB39" s="669"/>
      <c r="AC39" s="669"/>
      <c r="AD39" s="669"/>
      <c r="AE39" s="669"/>
      <c r="AF39" s="669"/>
      <c r="AG39" s="669"/>
      <c r="AH39" s="669"/>
      <c r="AI39" s="62"/>
      <c r="AJ39" s="669"/>
      <c r="AK39" s="677"/>
      <c r="AL39" s="677"/>
    </row>
    <row r="40" spans="1:38" x14ac:dyDescent="0.3">
      <c r="A40" s="462" t="s">
        <v>585</v>
      </c>
      <c r="B40" s="461" t="s">
        <v>556</v>
      </c>
      <c r="C40" s="62"/>
      <c r="D40" s="669"/>
      <c r="E40" s="669"/>
      <c r="F40" s="669"/>
      <c r="G40" s="669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69"/>
      <c r="V40" s="669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62"/>
      <c r="AJ40" s="669"/>
      <c r="AK40" s="677"/>
      <c r="AL40" s="677"/>
    </row>
    <row r="41" spans="1:38" x14ac:dyDescent="0.3">
      <c r="A41" s="462" t="s">
        <v>586</v>
      </c>
      <c r="B41" s="466" t="s">
        <v>587</v>
      </c>
      <c r="C41" s="62"/>
      <c r="D41" s="669"/>
      <c r="E41" s="669"/>
      <c r="F41" s="669"/>
      <c r="G41" s="669"/>
      <c r="H41" s="669"/>
      <c r="I41" s="669"/>
      <c r="J41" s="669"/>
      <c r="K41" s="669"/>
      <c r="L41" s="669"/>
      <c r="M41" s="669"/>
      <c r="N41" s="669"/>
      <c r="O41" s="669"/>
      <c r="P41" s="669"/>
      <c r="Q41" s="669"/>
      <c r="R41" s="669"/>
      <c r="S41" s="669"/>
      <c r="T41" s="669"/>
      <c r="U41" s="669"/>
      <c r="V41" s="669"/>
      <c r="W41" s="669"/>
      <c r="X41" s="669"/>
      <c r="Y41" s="669"/>
      <c r="Z41" s="669"/>
      <c r="AA41" s="669"/>
      <c r="AB41" s="669"/>
      <c r="AC41" s="669"/>
      <c r="AD41" s="669"/>
      <c r="AE41" s="669"/>
      <c r="AF41" s="669"/>
      <c r="AG41" s="669"/>
      <c r="AH41" s="669"/>
      <c r="AI41" s="62"/>
      <c r="AJ41" s="669"/>
      <c r="AK41" s="677"/>
      <c r="AL41" s="677"/>
    </row>
    <row r="42" spans="1:38" x14ac:dyDescent="0.3">
      <c r="A42" s="462" t="s">
        <v>588</v>
      </c>
      <c r="B42" s="461" t="s">
        <v>589</v>
      </c>
      <c r="C42" s="62"/>
      <c r="D42" s="669"/>
      <c r="E42" s="669"/>
      <c r="F42" s="669"/>
      <c r="G42" s="669"/>
      <c r="H42" s="669"/>
      <c r="I42" s="669"/>
      <c r="J42" s="669"/>
      <c r="K42" s="669"/>
      <c r="L42" s="669"/>
      <c r="M42" s="669"/>
      <c r="N42" s="669"/>
      <c r="O42" s="669"/>
      <c r="P42" s="669"/>
      <c r="Q42" s="669"/>
      <c r="R42" s="669"/>
      <c r="S42" s="669"/>
      <c r="T42" s="669"/>
      <c r="U42" s="669"/>
      <c r="V42" s="669"/>
      <c r="W42" s="669"/>
      <c r="X42" s="669"/>
      <c r="Y42" s="669"/>
      <c r="Z42" s="669"/>
      <c r="AA42" s="669"/>
      <c r="AB42" s="669"/>
      <c r="AC42" s="669"/>
      <c r="AD42" s="669"/>
      <c r="AE42" s="669"/>
      <c r="AF42" s="669"/>
      <c r="AG42" s="669"/>
      <c r="AH42" s="669"/>
      <c r="AI42" s="62"/>
      <c r="AJ42" s="669"/>
      <c r="AK42" s="677"/>
      <c r="AL42" s="677"/>
    </row>
    <row r="43" spans="1:38" ht="14.5" x14ac:dyDescent="0.45">
      <c r="A43" s="556" t="s">
        <v>590</v>
      </c>
      <c r="B43" s="461" t="s">
        <v>591</v>
      </c>
      <c r="C43" s="62"/>
      <c r="D43" s="701"/>
      <c r="E43" s="701"/>
      <c r="F43" s="701"/>
      <c r="G43" s="701"/>
      <c r="H43" s="701"/>
      <c r="I43" s="701"/>
      <c r="J43" s="701"/>
      <c r="K43" s="701"/>
      <c r="L43" s="701"/>
      <c r="M43" s="701"/>
      <c r="N43" s="701"/>
      <c r="O43" s="701"/>
      <c r="P43" s="701"/>
      <c r="Q43" s="701"/>
      <c r="R43" s="701"/>
      <c r="S43" s="701"/>
      <c r="T43" s="701"/>
      <c r="U43" s="701"/>
      <c r="V43" s="701"/>
      <c r="W43" s="701"/>
      <c r="X43" s="701"/>
      <c r="Y43" s="701"/>
      <c r="Z43" s="701"/>
      <c r="AA43" s="701"/>
      <c r="AB43" s="701"/>
      <c r="AC43" s="701"/>
      <c r="AD43" s="701"/>
      <c r="AE43" s="701"/>
      <c r="AF43" s="701"/>
      <c r="AG43" s="701"/>
      <c r="AH43" s="701"/>
      <c r="AI43" s="62"/>
      <c r="AJ43" s="669"/>
      <c r="AK43" s="677"/>
      <c r="AL43" s="677"/>
    </row>
    <row r="44" spans="1:38" x14ac:dyDescent="0.3">
      <c r="A44" s="462"/>
      <c r="B44" s="474" t="s">
        <v>524</v>
      </c>
      <c r="C44" s="62"/>
      <c r="D44" s="678"/>
      <c r="E44" s="678"/>
      <c r="F44" s="678"/>
      <c r="G44" s="678"/>
      <c r="H44" s="678"/>
      <c r="I44" s="678"/>
      <c r="J44" s="678"/>
      <c r="K44" s="678"/>
      <c r="L44" s="678"/>
      <c r="M44" s="678"/>
      <c r="N44" s="678"/>
      <c r="O44" s="678"/>
      <c r="P44" s="678"/>
      <c r="Q44" s="678"/>
      <c r="R44" s="678"/>
      <c r="S44" s="678"/>
      <c r="T44" s="678"/>
      <c r="U44" s="678"/>
      <c r="V44" s="678"/>
      <c r="W44" s="678"/>
      <c r="X44" s="678"/>
      <c r="Y44" s="678"/>
      <c r="Z44" s="678"/>
      <c r="AA44" s="678"/>
      <c r="AB44" s="678"/>
      <c r="AC44" s="678"/>
      <c r="AD44" s="678"/>
      <c r="AE44" s="678"/>
      <c r="AF44" s="678"/>
      <c r="AG44" s="678"/>
      <c r="AH44" s="678"/>
      <c r="AI44" s="62"/>
      <c r="AJ44" s="669"/>
      <c r="AK44" s="677"/>
      <c r="AL44" s="677"/>
    </row>
    <row r="45" spans="1:38" x14ac:dyDescent="0.3">
      <c r="A45" s="462"/>
      <c r="B45" s="461"/>
      <c r="C45" s="62"/>
      <c r="D45" s="678"/>
      <c r="E45" s="687"/>
      <c r="F45" s="687"/>
      <c r="G45" s="687"/>
      <c r="H45" s="687"/>
      <c r="I45" s="687"/>
      <c r="J45" s="687"/>
      <c r="K45" s="687"/>
      <c r="L45" s="678"/>
      <c r="M45" s="678"/>
      <c r="N45" s="677"/>
      <c r="O45" s="677"/>
      <c r="P45" s="677"/>
      <c r="Q45" s="677"/>
      <c r="R45" s="677"/>
      <c r="S45" s="677"/>
      <c r="T45" s="677"/>
      <c r="U45" s="677"/>
      <c r="V45" s="677"/>
      <c r="W45" s="677"/>
      <c r="X45" s="677"/>
      <c r="Y45" s="677"/>
      <c r="Z45" s="677"/>
      <c r="AA45" s="677"/>
      <c r="AB45" s="677"/>
      <c r="AC45" s="677"/>
      <c r="AD45" s="677"/>
      <c r="AE45" s="677"/>
      <c r="AF45" s="677"/>
      <c r="AG45" s="677"/>
      <c r="AH45" s="677"/>
      <c r="AI45" s="62"/>
      <c r="AJ45" s="677"/>
      <c r="AK45" s="677"/>
      <c r="AL45" s="677"/>
    </row>
    <row r="46" spans="1:38" x14ac:dyDescent="0.3">
      <c r="A46" s="462"/>
      <c r="B46" s="464" t="s">
        <v>565</v>
      </c>
      <c r="C46" s="62"/>
      <c r="D46" s="678"/>
      <c r="E46" s="687"/>
      <c r="F46" s="687"/>
      <c r="G46" s="687"/>
      <c r="H46" s="687"/>
      <c r="I46" s="687"/>
      <c r="J46" s="687"/>
      <c r="K46" s="687"/>
      <c r="L46" s="678"/>
      <c r="M46" s="678"/>
      <c r="N46" s="677"/>
      <c r="O46" s="677"/>
      <c r="P46" s="677"/>
      <c r="Q46" s="677"/>
      <c r="R46" s="677"/>
      <c r="S46" s="677"/>
      <c r="T46" s="677"/>
      <c r="U46" s="677"/>
      <c r="V46" s="677"/>
      <c r="W46" s="677"/>
      <c r="X46" s="677"/>
      <c r="Y46" s="677"/>
      <c r="Z46" s="677"/>
      <c r="AA46" s="677"/>
      <c r="AB46" s="677"/>
      <c r="AC46" s="677"/>
      <c r="AD46" s="677"/>
      <c r="AE46" s="677"/>
      <c r="AF46" s="677"/>
      <c r="AG46" s="677"/>
      <c r="AH46" s="677"/>
      <c r="AI46" s="62"/>
      <c r="AJ46" s="677"/>
      <c r="AK46" s="677"/>
      <c r="AL46" s="677"/>
    </row>
    <row r="47" spans="1:38" x14ac:dyDescent="0.3">
      <c r="A47" s="462" t="s">
        <v>592</v>
      </c>
      <c r="B47" s="461" t="s">
        <v>593</v>
      </c>
      <c r="C47" s="62"/>
      <c r="D47" s="669"/>
      <c r="E47" s="669"/>
      <c r="F47" s="669"/>
      <c r="G47" s="669"/>
      <c r="H47" s="669"/>
      <c r="I47" s="669"/>
      <c r="J47" s="669"/>
      <c r="K47" s="669"/>
      <c r="L47" s="669"/>
      <c r="M47" s="669"/>
      <c r="N47" s="669"/>
      <c r="O47" s="669"/>
      <c r="P47" s="669"/>
      <c r="Q47" s="669"/>
      <c r="R47" s="669"/>
      <c r="S47" s="669"/>
      <c r="T47" s="669"/>
      <c r="U47" s="669"/>
      <c r="V47" s="669"/>
      <c r="W47" s="669"/>
      <c r="X47" s="669"/>
      <c r="Y47" s="669"/>
      <c r="Z47" s="669"/>
      <c r="AA47" s="669"/>
      <c r="AB47" s="669"/>
      <c r="AC47" s="669"/>
      <c r="AD47" s="669"/>
      <c r="AE47" s="669"/>
      <c r="AF47" s="669"/>
      <c r="AG47" s="669"/>
      <c r="AH47" s="669"/>
      <c r="AI47" s="62"/>
      <c r="AJ47" s="669"/>
      <c r="AK47" s="677"/>
      <c r="AL47" s="677"/>
    </row>
    <row r="48" spans="1:38" x14ac:dyDescent="0.3">
      <c r="A48" s="462" t="s">
        <v>594</v>
      </c>
      <c r="B48" s="461" t="s">
        <v>569</v>
      </c>
      <c r="C48" s="62"/>
      <c r="D48" s="669"/>
      <c r="E48" s="669"/>
      <c r="F48" s="669"/>
      <c r="G48" s="669"/>
      <c r="H48" s="669"/>
      <c r="I48" s="669"/>
      <c r="J48" s="669"/>
      <c r="K48" s="669"/>
      <c r="L48" s="669"/>
      <c r="M48" s="669"/>
      <c r="N48" s="669"/>
      <c r="O48" s="669"/>
      <c r="P48" s="669"/>
      <c r="Q48" s="669"/>
      <c r="R48" s="669"/>
      <c r="S48" s="669"/>
      <c r="T48" s="669"/>
      <c r="U48" s="669"/>
      <c r="V48" s="669"/>
      <c r="W48" s="669"/>
      <c r="X48" s="669"/>
      <c r="Y48" s="669"/>
      <c r="Z48" s="669"/>
      <c r="AA48" s="669"/>
      <c r="AB48" s="669"/>
      <c r="AC48" s="669"/>
      <c r="AD48" s="669"/>
      <c r="AE48" s="669"/>
      <c r="AF48" s="669"/>
      <c r="AG48" s="669"/>
      <c r="AH48" s="669"/>
      <c r="AI48" s="62"/>
      <c r="AJ48" s="669"/>
      <c r="AK48" s="677"/>
      <c r="AL48" s="677"/>
    </row>
    <row r="49" spans="1:38" x14ac:dyDescent="0.3">
      <c r="A49" s="462" t="s">
        <v>595</v>
      </c>
      <c r="B49" s="461" t="s">
        <v>596</v>
      </c>
      <c r="C49" s="62"/>
      <c r="D49" s="669"/>
      <c r="E49" s="669"/>
      <c r="F49" s="669"/>
      <c r="G49" s="669"/>
      <c r="H49" s="669"/>
      <c r="I49" s="669"/>
      <c r="J49" s="669"/>
      <c r="K49" s="669"/>
      <c r="L49" s="669"/>
      <c r="M49" s="669"/>
      <c r="N49" s="669"/>
      <c r="O49" s="669"/>
      <c r="P49" s="669"/>
      <c r="Q49" s="669"/>
      <c r="R49" s="669"/>
      <c r="S49" s="669"/>
      <c r="T49" s="669"/>
      <c r="U49" s="669"/>
      <c r="V49" s="669"/>
      <c r="W49" s="669"/>
      <c r="X49" s="669"/>
      <c r="Y49" s="669"/>
      <c r="Z49" s="669"/>
      <c r="AA49" s="669"/>
      <c r="AB49" s="669"/>
      <c r="AC49" s="669"/>
      <c r="AD49" s="669"/>
      <c r="AE49" s="669"/>
      <c r="AF49" s="669"/>
      <c r="AG49" s="669"/>
      <c r="AH49" s="669"/>
      <c r="AI49" s="62"/>
      <c r="AJ49" s="669"/>
      <c r="AK49" s="677"/>
      <c r="AL49" s="677"/>
    </row>
    <row r="50" spans="1:38" x14ac:dyDescent="0.3">
      <c r="A50" s="462" t="s">
        <v>597</v>
      </c>
      <c r="B50" s="461" t="s">
        <v>573</v>
      </c>
      <c r="C50" s="62"/>
      <c r="D50" s="669"/>
      <c r="E50" s="669"/>
      <c r="F50" s="669"/>
      <c r="G50" s="669"/>
      <c r="H50" s="669"/>
      <c r="I50" s="669"/>
      <c r="J50" s="669"/>
      <c r="K50" s="669"/>
      <c r="L50" s="669"/>
      <c r="M50" s="669"/>
      <c r="N50" s="669"/>
      <c r="O50" s="669"/>
      <c r="P50" s="669"/>
      <c r="Q50" s="669"/>
      <c r="R50" s="669"/>
      <c r="S50" s="669"/>
      <c r="T50" s="669"/>
      <c r="U50" s="669"/>
      <c r="V50" s="669"/>
      <c r="W50" s="669"/>
      <c r="X50" s="669"/>
      <c r="Y50" s="669"/>
      <c r="Z50" s="669"/>
      <c r="AA50" s="669"/>
      <c r="AB50" s="669"/>
      <c r="AC50" s="669"/>
      <c r="AD50" s="669"/>
      <c r="AE50" s="669"/>
      <c r="AF50" s="669"/>
      <c r="AG50" s="669"/>
      <c r="AH50" s="669"/>
      <c r="AI50" s="62"/>
      <c r="AJ50" s="669"/>
      <c r="AK50" s="677"/>
      <c r="AL50" s="677"/>
    </row>
    <row r="51" spans="1:38" ht="14.5" x14ac:dyDescent="0.45">
      <c r="A51" s="462" t="s">
        <v>598</v>
      </c>
      <c r="B51" s="461" t="s">
        <v>599</v>
      </c>
      <c r="C51" s="62"/>
      <c r="D51" s="701"/>
      <c r="E51" s="701"/>
      <c r="F51" s="701"/>
      <c r="G51" s="701"/>
      <c r="H51" s="701"/>
      <c r="I51" s="701"/>
      <c r="J51" s="701"/>
      <c r="K51" s="701"/>
      <c r="L51" s="701"/>
      <c r="M51" s="701"/>
      <c r="N51" s="701"/>
      <c r="O51" s="701"/>
      <c r="P51" s="701"/>
      <c r="Q51" s="701"/>
      <c r="R51" s="701"/>
      <c r="S51" s="701"/>
      <c r="T51" s="701"/>
      <c r="U51" s="701"/>
      <c r="V51" s="701"/>
      <c r="W51" s="701"/>
      <c r="X51" s="701"/>
      <c r="Y51" s="701"/>
      <c r="Z51" s="701"/>
      <c r="AA51" s="701"/>
      <c r="AB51" s="701"/>
      <c r="AC51" s="701"/>
      <c r="AD51" s="701"/>
      <c r="AE51" s="701"/>
      <c r="AF51" s="701"/>
      <c r="AG51" s="701"/>
      <c r="AH51" s="701"/>
      <c r="AI51" s="62"/>
      <c r="AJ51" s="669"/>
      <c r="AK51" s="677"/>
      <c r="AL51" s="677"/>
    </row>
    <row r="52" spans="1:38" x14ac:dyDescent="0.3">
      <c r="A52" s="462"/>
      <c r="B52" s="474" t="s">
        <v>524</v>
      </c>
      <c r="C52" s="62"/>
      <c r="D52" s="678"/>
      <c r="E52" s="678"/>
      <c r="F52" s="678"/>
      <c r="G52" s="678"/>
      <c r="H52" s="678"/>
      <c r="I52" s="678"/>
      <c r="J52" s="678"/>
      <c r="K52" s="678"/>
      <c r="L52" s="678"/>
      <c r="M52" s="678"/>
      <c r="N52" s="678"/>
      <c r="O52" s="678"/>
      <c r="P52" s="678"/>
      <c r="Q52" s="678"/>
      <c r="R52" s="678"/>
      <c r="S52" s="678"/>
      <c r="T52" s="678"/>
      <c r="U52" s="678"/>
      <c r="V52" s="678"/>
      <c r="W52" s="678"/>
      <c r="X52" s="678"/>
      <c r="Y52" s="678"/>
      <c r="Z52" s="678"/>
      <c r="AA52" s="678"/>
      <c r="AB52" s="678"/>
      <c r="AC52" s="678"/>
      <c r="AD52" s="678"/>
      <c r="AE52" s="678"/>
      <c r="AF52" s="678"/>
      <c r="AG52" s="678"/>
      <c r="AH52" s="678"/>
      <c r="AI52" s="62"/>
      <c r="AJ52" s="669"/>
      <c r="AK52" s="677"/>
      <c r="AL52" s="677"/>
    </row>
    <row r="53" spans="1:38" x14ac:dyDescent="0.3">
      <c r="A53" s="462"/>
      <c r="B53" s="461"/>
      <c r="C53" s="62"/>
      <c r="D53" s="678"/>
      <c r="E53" s="687"/>
      <c r="F53" s="687"/>
      <c r="G53" s="687"/>
      <c r="H53" s="687"/>
      <c r="I53" s="687"/>
      <c r="J53" s="687"/>
      <c r="K53" s="687"/>
      <c r="L53" s="678"/>
      <c r="M53" s="678"/>
      <c r="N53" s="677"/>
      <c r="O53" s="677"/>
      <c r="P53" s="677"/>
      <c r="Q53" s="677"/>
      <c r="R53" s="677"/>
      <c r="S53" s="677"/>
      <c r="T53" s="677"/>
      <c r="U53" s="677"/>
      <c r="V53" s="677"/>
      <c r="W53" s="677"/>
      <c r="X53" s="677"/>
      <c r="Y53" s="677"/>
      <c r="Z53" s="677"/>
      <c r="AA53" s="677"/>
      <c r="AB53" s="677"/>
      <c r="AC53" s="677"/>
      <c r="AD53" s="677"/>
      <c r="AE53" s="677"/>
      <c r="AF53" s="677"/>
      <c r="AG53" s="677"/>
      <c r="AH53" s="677"/>
      <c r="AI53" s="62"/>
      <c r="AJ53" s="677"/>
      <c r="AK53" s="677"/>
      <c r="AL53" s="677"/>
    </row>
    <row r="54" spans="1:38" x14ac:dyDescent="0.3">
      <c r="A54" s="462"/>
      <c r="B54" s="477" t="s">
        <v>1327</v>
      </c>
      <c r="C54" s="62"/>
      <c r="D54" s="678"/>
      <c r="E54" s="687"/>
      <c r="F54" s="687"/>
      <c r="G54" s="687"/>
      <c r="H54" s="687"/>
      <c r="I54" s="687"/>
      <c r="J54" s="687"/>
      <c r="K54" s="687"/>
      <c r="L54" s="678"/>
      <c r="M54" s="678"/>
      <c r="N54" s="677"/>
      <c r="O54" s="677"/>
      <c r="P54" s="677"/>
      <c r="Q54" s="677"/>
      <c r="R54" s="677"/>
      <c r="S54" s="677"/>
      <c r="T54" s="677"/>
      <c r="U54" s="677"/>
      <c r="V54" s="677"/>
      <c r="W54" s="677"/>
      <c r="X54" s="677"/>
      <c r="Y54" s="677"/>
      <c r="Z54" s="677"/>
      <c r="AA54" s="677"/>
      <c r="AB54" s="677"/>
      <c r="AC54" s="677"/>
      <c r="AD54" s="677"/>
      <c r="AE54" s="677"/>
      <c r="AF54" s="677"/>
      <c r="AG54" s="677"/>
      <c r="AH54" s="677"/>
      <c r="AI54" s="62"/>
      <c r="AJ54" s="677"/>
      <c r="AK54" s="677"/>
      <c r="AL54" s="677"/>
    </row>
    <row r="55" spans="1:38" x14ac:dyDescent="0.3">
      <c r="A55" s="462"/>
      <c r="B55" s="464" t="s">
        <v>549</v>
      </c>
      <c r="C55" s="62"/>
      <c r="D55" s="678"/>
      <c r="E55" s="687"/>
      <c r="F55" s="687"/>
      <c r="G55" s="687"/>
      <c r="H55" s="687"/>
      <c r="I55" s="687"/>
      <c r="J55" s="687"/>
      <c r="K55" s="687"/>
      <c r="L55" s="678"/>
      <c r="M55" s="678"/>
      <c r="N55" s="677"/>
      <c r="O55" s="677"/>
      <c r="P55" s="677"/>
      <c r="Q55" s="677"/>
      <c r="R55" s="677"/>
      <c r="S55" s="677"/>
      <c r="T55" s="677"/>
      <c r="U55" s="677"/>
      <c r="V55" s="677"/>
      <c r="W55" s="677"/>
      <c r="X55" s="677"/>
      <c r="Y55" s="677"/>
      <c r="Z55" s="677"/>
      <c r="AA55" s="677"/>
      <c r="AB55" s="677"/>
      <c r="AC55" s="677"/>
      <c r="AD55" s="677"/>
      <c r="AE55" s="677"/>
      <c r="AF55" s="677"/>
      <c r="AG55" s="677"/>
      <c r="AH55" s="677"/>
      <c r="AI55" s="62"/>
      <c r="AJ55" s="677"/>
      <c r="AK55" s="677"/>
      <c r="AL55" s="677"/>
    </row>
    <row r="56" spans="1:38" x14ac:dyDescent="0.3">
      <c r="A56" s="556" t="s">
        <v>600</v>
      </c>
      <c r="B56" s="461" t="s">
        <v>580</v>
      </c>
      <c r="C56" s="62"/>
      <c r="D56" s="669"/>
      <c r="E56" s="669"/>
      <c r="F56" s="669"/>
      <c r="G56" s="669"/>
      <c r="H56" s="669"/>
      <c r="I56" s="669"/>
      <c r="J56" s="669"/>
      <c r="K56" s="669"/>
      <c r="L56" s="669"/>
      <c r="M56" s="669"/>
      <c r="N56" s="669"/>
      <c r="O56" s="669"/>
      <c r="P56" s="669"/>
      <c r="Q56" s="669"/>
      <c r="R56" s="669"/>
      <c r="S56" s="669"/>
      <c r="T56" s="669"/>
      <c r="U56" s="669"/>
      <c r="V56" s="669"/>
      <c r="W56" s="669"/>
      <c r="X56" s="669"/>
      <c r="Y56" s="669"/>
      <c r="Z56" s="669"/>
      <c r="AA56" s="669"/>
      <c r="AB56" s="669"/>
      <c r="AC56" s="669"/>
      <c r="AD56" s="669"/>
      <c r="AE56" s="669"/>
      <c r="AF56" s="669"/>
      <c r="AG56" s="669"/>
      <c r="AH56" s="669"/>
      <c r="AI56" s="62"/>
      <c r="AJ56" s="669"/>
      <c r="AK56" s="677"/>
      <c r="AL56" s="677"/>
    </row>
    <row r="57" spans="1:38" x14ac:dyDescent="0.3">
      <c r="A57" s="556" t="s">
        <v>601</v>
      </c>
      <c r="B57" s="466" t="s">
        <v>602</v>
      </c>
      <c r="C57" s="62"/>
      <c r="D57" s="669"/>
      <c r="E57" s="669"/>
      <c r="F57" s="669"/>
      <c r="G57" s="669"/>
      <c r="H57" s="669"/>
      <c r="I57" s="669"/>
      <c r="J57" s="669"/>
      <c r="K57" s="669"/>
      <c r="L57" s="669"/>
      <c r="M57" s="669"/>
      <c r="N57" s="669"/>
      <c r="O57" s="669"/>
      <c r="P57" s="669"/>
      <c r="Q57" s="669"/>
      <c r="R57" s="669"/>
      <c r="S57" s="669"/>
      <c r="T57" s="669"/>
      <c r="U57" s="669"/>
      <c r="V57" s="669"/>
      <c r="W57" s="669"/>
      <c r="X57" s="669"/>
      <c r="Y57" s="669"/>
      <c r="Z57" s="669"/>
      <c r="AA57" s="669"/>
      <c r="AB57" s="669"/>
      <c r="AC57" s="669"/>
      <c r="AD57" s="669"/>
      <c r="AE57" s="669"/>
      <c r="AF57" s="669"/>
      <c r="AG57" s="669"/>
      <c r="AH57" s="669"/>
      <c r="AI57" s="62"/>
      <c r="AJ57" s="669"/>
      <c r="AK57" s="677"/>
      <c r="AL57" s="677"/>
    </row>
    <row r="58" spans="1:38" x14ac:dyDescent="0.3">
      <c r="A58" s="462" t="s">
        <v>603</v>
      </c>
      <c r="B58" s="461" t="s">
        <v>1328</v>
      </c>
      <c r="C58" s="62"/>
      <c r="D58" s="669"/>
      <c r="E58" s="669"/>
      <c r="F58" s="669"/>
      <c r="G58" s="669"/>
      <c r="H58" s="669"/>
      <c r="I58" s="669"/>
      <c r="J58" s="669"/>
      <c r="K58" s="669"/>
      <c r="L58" s="669"/>
      <c r="M58" s="669"/>
      <c r="N58" s="669"/>
      <c r="O58" s="669"/>
      <c r="P58" s="669"/>
      <c r="Q58" s="669"/>
      <c r="R58" s="669"/>
      <c r="S58" s="669"/>
      <c r="T58" s="669"/>
      <c r="U58" s="669"/>
      <c r="V58" s="669"/>
      <c r="W58" s="669"/>
      <c r="X58" s="669"/>
      <c r="Y58" s="669"/>
      <c r="Z58" s="669"/>
      <c r="AA58" s="669"/>
      <c r="AB58" s="669"/>
      <c r="AC58" s="669"/>
      <c r="AD58" s="669"/>
      <c r="AE58" s="669"/>
      <c r="AF58" s="669"/>
      <c r="AG58" s="669"/>
      <c r="AH58" s="669"/>
      <c r="AI58" s="62"/>
      <c r="AJ58" s="669"/>
      <c r="AK58" s="677"/>
      <c r="AL58" s="677"/>
    </row>
    <row r="59" spans="1:38" x14ac:dyDescent="0.3">
      <c r="A59" s="462" t="s">
        <v>604</v>
      </c>
      <c r="B59" s="461" t="s">
        <v>560</v>
      </c>
      <c r="C59" s="62"/>
      <c r="D59" s="669"/>
      <c r="E59" s="669"/>
      <c r="F59" s="669"/>
      <c r="G59" s="669"/>
      <c r="H59" s="669"/>
      <c r="I59" s="669"/>
      <c r="J59" s="669"/>
      <c r="K59" s="669"/>
      <c r="L59" s="669"/>
      <c r="M59" s="669"/>
      <c r="N59" s="669"/>
      <c r="O59" s="669"/>
      <c r="P59" s="669"/>
      <c r="Q59" s="669"/>
      <c r="R59" s="669"/>
      <c r="S59" s="669"/>
      <c r="T59" s="669"/>
      <c r="U59" s="669"/>
      <c r="V59" s="669"/>
      <c r="W59" s="669"/>
      <c r="X59" s="669"/>
      <c r="Y59" s="669"/>
      <c r="Z59" s="669"/>
      <c r="AA59" s="669"/>
      <c r="AB59" s="669"/>
      <c r="AC59" s="669"/>
      <c r="AD59" s="669"/>
      <c r="AE59" s="669"/>
      <c r="AF59" s="669"/>
      <c r="AG59" s="669"/>
      <c r="AH59" s="669"/>
      <c r="AI59" s="62"/>
      <c r="AJ59" s="669"/>
      <c r="AK59" s="677"/>
      <c r="AL59" s="677"/>
    </row>
    <row r="60" spans="1:38" x14ac:dyDescent="0.3">
      <c r="A60" s="462" t="s">
        <v>605</v>
      </c>
      <c r="B60" s="466" t="s">
        <v>1329</v>
      </c>
      <c r="C60" s="62"/>
      <c r="D60" s="669"/>
      <c r="E60" s="669"/>
      <c r="F60" s="669"/>
      <c r="G60" s="669"/>
      <c r="H60" s="669"/>
      <c r="I60" s="669"/>
      <c r="J60" s="669"/>
      <c r="K60" s="669"/>
      <c r="L60" s="669"/>
      <c r="M60" s="669"/>
      <c r="N60" s="669"/>
      <c r="O60" s="669"/>
      <c r="P60" s="669"/>
      <c r="Q60" s="669"/>
      <c r="R60" s="669"/>
      <c r="S60" s="669"/>
      <c r="T60" s="669"/>
      <c r="U60" s="669"/>
      <c r="V60" s="669"/>
      <c r="W60" s="669"/>
      <c r="X60" s="669"/>
      <c r="Y60" s="669"/>
      <c r="Z60" s="669"/>
      <c r="AA60" s="669"/>
      <c r="AB60" s="669"/>
      <c r="AC60" s="669"/>
      <c r="AD60" s="669"/>
      <c r="AE60" s="669"/>
      <c r="AF60" s="669"/>
      <c r="AG60" s="669"/>
      <c r="AH60" s="669"/>
      <c r="AI60" s="62"/>
      <c r="AJ60" s="669"/>
      <c r="AK60" s="677"/>
      <c r="AL60" s="677"/>
    </row>
    <row r="61" spans="1:38" ht="14.5" x14ac:dyDescent="0.45">
      <c r="A61" s="462" t="s">
        <v>606</v>
      </c>
      <c r="B61" s="461" t="s">
        <v>564</v>
      </c>
      <c r="C61" s="62"/>
      <c r="D61" s="701"/>
      <c r="E61" s="701"/>
      <c r="F61" s="701"/>
      <c r="G61" s="701"/>
      <c r="H61" s="701"/>
      <c r="I61" s="701"/>
      <c r="J61" s="701"/>
      <c r="K61" s="701"/>
      <c r="L61" s="701"/>
      <c r="M61" s="701"/>
      <c r="N61" s="701"/>
      <c r="O61" s="701"/>
      <c r="P61" s="701"/>
      <c r="Q61" s="701"/>
      <c r="R61" s="701"/>
      <c r="S61" s="701"/>
      <c r="T61" s="701"/>
      <c r="U61" s="701"/>
      <c r="V61" s="701"/>
      <c r="W61" s="701"/>
      <c r="X61" s="701"/>
      <c r="Y61" s="701"/>
      <c r="Z61" s="701"/>
      <c r="AA61" s="701"/>
      <c r="AB61" s="701"/>
      <c r="AC61" s="701"/>
      <c r="AD61" s="701"/>
      <c r="AE61" s="701"/>
      <c r="AF61" s="701"/>
      <c r="AG61" s="701"/>
      <c r="AH61" s="701"/>
      <c r="AI61" s="62"/>
      <c r="AJ61" s="669"/>
      <c r="AK61" s="677"/>
      <c r="AL61" s="677"/>
    </row>
    <row r="62" spans="1:38" x14ac:dyDescent="0.3">
      <c r="A62" s="556"/>
      <c r="B62" s="474" t="s">
        <v>524</v>
      </c>
      <c r="C62" s="62"/>
      <c r="D62" s="678"/>
      <c r="E62" s="678"/>
      <c r="F62" s="678"/>
      <c r="G62" s="678"/>
      <c r="H62" s="678"/>
      <c r="I62" s="678"/>
      <c r="J62" s="678"/>
      <c r="K62" s="678"/>
      <c r="L62" s="678"/>
      <c r="M62" s="678"/>
      <c r="N62" s="678"/>
      <c r="O62" s="678"/>
      <c r="P62" s="678"/>
      <c r="Q62" s="678"/>
      <c r="R62" s="678"/>
      <c r="S62" s="678"/>
      <c r="T62" s="678"/>
      <c r="U62" s="678"/>
      <c r="V62" s="678"/>
      <c r="W62" s="678"/>
      <c r="X62" s="678"/>
      <c r="Y62" s="678"/>
      <c r="Z62" s="678"/>
      <c r="AA62" s="678"/>
      <c r="AB62" s="678"/>
      <c r="AC62" s="678"/>
      <c r="AD62" s="678"/>
      <c r="AE62" s="678"/>
      <c r="AF62" s="678"/>
      <c r="AG62" s="678"/>
      <c r="AH62" s="678"/>
      <c r="AI62" s="62"/>
      <c r="AJ62" s="677"/>
      <c r="AK62" s="677"/>
      <c r="AL62" s="677"/>
    </row>
    <row r="63" spans="1:38" x14ac:dyDescent="0.3">
      <c r="A63" s="462"/>
      <c r="B63" s="474"/>
      <c r="C63" s="62"/>
      <c r="D63" s="678"/>
      <c r="E63" s="687"/>
      <c r="F63" s="687"/>
      <c r="G63" s="687"/>
      <c r="H63" s="687"/>
      <c r="I63" s="687"/>
      <c r="J63" s="687"/>
      <c r="K63" s="687"/>
      <c r="L63" s="678"/>
      <c r="M63" s="678"/>
      <c r="N63" s="677"/>
      <c r="O63" s="677"/>
      <c r="P63" s="677"/>
      <c r="Q63" s="677"/>
      <c r="R63" s="677"/>
      <c r="S63" s="677"/>
      <c r="T63" s="677"/>
      <c r="U63" s="677"/>
      <c r="V63" s="677"/>
      <c r="W63" s="677"/>
      <c r="X63" s="677"/>
      <c r="Y63" s="677"/>
      <c r="Z63" s="677"/>
      <c r="AA63" s="677"/>
      <c r="AB63" s="677"/>
      <c r="AC63" s="677"/>
      <c r="AD63" s="677"/>
      <c r="AE63" s="677"/>
      <c r="AF63" s="677"/>
      <c r="AG63" s="677"/>
      <c r="AH63" s="677"/>
      <c r="AI63" s="62"/>
      <c r="AJ63" s="677"/>
      <c r="AK63" s="677"/>
      <c r="AL63" s="677"/>
    </row>
    <row r="64" spans="1:38" x14ac:dyDescent="0.3">
      <c r="A64" s="462"/>
      <c r="B64" s="464" t="s">
        <v>565</v>
      </c>
      <c r="C64" s="62"/>
      <c r="D64" s="678"/>
      <c r="E64" s="687"/>
      <c r="F64" s="687"/>
      <c r="G64" s="687"/>
      <c r="H64" s="687"/>
      <c r="I64" s="687"/>
      <c r="J64" s="687"/>
      <c r="K64" s="687"/>
      <c r="L64" s="678"/>
      <c r="M64" s="678"/>
      <c r="N64" s="677"/>
      <c r="O64" s="677"/>
      <c r="P64" s="677"/>
      <c r="Q64" s="677"/>
      <c r="R64" s="677"/>
      <c r="S64" s="677"/>
      <c r="T64" s="677"/>
      <c r="U64" s="677"/>
      <c r="V64" s="677"/>
      <c r="W64" s="677"/>
      <c r="X64" s="677"/>
      <c r="Y64" s="677"/>
      <c r="Z64" s="677"/>
      <c r="AA64" s="677"/>
      <c r="AB64" s="677"/>
      <c r="AC64" s="677"/>
      <c r="AD64" s="677"/>
      <c r="AE64" s="677"/>
      <c r="AF64" s="677"/>
      <c r="AG64" s="677"/>
      <c r="AH64" s="677"/>
      <c r="AI64" s="62"/>
      <c r="AJ64" s="677"/>
      <c r="AK64" s="677"/>
      <c r="AL64" s="677"/>
    </row>
    <row r="65" spans="1:38" x14ac:dyDescent="0.3">
      <c r="A65" s="556" t="s">
        <v>607</v>
      </c>
      <c r="B65" s="461" t="s">
        <v>593</v>
      </c>
      <c r="C65" s="62"/>
      <c r="D65" s="669"/>
      <c r="E65" s="669"/>
      <c r="F65" s="669"/>
      <c r="G65" s="669"/>
      <c r="H65" s="669"/>
      <c r="I65" s="669"/>
      <c r="J65" s="669"/>
      <c r="K65" s="669"/>
      <c r="L65" s="669"/>
      <c r="M65" s="669"/>
      <c r="N65" s="669"/>
      <c r="O65" s="669"/>
      <c r="P65" s="669"/>
      <c r="Q65" s="669"/>
      <c r="R65" s="669"/>
      <c r="S65" s="669"/>
      <c r="T65" s="669"/>
      <c r="U65" s="669"/>
      <c r="V65" s="669"/>
      <c r="W65" s="669"/>
      <c r="X65" s="669"/>
      <c r="Y65" s="669"/>
      <c r="Z65" s="669"/>
      <c r="AA65" s="669"/>
      <c r="AB65" s="669"/>
      <c r="AC65" s="669"/>
      <c r="AD65" s="669"/>
      <c r="AE65" s="669"/>
      <c r="AF65" s="669"/>
      <c r="AG65" s="669"/>
      <c r="AH65" s="669"/>
      <c r="AI65" s="62"/>
      <c r="AJ65" s="669"/>
      <c r="AK65" s="677"/>
      <c r="AL65" s="677"/>
    </row>
    <row r="66" spans="1:38" x14ac:dyDescent="0.3">
      <c r="A66" s="556" t="s">
        <v>608</v>
      </c>
      <c r="B66" s="461" t="s">
        <v>569</v>
      </c>
      <c r="C66" s="62"/>
      <c r="D66" s="669"/>
      <c r="E66" s="669"/>
      <c r="F66" s="669"/>
      <c r="G66" s="669"/>
      <c r="H66" s="669"/>
      <c r="I66" s="669"/>
      <c r="J66" s="669"/>
      <c r="K66" s="669"/>
      <c r="L66" s="669"/>
      <c r="M66" s="669"/>
      <c r="N66" s="669"/>
      <c r="O66" s="669"/>
      <c r="P66" s="669"/>
      <c r="Q66" s="669"/>
      <c r="R66" s="669"/>
      <c r="S66" s="669"/>
      <c r="T66" s="669"/>
      <c r="U66" s="669"/>
      <c r="V66" s="669"/>
      <c r="W66" s="669"/>
      <c r="X66" s="669"/>
      <c r="Y66" s="669"/>
      <c r="Z66" s="669"/>
      <c r="AA66" s="669"/>
      <c r="AB66" s="669"/>
      <c r="AC66" s="669"/>
      <c r="AD66" s="669"/>
      <c r="AE66" s="669"/>
      <c r="AF66" s="669"/>
      <c r="AG66" s="669"/>
      <c r="AH66" s="669"/>
      <c r="AI66" s="62"/>
      <c r="AJ66" s="669"/>
      <c r="AK66" s="677"/>
      <c r="AL66" s="677"/>
    </row>
    <row r="67" spans="1:38" x14ac:dyDescent="0.3">
      <c r="A67" s="556" t="s">
        <v>609</v>
      </c>
      <c r="B67" s="466" t="s">
        <v>610</v>
      </c>
      <c r="C67" s="62"/>
      <c r="D67" s="669"/>
      <c r="E67" s="669"/>
      <c r="F67" s="669"/>
      <c r="G67" s="669"/>
      <c r="H67" s="669"/>
      <c r="I67" s="669"/>
      <c r="J67" s="669"/>
      <c r="K67" s="669"/>
      <c r="L67" s="669"/>
      <c r="M67" s="669"/>
      <c r="N67" s="669"/>
      <c r="O67" s="669"/>
      <c r="P67" s="669"/>
      <c r="Q67" s="669"/>
      <c r="R67" s="669"/>
      <c r="S67" s="669"/>
      <c r="T67" s="669"/>
      <c r="U67" s="669"/>
      <c r="V67" s="669"/>
      <c r="W67" s="669"/>
      <c r="X67" s="669"/>
      <c r="Y67" s="669"/>
      <c r="Z67" s="669"/>
      <c r="AA67" s="669"/>
      <c r="AB67" s="669"/>
      <c r="AC67" s="669"/>
      <c r="AD67" s="669"/>
      <c r="AE67" s="669"/>
      <c r="AF67" s="669"/>
      <c r="AG67" s="669"/>
      <c r="AH67" s="669"/>
      <c r="AI67" s="62"/>
      <c r="AJ67" s="669"/>
      <c r="AK67" s="677"/>
      <c r="AL67" s="677"/>
    </row>
    <row r="68" spans="1:38" x14ac:dyDescent="0.3">
      <c r="A68" s="556" t="s">
        <v>611</v>
      </c>
      <c r="B68" s="461" t="s">
        <v>573</v>
      </c>
      <c r="C68" s="62"/>
      <c r="D68" s="669"/>
      <c r="E68" s="669"/>
      <c r="F68" s="669"/>
      <c r="G68" s="669"/>
      <c r="H68" s="669"/>
      <c r="I68" s="669"/>
      <c r="J68" s="669"/>
      <c r="K68" s="669"/>
      <c r="L68" s="669"/>
      <c r="M68" s="669"/>
      <c r="N68" s="669"/>
      <c r="O68" s="669"/>
      <c r="P68" s="669"/>
      <c r="Q68" s="669"/>
      <c r="R68" s="669"/>
      <c r="S68" s="669"/>
      <c r="T68" s="669"/>
      <c r="U68" s="669"/>
      <c r="V68" s="669"/>
      <c r="W68" s="669"/>
      <c r="X68" s="669"/>
      <c r="Y68" s="669"/>
      <c r="Z68" s="669"/>
      <c r="AA68" s="669"/>
      <c r="AB68" s="669"/>
      <c r="AC68" s="669"/>
      <c r="AD68" s="669"/>
      <c r="AE68" s="669"/>
      <c r="AF68" s="669"/>
      <c r="AG68" s="669"/>
      <c r="AH68" s="669"/>
      <c r="AI68" s="62"/>
      <c r="AJ68" s="669"/>
      <c r="AK68" s="677"/>
      <c r="AL68" s="677"/>
    </row>
    <row r="69" spans="1:38" ht="14.5" x14ac:dyDescent="0.45">
      <c r="A69" s="556" t="s">
        <v>612</v>
      </c>
      <c r="B69" s="466" t="s">
        <v>1330</v>
      </c>
      <c r="C69" s="62"/>
      <c r="D69" s="701"/>
      <c r="E69" s="701"/>
      <c r="F69" s="701"/>
      <c r="G69" s="701"/>
      <c r="H69" s="701"/>
      <c r="I69" s="701"/>
      <c r="J69" s="701"/>
      <c r="K69" s="701"/>
      <c r="L69" s="701"/>
      <c r="M69" s="701"/>
      <c r="N69" s="701"/>
      <c r="O69" s="701"/>
      <c r="P69" s="701"/>
      <c r="Q69" s="701"/>
      <c r="R69" s="701"/>
      <c r="S69" s="701"/>
      <c r="T69" s="701"/>
      <c r="U69" s="701"/>
      <c r="V69" s="701"/>
      <c r="W69" s="701"/>
      <c r="X69" s="701"/>
      <c r="Y69" s="701"/>
      <c r="Z69" s="701"/>
      <c r="AA69" s="701"/>
      <c r="AB69" s="701"/>
      <c r="AC69" s="701"/>
      <c r="AD69" s="701"/>
      <c r="AE69" s="701"/>
      <c r="AF69" s="701"/>
      <c r="AG69" s="701"/>
      <c r="AH69" s="701"/>
      <c r="AI69" s="62"/>
      <c r="AJ69" s="669"/>
      <c r="AK69" s="677"/>
      <c r="AL69" s="677"/>
    </row>
    <row r="70" spans="1:38" x14ac:dyDescent="0.3">
      <c r="A70" s="462"/>
      <c r="B70" s="474" t="s">
        <v>524</v>
      </c>
      <c r="C70" s="62"/>
      <c r="D70" s="678"/>
      <c r="E70" s="678"/>
      <c r="F70" s="678"/>
      <c r="G70" s="678"/>
      <c r="H70" s="678"/>
      <c r="I70" s="678"/>
      <c r="J70" s="678"/>
      <c r="K70" s="678"/>
      <c r="L70" s="678"/>
      <c r="M70" s="678"/>
      <c r="N70" s="678"/>
      <c r="O70" s="678"/>
      <c r="P70" s="678"/>
      <c r="Q70" s="678"/>
      <c r="R70" s="678"/>
      <c r="S70" s="678"/>
      <c r="T70" s="678"/>
      <c r="U70" s="678"/>
      <c r="V70" s="678"/>
      <c r="W70" s="678"/>
      <c r="X70" s="678"/>
      <c r="Y70" s="678"/>
      <c r="Z70" s="678"/>
      <c r="AA70" s="678"/>
      <c r="AB70" s="678"/>
      <c r="AC70" s="678"/>
      <c r="AD70" s="678"/>
      <c r="AE70" s="678"/>
      <c r="AF70" s="678"/>
      <c r="AG70" s="678"/>
      <c r="AH70" s="678"/>
      <c r="AI70" s="62"/>
      <c r="AJ70" s="677"/>
      <c r="AK70" s="677"/>
      <c r="AL70" s="677"/>
    </row>
    <row r="71" spans="1:38" x14ac:dyDescent="0.3">
      <c r="A71" s="462"/>
      <c r="B71" s="461"/>
      <c r="C71" s="62"/>
      <c r="D71" s="678"/>
      <c r="E71" s="687"/>
      <c r="F71" s="687"/>
      <c r="G71" s="687"/>
      <c r="H71" s="687"/>
      <c r="I71" s="687"/>
      <c r="J71" s="687"/>
      <c r="K71" s="687"/>
      <c r="L71" s="678"/>
      <c r="M71" s="678"/>
      <c r="N71" s="677"/>
      <c r="O71" s="677"/>
      <c r="P71" s="677"/>
      <c r="Q71" s="677"/>
      <c r="R71" s="677"/>
      <c r="S71" s="677"/>
      <c r="T71" s="677"/>
      <c r="U71" s="677"/>
      <c r="V71" s="677"/>
      <c r="W71" s="677"/>
      <c r="X71" s="677"/>
      <c r="Y71" s="677"/>
      <c r="Z71" s="677"/>
      <c r="AA71" s="677"/>
      <c r="AB71" s="677"/>
      <c r="AC71" s="677"/>
      <c r="AD71" s="677"/>
      <c r="AE71" s="677"/>
      <c r="AF71" s="677"/>
      <c r="AG71" s="677"/>
      <c r="AH71" s="677"/>
      <c r="AI71" s="62"/>
      <c r="AJ71" s="677"/>
      <c r="AK71" s="677"/>
      <c r="AL71" s="677"/>
    </row>
    <row r="72" spans="1:38" x14ac:dyDescent="0.3">
      <c r="A72" s="462"/>
      <c r="B72" s="477" t="s">
        <v>613</v>
      </c>
      <c r="C72" s="62"/>
      <c r="D72" s="678"/>
      <c r="E72" s="687"/>
      <c r="F72" s="687"/>
      <c r="G72" s="687"/>
      <c r="H72" s="687"/>
      <c r="I72" s="687"/>
      <c r="J72" s="687"/>
      <c r="K72" s="687"/>
      <c r="L72" s="678"/>
      <c r="M72" s="678"/>
      <c r="N72" s="677"/>
      <c r="O72" s="677"/>
      <c r="P72" s="677"/>
      <c r="Q72" s="677"/>
      <c r="R72" s="677"/>
      <c r="S72" s="677"/>
      <c r="T72" s="677"/>
      <c r="U72" s="677"/>
      <c r="V72" s="677"/>
      <c r="W72" s="677"/>
      <c r="X72" s="677"/>
      <c r="Y72" s="677"/>
      <c r="Z72" s="677"/>
      <c r="AA72" s="677"/>
      <c r="AB72" s="677"/>
      <c r="AC72" s="677"/>
      <c r="AD72" s="677"/>
      <c r="AE72" s="677"/>
      <c r="AF72" s="677"/>
      <c r="AG72" s="677"/>
      <c r="AH72" s="677"/>
      <c r="AI72" s="62"/>
      <c r="AJ72" s="677"/>
      <c r="AK72" s="677"/>
      <c r="AL72" s="677"/>
    </row>
    <row r="73" spans="1:38" x14ac:dyDescent="0.3">
      <c r="A73" s="462"/>
      <c r="B73" s="464" t="s">
        <v>549</v>
      </c>
      <c r="C73" s="62"/>
      <c r="D73" s="678"/>
      <c r="E73" s="687"/>
      <c r="F73" s="687"/>
      <c r="G73" s="687"/>
      <c r="H73" s="687"/>
      <c r="I73" s="687"/>
      <c r="J73" s="687"/>
      <c r="K73" s="687"/>
      <c r="L73" s="678"/>
      <c r="M73" s="678"/>
      <c r="N73" s="677"/>
      <c r="O73" s="677"/>
      <c r="P73" s="677"/>
      <c r="Q73" s="677"/>
      <c r="R73" s="677"/>
      <c r="S73" s="677"/>
      <c r="T73" s="677"/>
      <c r="U73" s="677"/>
      <c r="V73" s="677"/>
      <c r="W73" s="677"/>
      <c r="X73" s="677"/>
      <c r="Y73" s="677"/>
      <c r="Z73" s="677"/>
      <c r="AA73" s="677"/>
      <c r="AB73" s="677"/>
      <c r="AC73" s="677"/>
      <c r="AD73" s="677"/>
      <c r="AE73" s="677"/>
      <c r="AF73" s="677"/>
      <c r="AG73" s="677"/>
      <c r="AH73" s="677"/>
      <c r="AI73" s="62"/>
      <c r="AJ73" s="677"/>
      <c r="AK73" s="677"/>
      <c r="AL73" s="677"/>
    </row>
    <row r="74" spans="1:38" x14ac:dyDescent="0.3">
      <c r="A74" s="462" t="s">
        <v>614</v>
      </c>
      <c r="B74" s="461" t="s">
        <v>615</v>
      </c>
      <c r="C74" s="62"/>
      <c r="D74" s="669"/>
      <c r="E74" s="669"/>
      <c r="F74" s="669"/>
      <c r="G74" s="669"/>
      <c r="H74" s="669"/>
      <c r="I74" s="669"/>
      <c r="J74" s="669"/>
      <c r="K74" s="669"/>
      <c r="L74" s="669"/>
      <c r="M74" s="669"/>
      <c r="N74" s="669"/>
      <c r="O74" s="669"/>
      <c r="P74" s="669"/>
      <c r="Q74" s="669"/>
      <c r="R74" s="669"/>
      <c r="S74" s="669"/>
      <c r="T74" s="669"/>
      <c r="U74" s="669"/>
      <c r="V74" s="669"/>
      <c r="W74" s="669"/>
      <c r="X74" s="669"/>
      <c r="Y74" s="669"/>
      <c r="Z74" s="669"/>
      <c r="AA74" s="669"/>
      <c r="AB74" s="669"/>
      <c r="AC74" s="669"/>
      <c r="AD74" s="669"/>
      <c r="AE74" s="669"/>
      <c r="AF74" s="669"/>
      <c r="AG74" s="669"/>
      <c r="AH74" s="669"/>
      <c r="AI74" s="62"/>
      <c r="AJ74" s="669"/>
      <c r="AK74" s="677"/>
      <c r="AL74" s="677"/>
    </row>
    <row r="75" spans="1:38" x14ac:dyDescent="0.3">
      <c r="A75" s="462" t="s">
        <v>616</v>
      </c>
      <c r="B75" s="461" t="s">
        <v>617</v>
      </c>
      <c r="C75" s="62"/>
      <c r="D75" s="669"/>
      <c r="E75" s="669"/>
      <c r="F75" s="669"/>
      <c r="G75" s="669"/>
      <c r="H75" s="669"/>
      <c r="I75" s="669"/>
      <c r="J75" s="669"/>
      <c r="K75" s="669"/>
      <c r="L75" s="669"/>
      <c r="M75" s="669"/>
      <c r="N75" s="669"/>
      <c r="O75" s="669"/>
      <c r="P75" s="669"/>
      <c r="Q75" s="669"/>
      <c r="R75" s="669"/>
      <c r="S75" s="669"/>
      <c r="T75" s="669"/>
      <c r="U75" s="669"/>
      <c r="V75" s="669"/>
      <c r="W75" s="669"/>
      <c r="X75" s="669"/>
      <c r="Y75" s="669"/>
      <c r="Z75" s="669"/>
      <c r="AA75" s="669"/>
      <c r="AB75" s="669"/>
      <c r="AC75" s="669"/>
      <c r="AD75" s="669"/>
      <c r="AE75" s="669"/>
      <c r="AF75" s="669"/>
      <c r="AG75" s="669"/>
      <c r="AH75" s="669"/>
      <c r="AI75" s="62"/>
      <c r="AJ75" s="669"/>
      <c r="AK75" s="677"/>
      <c r="AL75" s="677"/>
    </row>
    <row r="76" spans="1:38" x14ac:dyDescent="0.3">
      <c r="A76" s="462" t="s">
        <v>104</v>
      </c>
      <c r="B76" s="461" t="s">
        <v>560</v>
      </c>
      <c r="C76" s="62"/>
      <c r="D76" s="669"/>
      <c r="E76" s="669"/>
      <c r="F76" s="669"/>
      <c r="G76" s="669"/>
      <c r="H76" s="669"/>
      <c r="I76" s="669"/>
      <c r="J76" s="669"/>
      <c r="K76" s="669"/>
      <c r="L76" s="669"/>
      <c r="M76" s="669"/>
      <c r="N76" s="669"/>
      <c r="O76" s="669"/>
      <c r="P76" s="669"/>
      <c r="Q76" s="669"/>
      <c r="R76" s="669"/>
      <c r="S76" s="669"/>
      <c r="T76" s="669"/>
      <c r="U76" s="669"/>
      <c r="V76" s="669"/>
      <c r="W76" s="669"/>
      <c r="X76" s="669"/>
      <c r="Y76" s="669"/>
      <c r="Z76" s="669"/>
      <c r="AA76" s="669"/>
      <c r="AB76" s="669"/>
      <c r="AC76" s="669"/>
      <c r="AD76" s="669"/>
      <c r="AE76" s="669"/>
      <c r="AF76" s="669"/>
      <c r="AG76" s="669"/>
      <c r="AH76" s="669"/>
      <c r="AI76" s="62"/>
      <c r="AJ76" s="669"/>
      <c r="AK76" s="677"/>
      <c r="AL76" s="677"/>
    </row>
    <row r="77" spans="1:38" x14ac:dyDescent="0.3">
      <c r="A77" s="462" t="s">
        <v>618</v>
      </c>
      <c r="B77" s="461" t="s">
        <v>619</v>
      </c>
      <c r="C77" s="62"/>
      <c r="D77" s="669"/>
      <c r="E77" s="669"/>
      <c r="F77" s="669"/>
      <c r="G77" s="669"/>
      <c r="H77" s="669"/>
      <c r="I77" s="669"/>
      <c r="J77" s="669"/>
      <c r="K77" s="669"/>
      <c r="L77" s="669"/>
      <c r="M77" s="669"/>
      <c r="N77" s="669"/>
      <c r="O77" s="669"/>
      <c r="P77" s="669"/>
      <c r="Q77" s="669"/>
      <c r="R77" s="669"/>
      <c r="S77" s="669"/>
      <c r="T77" s="669"/>
      <c r="U77" s="669"/>
      <c r="V77" s="669"/>
      <c r="W77" s="669"/>
      <c r="X77" s="669"/>
      <c r="Y77" s="669"/>
      <c r="Z77" s="669"/>
      <c r="AA77" s="669"/>
      <c r="AB77" s="669"/>
      <c r="AC77" s="669"/>
      <c r="AD77" s="669"/>
      <c r="AE77" s="669"/>
      <c r="AF77" s="669"/>
      <c r="AG77" s="669"/>
      <c r="AH77" s="669"/>
      <c r="AI77" s="62"/>
      <c r="AJ77" s="669"/>
      <c r="AK77" s="677"/>
      <c r="AL77" s="677"/>
    </row>
    <row r="78" spans="1:38" ht="14.5" x14ac:dyDescent="0.45">
      <c r="A78" s="462" t="s">
        <v>620</v>
      </c>
      <c r="B78" s="461" t="s">
        <v>564</v>
      </c>
      <c r="C78" s="62"/>
      <c r="D78" s="701"/>
      <c r="E78" s="701"/>
      <c r="F78" s="701"/>
      <c r="G78" s="701"/>
      <c r="H78" s="701"/>
      <c r="I78" s="701"/>
      <c r="J78" s="701"/>
      <c r="K78" s="701"/>
      <c r="L78" s="701"/>
      <c r="M78" s="701"/>
      <c r="N78" s="701"/>
      <c r="O78" s="701"/>
      <c r="P78" s="701"/>
      <c r="Q78" s="701"/>
      <c r="R78" s="701"/>
      <c r="S78" s="701"/>
      <c r="T78" s="701"/>
      <c r="U78" s="701"/>
      <c r="V78" s="701"/>
      <c r="W78" s="701"/>
      <c r="X78" s="701"/>
      <c r="Y78" s="701"/>
      <c r="Z78" s="701"/>
      <c r="AA78" s="701"/>
      <c r="AB78" s="701"/>
      <c r="AC78" s="701"/>
      <c r="AD78" s="701"/>
      <c r="AE78" s="701"/>
      <c r="AF78" s="701"/>
      <c r="AG78" s="701"/>
      <c r="AH78" s="701"/>
      <c r="AI78" s="62"/>
      <c r="AJ78" s="669"/>
      <c r="AK78" s="677"/>
      <c r="AL78" s="677"/>
    </row>
    <row r="79" spans="1:38" x14ac:dyDescent="0.3">
      <c r="A79" s="462"/>
      <c r="B79" s="474" t="s">
        <v>524</v>
      </c>
      <c r="C79" s="62"/>
      <c r="D79" s="678"/>
      <c r="E79" s="678"/>
      <c r="F79" s="678"/>
      <c r="G79" s="678"/>
      <c r="H79" s="678"/>
      <c r="I79" s="678"/>
      <c r="J79" s="678"/>
      <c r="K79" s="678"/>
      <c r="L79" s="678"/>
      <c r="M79" s="678"/>
      <c r="N79" s="678"/>
      <c r="O79" s="678"/>
      <c r="P79" s="678"/>
      <c r="Q79" s="678"/>
      <c r="R79" s="678"/>
      <c r="S79" s="678"/>
      <c r="T79" s="678"/>
      <c r="U79" s="678"/>
      <c r="V79" s="678"/>
      <c r="W79" s="678"/>
      <c r="X79" s="678"/>
      <c r="Y79" s="678"/>
      <c r="Z79" s="678"/>
      <c r="AA79" s="678"/>
      <c r="AB79" s="678"/>
      <c r="AC79" s="678"/>
      <c r="AD79" s="678"/>
      <c r="AE79" s="678"/>
      <c r="AF79" s="678"/>
      <c r="AG79" s="678"/>
      <c r="AH79" s="678"/>
      <c r="AI79" s="62"/>
      <c r="AJ79" s="677"/>
      <c r="AK79" s="677"/>
      <c r="AL79" s="677"/>
    </row>
    <row r="80" spans="1:38" x14ac:dyDescent="0.3">
      <c r="A80" s="462"/>
      <c r="B80" s="461"/>
      <c r="C80" s="62"/>
      <c r="D80" s="678"/>
      <c r="E80" s="687"/>
      <c r="F80" s="687"/>
      <c r="G80" s="687"/>
      <c r="H80" s="687"/>
      <c r="I80" s="687"/>
      <c r="J80" s="687"/>
      <c r="K80" s="687"/>
      <c r="L80" s="678"/>
      <c r="M80" s="678"/>
      <c r="N80" s="677"/>
      <c r="O80" s="677"/>
      <c r="P80" s="677"/>
      <c r="Q80" s="677"/>
      <c r="R80" s="677"/>
      <c r="S80" s="677"/>
      <c r="T80" s="677"/>
      <c r="U80" s="677"/>
      <c r="V80" s="677"/>
      <c r="W80" s="677"/>
      <c r="X80" s="677"/>
      <c r="Y80" s="677"/>
      <c r="Z80" s="677"/>
      <c r="AA80" s="677"/>
      <c r="AB80" s="677"/>
      <c r="AC80" s="677"/>
      <c r="AD80" s="677"/>
      <c r="AE80" s="677"/>
      <c r="AF80" s="677"/>
      <c r="AG80" s="677"/>
      <c r="AH80" s="677"/>
      <c r="AI80" s="62"/>
      <c r="AJ80" s="677"/>
      <c r="AK80" s="677"/>
      <c r="AL80" s="677"/>
    </row>
    <row r="81" spans="1:38" x14ac:dyDescent="0.3">
      <c r="A81" s="462"/>
      <c r="B81" s="464" t="s">
        <v>565</v>
      </c>
      <c r="C81" s="62"/>
      <c r="D81" s="678"/>
      <c r="E81" s="687"/>
      <c r="F81" s="687"/>
      <c r="G81" s="687"/>
      <c r="H81" s="687"/>
      <c r="I81" s="687"/>
      <c r="J81" s="687"/>
      <c r="K81" s="687"/>
      <c r="L81" s="678"/>
      <c r="M81" s="678"/>
      <c r="N81" s="677"/>
      <c r="O81" s="677"/>
      <c r="P81" s="677"/>
      <c r="Q81" s="677"/>
      <c r="R81" s="677"/>
      <c r="S81" s="677"/>
      <c r="T81" s="677"/>
      <c r="U81" s="677"/>
      <c r="V81" s="677"/>
      <c r="W81" s="677"/>
      <c r="X81" s="677"/>
      <c r="Y81" s="677"/>
      <c r="Z81" s="677"/>
      <c r="AA81" s="677"/>
      <c r="AB81" s="677"/>
      <c r="AC81" s="677"/>
      <c r="AD81" s="677"/>
      <c r="AE81" s="677"/>
      <c r="AF81" s="677"/>
      <c r="AG81" s="677"/>
      <c r="AH81" s="677"/>
      <c r="AI81" s="62"/>
      <c r="AJ81" s="677"/>
      <c r="AK81" s="677"/>
      <c r="AL81" s="677"/>
    </row>
    <row r="82" spans="1:38" x14ac:dyDescent="0.3">
      <c r="A82" s="462" t="s">
        <v>621</v>
      </c>
      <c r="B82" s="461" t="s">
        <v>622</v>
      </c>
      <c r="C82" s="62"/>
      <c r="D82" s="669"/>
      <c r="E82" s="669"/>
      <c r="F82" s="669"/>
      <c r="G82" s="669"/>
      <c r="H82" s="669"/>
      <c r="I82" s="669"/>
      <c r="J82" s="669"/>
      <c r="K82" s="669"/>
      <c r="L82" s="669"/>
      <c r="M82" s="669"/>
      <c r="N82" s="669"/>
      <c r="O82" s="669"/>
      <c r="P82" s="669"/>
      <c r="Q82" s="669"/>
      <c r="R82" s="669"/>
      <c r="S82" s="669"/>
      <c r="T82" s="669"/>
      <c r="U82" s="669"/>
      <c r="V82" s="669"/>
      <c r="W82" s="669"/>
      <c r="X82" s="669"/>
      <c r="Y82" s="669"/>
      <c r="Z82" s="669"/>
      <c r="AA82" s="669"/>
      <c r="AB82" s="669"/>
      <c r="AC82" s="669"/>
      <c r="AD82" s="669"/>
      <c r="AE82" s="669"/>
      <c r="AF82" s="669"/>
      <c r="AG82" s="669"/>
      <c r="AH82" s="669"/>
      <c r="AI82" s="62"/>
      <c r="AJ82" s="669"/>
      <c r="AK82" s="677"/>
      <c r="AL82" s="677"/>
    </row>
    <row r="83" spans="1:38" x14ac:dyDescent="0.3">
      <c r="A83" s="462" t="s">
        <v>623</v>
      </c>
      <c r="B83" s="466" t="s">
        <v>624</v>
      </c>
      <c r="C83" s="62"/>
      <c r="D83" s="669"/>
      <c r="E83" s="669"/>
      <c r="F83" s="669"/>
      <c r="G83" s="669"/>
      <c r="H83" s="669"/>
      <c r="I83" s="669"/>
      <c r="J83" s="669"/>
      <c r="K83" s="669"/>
      <c r="L83" s="669"/>
      <c r="M83" s="669"/>
      <c r="N83" s="669"/>
      <c r="O83" s="669"/>
      <c r="P83" s="669"/>
      <c r="Q83" s="669"/>
      <c r="R83" s="669"/>
      <c r="S83" s="669"/>
      <c r="T83" s="669"/>
      <c r="U83" s="669"/>
      <c r="V83" s="669"/>
      <c r="W83" s="669"/>
      <c r="X83" s="669"/>
      <c r="Y83" s="669"/>
      <c r="Z83" s="669"/>
      <c r="AA83" s="669"/>
      <c r="AB83" s="669"/>
      <c r="AC83" s="669"/>
      <c r="AD83" s="669"/>
      <c r="AE83" s="669"/>
      <c r="AF83" s="669"/>
      <c r="AG83" s="669"/>
      <c r="AH83" s="669"/>
      <c r="AI83" s="62"/>
      <c r="AJ83" s="669"/>
      <c r="AK83" s="677"/>
      <c r="AL83" s="677"/>
    </row>
    <row r="84" spans="1:38" x14ac:dyDescent="0.3">
      <c r="A84" s="462" t="s">
        <v>625</v>
      </c>
      <c r="B84" s="461" t="s">
        <v>626</v>
      </c>
      <c r="C84" s="62"/>
      <c r="D84" s="669"/>
      <c r="E84" s="669"/>
      <c r="F84" s="669"/>
      <c r="G84" s="669"/>
      <c r="H84" s="669"/>
      <c r="I84" s="669"/>
      <c r="J84" s="669"/>
      <c r="K84" s="669"/>
      <c r="L84" s="669"/>
      <c r="M84" s="669"/>
      <c r="N84" s="669"/>
      <c r="O84" s="669"/>
      <c r="P84" s="669"/>
      <c r="Q84" s="669"/>
      <c r="R84" s="669"/>
      <c r="S84" s="669"/>
      <c r="T84" s="669"/>
      <c r="U84" s="669"/>
      <c r="V84" s="669"/>
      <c r="W84" s="669"/>
      <c r="X84" s="669"/>
      <c r="Y84" s="669"/>
      <c r="Z84" s="669"/>
      <c r="AA84" s="669"/>
      <c r="AB84" s="669"/>
      <c r="AC84" s="669"/>
      <c r="AD84" s="669"/>
      <c r="AE84" s="669"/>
      <c r="AF84" s="669"/>
      <c r="AG84" s="669"/>
      <c r="AH84" s="669"/>
      <c r="AI84" s="62"/>
      <c r="AJ84" s="669"/>
      <c r="AK84" s="677"/>
      <c r="AL84" s="677"/>
    </row>
    <row r="85" spans="1:38" ht="14.5" x14ac:dyDescent="0.45">
      <c r="A85" s="462" t="s">
        <v>627</v>
      </c>
      <c r="B85" s="461" t="s">
        <v>628</v>
      </c>
      <c r="C85" s="62"/>
      <c r="D85" s="701"/>
      <c r="E85" s="701"/>
      <c r="F85" s="701"/>
      <c r="G85" s="701"/>
      <c r="H85" s="701"/>
      <c r="I85" s="701"/>
      <c r="J85" s="701"/>
      <c r="K85" s="701"/>
      <c r="L85" s="701"/>
      <c r="M85" s="701"/>
      <c r="N85" s="701"/>
      <c r="O85" s="701"/>
      <c r="P85" s="701"/>
      <c r="Q85" s="701"/>
      <c r="R85" s="701"/>
      <c r="S85" s="701"/>
      <c r="T85" s="701"/>
      <c r="U85" s="701"/>
      <c r="V85" s="701"/>
      <c r="W85" s="701"/>
      <c r="X85" s="701"/>
      <c r="Y85" s="701"/>
      <c r="Z85" s="701"/>
      <c r="AA85" s="701"/>
      <c r="AB85" s="701"/>
      <c r="AC85" s="701"/>
      <c r="AD85" s="701"/>
      <c r="AE85" s="701"/>
      <c r="AF85" s="701"/>
      <c r="AG85" s="701"/>
      <c r="AH85" s="701"/>
      <c r="AI85" s="62"/>
      <c r="AJ85" s="669"/>
      <c r="AK85" s="677"/>
      <c r="AL85" s="677"/>
    </row>
    <row r="86" spans="1:38" x14ac:dyDescent="0.3">
      <c r="A86" s="462"/>
      <c r="B86" s="474" t="s">
        <v>524</v>
      </c>
      <c r="C86" s="62"/>
      <c r="D86" s="678"/>
      <c r="E86" s="678"/>
      <c r="F86" s="678"/>
      <c r="G86" s="678"/>
      <c r="H86" s="678"/>
      <c r="I86" s="678"/>
      <c r="J86" s="678"/>
      <c r="K86" s="678"/>
      <c r="L86" s="678"/>
      <c r="M86" s="678"/>
      <c r="N86" s="678"/>
      <c r="O86" s="678"/>
      <c r="P86" s="678"/>
      <c r="Q86" s="678"/>
      <c r="R86" s="678"/>
      <c r="S86" s="678"/>
      <c r="T86" s="678"/>
      <c r="U86" s="678"/>
      <c r="V86" s="678"/>
      <c r="W86" s="678"/>
      <c r="X86" s="678"/>
      <c r="Y86" s="678"/>
      <c r="Z86" s="678"/>
      <c r="AA86" s="678"/>
      <c r="AB86" s="678"/>
      <c r="AC86" s="678"/>
      <c r="AD86" s="678"/>
      <c r="AE86" s="678"/>
      <c r="AF86" s="678"/>
      <c r="AG86" s="678"/>
      <c r="AH86" s="678"/>
      <c r="AI86" s="62"/>
      <c r="AJ86" s="677"/>
      <c r="AK86" s="677"/>
      <c r="AL86" s="677"/>
    </row>
    <row r="87" spans="1:38" x14ac:dyDescent="0.3">
      <c r="A87" s="462"/>
      <c r="B87" s="461"/>
      <c r="C87" s="62"/>
      <c r="D87" s="678"/>
      <c r="E87" s="687"/>
      <c r="F87" s="687"/>
      <c r="G87" s="687"/>
      <c r="H87" s="687"/>
      <c r="I87" s="687"/>
      <c r="J87" s="687"/>
      <c r="K87" s="687"/>
      <c r="L87" s="678"/>
      <c r="M87" s="678"/>
      <c r="N87" s="677"/>
      <c r="O87" s="677"/>
      <c r="P87" s="677"/>
      <c r="Q87" s="677"/>
      <c r="R87" s="677"/>
      <c r="S87" s="677"/>
      <c r="T87" s="677"/>
      <c r="U87" s="677"/>
      <c r="V87" s="677"/>
      <c r="W87" s="677"/>
      <c r="X87" s="677"/>
      <c r="Y87" s="677"/>
      <c r="Z87" s="677"/>
      <c r="AA87" s="677"/>
      <c r="AB87" s="677"/>
      <c r="AC87" s="677"/>
      <c r="AD87" s="677"/>
      <c r="AE87" s="677"/>
      <c r="AF87" s="677"/>
      <c r="AG87" s="677"/>
      <c r="AH87" s="677"/>
      <c r="AI87" s="62"/>
      <c r="AJ87" s="677"/>
      <c r="AK87" s="677"/>
      <c r="AL87" s="677"/>
    </row>
    <row r="88" spans="1:38" x14ac:dyDescent="0.3">
      <c r="A88" s="462"/>
      <c r="B88" s="477" t="s">
        <v>629</v>
      </c>
      <c r="C88" s="62"/>
      <c r="D88" s="678"/>
      <c r="E88" s="687"/>
      <c r="F88" s="687"/>
      <c r="G88" s="687"/>
      <c r="H88" s="687"/>
      <c r="I88" s="687"/>
      <c r="J88" s="687"/>
      <c r="K88" s="687"/>
      <c r="L88" s="678"/>
      <c r="M88" s="678"/>
      <c r="N88" s="677"/>
      <c r="O88" s="677"/>
      <c r="P88" s="677"/>
      <c r="Q88" s="677"/>
      <c r="R88" s="677"/>
      <c r="S88" s="677"/>
      <c r="T88" s="677"/>
      <c r="U88" s="677"/>
      <c r="V88" s="677"/>
      <c r="W88" s="677"/>
      <c r="X88" s="677"/>
      <c r="Y88" s="677"/>
      <c r="Z88" s="677"/>
      <c r="AA88" s="677"/>
      <c r="AB88" s="677"/>
      <c r="AC88" s="677"/>
      <c r="AD88" s="677"/>
      <c r="AE88" s="677"/>
      <c r="AF88" s="677"/>
      <c r="AG88" s="677"/>
      <c r="AH88" s="677"/>
      <c r="AI88" s="62"/>
      <c r="AJ88" s="677"/>
      <c r="AK88" s="677"/>
      <c r="AL88" s="677"/>
    </row>
    <row r="89" spans="1:38" x14ac:dyDescent="0.3">
      <c r="A89" s="462" t="s">
        <v>630</v>
      </c>
      <c r="B89" s="461" t="s">
        <v>902</v>
      </c>
      <c r="C89" s="62"/>
      <c r="D89" s="669"/>
      <c r="E89" s="707"/>
      <c r="F89" s="707"/>
      <c r="G89" s="707"/>
      <c r="H89" s="707"/>
      <c r="I89" s="707"/>
      <c r="J89" s="707"/>
      <c r="K89" s="707"/>
      <c r="L89" s="669"/>
      <c r="M89" s="669"/>
      <c r="N89" s="677"/>
      <c r="O89" s="677"/>
      <c r="P89" s="677"/>
      <c r="Q89" s="677"/>
      <c r="R89" s="677"/>
      <c r="S89" s="677"/>
      <c r="T89" s="677"/>
      <c r="U89" s="677"/>
      <c r="V89" s="677"/>
      <c r="W89" s="677"/>
      <c r="X89" s="669"/>
      <c r="Y89" s="669"/>
      <c r="Z89" s="669"/>
      <c r="AA89" s="669"/>
      <c r="AB89" s="669"/>
      <c r="AC89" s="669"/>
      <c r="AD89" s="669"/>
      <c r="AE89" s="669"/>
      <c r="AF89" s="669"/>
      <c r="AG89" s="669"/>
      <c r="AH89" s="669"/>
      <c r="AI89" s="62"/>
      <c r="AJ89" s="669"/>
      <c r="AK89" s="677"/>
      <c r="AL89" s="677"/>
    </row>
    <row r="90" spans="1:38" x14ac:dyDescent="0.3">
      <c r="A90" s="462"/>
      <c r="B90" s="461" t="s">
        <v>903</v>
      </c>
      <c r="C90" s="62"/>
      <c r="D90" s="669"/>
      <c r="E90" s="707"/>
      <c r="F90" s="707"/>
      <c r="G90" s="707"/>
      <c r="H90" s="707"/>
      <c r="I90" s="707"/>
      <c r="J90" s="707"/>
      <c r="K90" s="707"/>
      <c r="L90" s="669"/>
      <c r="M90" s="669"/>
      <c r="N90" s="677"/>
      <c r="O90" s="677"/>
      <c r="P90" s="677"/>
      <c r="Q90" s="677"/>
      <c r="R90" s="677"/>
      <c r="S90" s="677"/>
      <c r="T90" s="677"/>
      <c r="U90" s="677"/>
      <c r="V90" s="677"/>
      <c r="W90" s="677"/>
      <c r="X90" s="669"/>
      <c r="Y90" s="669"/>
      <c r="Z90" s="669"/>
      <c r="AA90" s="669"/>
      <c r="AB90" s="669"/>
      <c r="AC90" s="669"/>
      <c r="AD90" s="669"/>
      <c r="AE90" s="669"/>
      <c r="AF90" s="669"/>
      <c r="AG90" s="669"/>
      <c r="AH90" s="669"/>
      <c r="AI90" s="62"/>
      <c r="AJ90" s="669"/>
      <c r="AK90" s="677"/>
      <c r="AL90" s="677"/>
    </row>
    <row r="91" spans="1:38" x14ac:dyDescent="0.3">
      <c r="A91" s="462"/>
      <c r="B91" s="461" t="s">
        <v>904</v>
      </c>
      <c r="C91" s="62"/>
      <c r="D91" s="669"/>
      <c r="E91" s="707"/>
      <c r="F91" s="707"/>
      <c r="G91" s="707"/>
      <c r="H91" s="707"/>
      <c r="I91" s="707"/>
      <c r="J91" s="707"/>
      <c r="K91" s="707"/>
      <c r="L91" s="669"/>
      <c r="M91" s="669"/>
      <c r="N91" s="677"/>
      <c r="O91" s="677"/>
      <c r="P91" s="677"/>
      <c r="Q91" s="677"/>
      <c r="R91" s="677"/>
      <c r="S91" s="677"/>
      <c r="T91" s="677"/>
      <c r="U91" s="677"/>
      <c r="V91" s="677"/>
      <c r="W91" s="677"/>
      <c r="X91" s="669"/>
      <c r="Y91" s="669"/>
      <c r="Z91" s="669"/>
      <c r="AA91" s="669"/>
      <c r="AB91" s="669"/>
      <c r="AC91" s="669"/>
      <c r="AD91" s="669"/>
      <c r="AE91" s="669"/>
      <c r="AF91" s="669"/>
      <c r="AG91" s="669"/>
      <c r="AH91" s="669"/>
      <c r="AI91" s="62"/>
      <c r="AJ91" s="669"/>
      <c r="AK91" s="677"/>
      <c r="AL91" s="677"/>
    </row>
    <row r="92" spans="1:38" x14ac:dyDescent="0.3">
      <c r="A92" s="462"/>
      <c r="B92" s="461" t="s">
        <v>905</v>
      </c>
      <c r="C92" s="62"/>
      <c r="D92" s="669"/>
      <c r="E92" s="707"/>
      <c r="F92" s="707"/>
      <c r="G92" s="707"/>
      <c r="H92" s="707"/>
      <c r="I92" s="707"/>
      <c r="J92" s="707"/>
      <c r="K92" s="707"/>
      <c r="L92" s="669"/>
      <c r="M92" s="669"/>
      <c r="N92" s="677"/>
      <c r="O92" s="677"/>
      <c r="P92" s="677"/>
      <c r="Q92" s="677"/>
      <c r="R92" s="677"/>
      <c r="S92" s="677"/>
      <c r="T92" s="677"/>
      <c r="U92" s="677"/>
      <c r="V92" s="677"/>
      <c r="W92" s="677"/>
      <c r="X92" s="669"/>
      <c r="Y92" s="669"/>
      <c r="Z92" s="669"/>
      <c r="AA92" s="669"/>
      <c r="AB92" s="669"/>
      <c r="AC92" s="669"/>
      <c r="AD92" s="669"/>
      <c r="AE92" s="669"/>
      <c r="AF92" s="669"/>
      <c r="AG92" s="669"/>
      <c r="AH92" s="669"/>
      <c r="AI92" s="62"/>
      <c r="AJ92" s="669"/>
      <c r="AK92" s="677"/>
      <c r="AL92" s="677"/>
    </row>
    <row r="93" spans="1:38" x14ac:dyDescent="0.3">
      <c r="A93" s="462" t="s">
        <v>630</v>
      </c>
      <c r="B93" s="474" t="s">
        <v>524</v>
      </c>
      <c r="C93" s="62"/>
      <c r="D93" s="669"/>
      <c r="E93" s="669"/>
      <c r="F93" s="669"/>
      <c r="G93" s="669"/>
      <c r="H93" s="669"/>
      <c r="I93" s="669"/>
      <c r="J93" s="669"/>
      <c r="K93" s="669"/>
      <c r="L93" s="669"/>
      <c r="M93" s="669"/>
      <c r="N93" s="669"/>
      <c r="O93" s="669"/>
      <c r="P93" s="669"/>
      <c r="Q93" s="669"/>
      <c r="R93" s="669"/>
      <c r="S93" s="669"/>
      <c r="T93" s="669"/>
      <c r="U93" s="669"/>
      <c r="V93" s="669"/>
      <c r="W93" s="669"/>
      <c r="X93" s="669"/>
      <c r="Y93" s="669"/>
      <c r="Z93" s="669"/>
      <c r="AA93" s="669"/>
      <c r="AB93" s="669"/>
      <c r="AC93" s="669"/>
      <c r="AD93" s="669"/>
      <c r="AE93" s="669"/>
      <c r="AF93" s="669"/>
      <c r="AG93" s="669"/>
      <c r="AH93" s="669"/>
      <c r="AI93" s="62"/>
      <c r="AJ93" s="669"/>
      <c r="AK93" s="677"/>
      <c r="AL93" s="677"/>
    </row>
    <row r="94" spans="1:38" x14ac:dyDescent="0.3">
      <c r="A94" s="462" t="s">
        <v>635</v>
      </c>
      <c r="B94" s="461" t="s">
        <v>636</v>
      </c>
      <c r="C94" s="62"/>
      <c r="D94" s="669"/>
      <c r="E94" s="669"/>
      <c r="F94" s="669"/>
      <c r="G94" s="669"/>
      <c r="H94" s="669"/>
      <c r="I94" s="669"/>
      <c r="J94" s="669"/>
      <c r="K94" s="669"/>
      <c r="L94" s="669"/>
      <c r="M94" s="669"/>
      <c r="N94" s="669"/>
      <c r="O94" s="669"/>
      <c r="P94" s="669"/>
      <c r="Q94" s="669"/>
      <c r="R94" s="669"/>
      <c r="S94" s="669"/>
      <c r="T94" s="669"/>
      <c r="U94" s="669"/>
      <c r="V94" s="669"/>
      <c r="W94" s="669"/>
      <c r="X94" s="669"/>
      <c r="Y94" s="669"/>
      <c r="Z94" s="669"/>
      <c r="AA94" s="669"/>
      <c r="AB94" s="669"/>
      <c r="AC94" s="669"/>
      <c r="AD94" s="669"/>
      <c r="AE94" s="669"/>
      <c r="AF94" s="669"/>
      <c r="AG94" s="669"/>
      <c r="AH94" s="669"/>
      <c r="AI94" s="62"/>
      <c r="AJ94" s="669"/>
      <c r="AK94" s="677"/>
      <c r="AL94" s="677"/>
    </row>
    <row r="95" spans="1:38" x14ac:dyDescent="0.3">
      <c r="A95" s="465" t="s">
        <v>637</v>
      </c>
      <c r="B95" s="465" t="s">
        <v>1180</v>
      </c>
      <c r="C95" s="62"/>
      <c r="D95" s="669"/>
      <c r="E95" s="669"/>
      <c r="F95" s="669"/>
      <c r="G95" s="669"/>
      <c r="H95" s="669"/>
      <c r="I95" s="669"/>
      <c r="J95" s="669"/>
      <c r="K95" s="669"/>
      <c r="L95" s="669"/>
      <c r="M95" s="669"/>
      <c r="N95" s="669"/>
      <c r="O95" s="669"/>
      <c r="P95" s="669"/>
      <c r="Q95" s="669"/>
      <c r="R95" s="669"/>
      <c r="S95" s="669"/>
      <c r="T95" s="669"/>
      <c r="U95" s="669"/>
      <c r="V95" s="669"/>
      <c r="W95" s="669"/>
      <c r="X95" s="669"/>
      <c r="Y95" s="669"/>
      <c r="Z95" s="669"/>
      <c r="AA95" s="669"/>
      <c r="AB95" s="669"/>
      <c r="AC95" s="669"/>
      <c r="AD95" s="669"/>
      <c r="AE95" s="669"/>
      <c r="AF95" s="669"/>
      <c r="AG95" s="669"/>
      <c r="AH95" s="669"/>
      <c r="AI95" s="62"/>
      <c r="AJ95" s="669"/>
      <c r="AK95" s="677"/>
      <c r="AL95" s="677"/>
    </row>
    <row r="96" spans="1:38" ht="14.5" x14ac:dyDescent="0.45">
      <c r="A96" s="465" t="s">
        <v>637</v>
      </c>
      <c r="B96" s="465" t="s">
        <v>1181</v>
      </c>
      <c r="C96" s="62"/>
      <c r="D96" s="701"/>
      <c r="E96" s="701"/>
      <c r="F96" s="701"/>
      <c r="G96" s="701"/>
      <c r="H96" s="701"/>
      <c r="I96" s="701"/>
      <c r="J96" s="701"/>
      <c r="K96" s="701"/>
      <c r="L96" s="701"/>
      <c r="M96" s="701"/>
      <c r="N96" s="701"/>
      <c r="O96" s="701"/>
      <c r="P96" s="701"/>
      <c r="Q96" s="701"/>
      <c r="R96" s="701"/>
      <c r="S96" s="701"/>
      <c r="T96" s="701"/>
      <c r="U96" s="701"/>
      <c r="V96" s="701"/>
      <c r="W96" s="701"/>
      <c r="X96" s="701"/>
      <c r="Y96" s="701"/>
      <c r="Z96" s="701"/>
      <c r="AA96" s="701"/>
      <c r="AB96" s="701"/>
      <c r="AC96" s="701"/>
      <c r="AD96" s="701"/>
      <c r="AE96" s="701"/>
      <c r="AF96" s="701"/>
      <c r="AG96" s="701"/>
      <c r="AH96" s="701"/>
      <c r="AI96" s="62"/>
      <c r="AJ96" s="669"/>
      <c r="AK96" s="677"/>
      <c r="AL96" s="677"/>
    </row>
    <row r="97" spans="1:38" x14ac:dyDescent="0.3">
      <c r="A97" s="462"/>
      <c r="B97" s="474" t="s">
        <v>639</v>
      </c>
      <c r="C97" s="62"/>
      <c r="D97" s="678"/>
      <c r="E97" s="669"/>
      <c r="F97" s="669"/>
      <c r="G97" s="669"/>
      <c r="H97" s="669"/>
      <c r="I97" s="669"/>
      <c r="J97" s="669"/>
      <c r="K97" s="669"/>
      <c r="L97" s="669"/>
      <c r="M97" s="669"/>
      <c r="N97" s="669"/>
      <c r="O97" s="669"/>
      <c r="P97" s="669"/>
      <c r="Q97" s="669"/>
      <c r="R97" s="669"/>
      <c r="S97" s="669"/>
      <c r="T97" s="669"/>
      <c r="U97" s="669"/>
      <c r="V97" s="669"/>
      <c r="W97" s="669"/>
      <c r="X97" s="669"/>
      <c r="Y97" s="669"/>
      <c r="Z97" s="669"/>
      <c r="AA97" s="669"/>
      <c r="AB97" s="669"/>
      <c r="AC97" s="669"/>
      <c r="AD97" s="669"/>
      <c r="AE97" s="669"/>
      <c r="AF97" s="669"/>
      <c r="AG97" s="669"/>
      <c r="AH97" s="669"/>
      <c r="AI97" s="62"/>
      <c r="AJ97" s="678"/>
      <c r="AK97" s="677"/>
      <c r="AL97" s="677"/>
    </row>
    <row r="98" spans="1:38" x14ac:dyDescent="0.3">
      <c r="A98" s="462"/>
      <c r="B98" s="461"/>
      <c r="C98" s="62"/>
      <c r="D98" s="171"/>
      <c r="E98" s="481"/>
      <c r="F98" s="481"/>
      <c r="G98" s="481"/>
      <c r="H98" s="481"/>
      <c r="I98" s="481"/>
      <c r="J98" s="481"/>
      <c r="K98" s="481"/>
      <c r="L98" s="171"/>
      <c r="M98" s="171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</row>
    <row r="99" spans="1:38" x14ac:dyDescent="0.3">
      <c r="A99" s="462"/>
      <c r="B99" s="479" t="s">
        <v>640</v>
      </c>
      <c r="C99" s="62"/>
      <c r="D99" s="680">
        <v>66192416.160000004</v>
      </c>
      <c r="E99" s="680">
        <v>43515962.003324836</v>
      </c>
      <c r="F99" s="680"/>
      <c r="G99" s="680"/>
      <c r="H99" s="680"/>
      <c r="I99" s="680">
        <v>22676454.15667516</v>
      </c>
      <c r="J99" s="680">
        <v>0</v>
      </c>
      <c r="K99" s="680"/>
      <c r="L99" s="680">
        <v>0</v>
      </c>
      <c r="M99" s="680">
        <v>0</v>
      </c>
      <c r="N99" s="680">
        <v>0</v>
      </c>
      <c r="O99" s="680">
        <v>0</v>
      </c>
      <c r="P99" s="680">
        <v>0</v>
      </c>
      <c r="Q99" s="680">
        <v>0</v>
      </c>
      <c r="R99" s="680">
        <v>0</v>
      </c>
      <c r="S99" s="680">
        <v>0</v>
      </c>
      <c r="T99" s="680">
        <v>0</v>
      </c>
      <c r="U99" s="680">
        <v>0</v>
      </c>
      <c r="V99" s="680">
        <v>0</v>
      </c>
      <c r="W99" s="680">
        <v>0</v>
      </c>
      <c r="X99" s="680">
        <v>0</v>
      </c>
      <c r="Y99" s="680"/>
      <c r="Z99" s="680"/>
      <c r="AA99" s="680">
        <v>0</v>
      </c>
      <c r="AB99" s="680">
        <v>0</v>
      </c>
      <c r="AC99" s="680"/>
      <c r="AD99" s="680"/>
      <c r="AE99" s="680"/>
      <c r="AF99" s="680">
        <v>0</v>
      </c>
      <c r="AG99" s="680"/>
      <c r="AH99" s="680">
        <v>0</v>
      </c>
      <c r="AI99" s="62"/>
      <c r="AJ99" s="468">
        <f>'7a. LX_AG-i'!I99</f>
        <v>66192416.160000004</v>
      </c>
      <c r="AK99" s="62">
        <f>SUM(I99:K99,L99,N99:W99,Y99:Z99,AA99:AA99,AC99:AE99,AG99:AH99,E99)</f>
        <v>66192416.159999996</v>
      </c>
      <c r="AL99" s="62">
        <f>AJ99-AK99</f>
        <v>0</v>
      </c>
    </row>
    <row r="100" spans="1:38" x14ac:dyDescent="0.3">
      <c r="A100" s="462"/>
      <c r="B100" s="461"/>
      <c r="C100" s="62"/>
      <c r="D100" s="171"/>
      <c r="E100" s="481"/>
      <c r="F100" s="481"/>
      <c r="G100" s="481"/>
      <c r="H100" s="481"/>
      <c r="I100" s="481"/>
      <c r="J100" s="481"/>
      <c r="K100" s="481"/>
      <c r="L100" s="171"/>
      <c r="M100" s="171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</row>
    <row r="101" spans="1:38" x14ac:dyDescent="0.3">
      <c r="A101" s="460" t="s">
        <v>641</v>
      </c>
      <c r="B101" s="461"/>
      <c r="C101" s="62"/>
      <c r="D101" s="171"/>
      <c r="E101" s="481"/>
      <c r="F101" s="619"/>
      <c r="G101" s="619"/>
      <c r="H101" s="619"/>
      <c r="I101" s="481"/>
      <c r="J101" s="481"/>
      <c r="K101" s="481"/>
      <c r="L101" s="171"/>
      <c r="M101" s="171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</row>
    <row r="102" spans="1:38" x14ac:dyDescent="0.3">
      <c r="A102" s="462"/>
      <c r="B102" s="464" t="s">
        <v>549</v>
      </c>
      <c r="C102" s="62"/>
      <c r="D102" s="171"/>
      <c r="E102" s="481"/>
      <c r="F102" s="619"/>
      <c r="G102" s="619"/>
      <c r="H102" s="619"/>
      <c r="I102" s="481"/>
      <c r="J102" s="481"/>
      <c r="K102" s="481"/>
      <c r="L102" s="171"/>
      <c r="M102" s="171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468">
        <f>'7a. LX_AG-i'!M100</f>
        <v>0</v>
      </c>
      <c r="Y102" s="468"/>
      <c r="Z102" s="468"/>
      <c r="AA102" s="468">
        <f>'7a. LX_AG-i'!N100</f>
        <v>0</v>
      </c>
      <c r="AB102" s="468">
        <f>'7a. LX_AG-i'!O100</f>
        <v>0</v>
      </c>
      <c r="AC102" s="468"/>
      <c r="AD102" s="468"/>
      <c r="AE102" s="468"/>
      <c r="AF102" s="468">
        <f>'7a. LX_AG-i'!P100</f>
        <v>0</v>
      </c>
      <c r="AG102" s="468"/>
      <c r="AH102" s="468">
        <f>'7a. LX_AG-i'!Q100</f>
        <v>0</v>
      </c>
      <c r="AI102" s="62"/>
      <c r="AJ102" s="62"/>
      <c r="AK102" s="62"/>
      <c r="AL102" s="62"/>
    </row>
    <row r="103" spans="1:38" x14ac:dyDescent="0.3">
      <c r="A103" s="462" t="s">
        <v>642</v>
      </c>
      <c r="B103" s="461" t="s">
        <v>615</v>
      </c>
      <c r="C103" s="62"/>
      <c r="D103" s="468">
        <f>'7a. LX_AG-i'!J103</f>
        <v>0</v>
      </c>
      <c r="E103" s="468"/>
      <c r="F103" s="620"/>
      <c r="G103" s="620"/>
      <c r="H103" s="620"/>
      <c r="I103" s="468"/>
      <c r="J103" s="468"/>
      <c r="K103" s="468"/>
      <c r="L103" s="468">
        <f>'7a. LX_AG-i'!K103</f>
        <v>1751981.58</v>
      </c>
      <c r="M103" s="468">
        <f>'7a. LX_AG-i'!L103</f>
        <v>0</v>
      </c>
      <c r="N103" s="468"/>
      <c r="O103" s="468"/>
      <c r="P103" s="468"/>
      <c r="Q103" s="468"/>
      <c r="R103" s="468"/>
      <c r="S103" s="468"/>
      <c r="T103" s="468"/>
      <c r="U103" s="468"/>
      <c r="V103" s="468"/>
      <c r="W103" s="468"/>
      <c r="X103" s="468">
        <f>'7a. LX_AG-i'!M101</f>
        <v>0</v>
      </c>
      <c r="Y103" s="468"/>
      <c r="Z103" s="468"/>
      <c r="AA103" s="468">
        <f>'7a. LX_AG-i'!N101</f>
        <v>0</v>
      </c>
      <c r="AB103" s="468">
        <f>'7a. LX_AG-i'!O101</f>
        <v>0</v>
      </c>
      <c r="AC103" s="468"/>
      <c r="AD103" s="468"/>
      <c r="AE103" s="468"/>
      <c r="AF103" s="468">
        <f>'7a. LX_AG-i'!P101</f>
        <v>0</v>
      </c>
      <c r="AG103" s="468"/>
      <c r="AH103" s="468">
        <f>'7a. LX_AG-i'!Q101</f>
        <v>0</v>
      </c>
      <c r="AI103" s="62"/>
      <c r="AJ103" s="468">
        <f>'7a. LX_AG-i'!I103</f>
        <v>1751981.58</v>
      </c>
      <c r="AK103" s="62">
        <f t="shared" ref="AK103:AK120" si="0">SUM(I103:K103,L103,N103:W103,Y103:Z103,AA103:AA103,AC103:AE103,AG103:AH103,E103)</f>
        <v>1751981.58</v>
      </c>
      <c r="AL103" s="62">
        <f t="shared" ref="AL103:AL111" si="1">AJ103-AK103</f>
        <v>0</v>
      </c>
    </row>
    <row r="104" spans="1:38" x14ac:dyDescent="0.3">
      <c r="A104" s="462" t="s">
        <v>643</v>
      </c>
      <c r="B104" s="461" t="s">
        <v>644</v>
      </c>
      <c r="C104" s="62"/>
      <c r="D104" s="468">
        <f>'7a. LX_AG-i'!J104</f>
        <v>0</v>
      </c>
      <c r="E104" s="468"/>
      <c r="F104" s="620"/>
      <c r="G104" s="620"/>
      <c r="H104" s="620"/>
      <c r="I104" s="468"/>
      <c r="J104" s="468"/>
      <c r="K104" s="468"/>
      <c r="L104" s="468">
        <f>'7a. LX_AG-i'!K104</f>
        <v>382759.25</v>
      </c>
      <c r="M104" s="468">
        <f>'7a. LX_AG-i'!L104</f>
        <v>0</v>
      </c>
      <c r="N104" s="468"/>
      <c r="O104" s="468"/>
      <c r="P104" s="468"/>
      <c r="Q104" s="468"/>
      <c r="R104" s="468"/>
      <c r="S104" s="468"/>
      <c r="T104" s="468"/>
      <c r="U104" s="468"/>
      <c r="V104" s="468"/>
      <c r="W104" s="468"/>
      <c r="X104" s="468">
        <f>'7a. LX_AG-i'!M102</f>
        <v>0</v>
      </c>
      <c r="Y104" s="468"/>
      <c r="Z104" s="468"/>
      <c r="AA104" s="468">
        <f>'7a. LX_AG-i'!N102</f>
        <v>0</v>
      </c>
      <c r="AB104" s="468">
        <f>'7a. LX_AG-i'!O102</f>
        <v>0</v>
      </c>
      <c r="AC104" s="468"/>
      <c r="AD104" s="468"/>
      <c r="AE104" s="468"/>
      <c r="AF104" s="468">
        <f>'7a. LX_AG-i'!P102</f>
        <v>0</v>
      </c>
      <c r="AG104" s="468"/>
      <c r="AH104" s="468">
        <f>'7a. LX_AG-i'!Q102</f>
        <v>0</v>
      </c>
      <c r="AI104" s="62"/>
      <c r="AJ104" s="468">
        <f>'7a. LX_AG-i'!I104</f>
        <v>382759.25</v>
      </c>
      <c r="AK104" s="62">
        <f t="shared" si="0"/>
        <v>382759.25</v>
      </c>
      <c r="AL104" s="62">
        <f t="shared" si="1"/>
        <v>0</v>
      </c>
    </row>
    <row r="105" spans="1:38" x14ac:dyDescent="0.3">
      <c r="A105" s="462" t="s">
        <v>645</v>
      </c>
      <c r="B105" s="461" t="s">
        <v>428</v>
      </c>
      <c r="C105" s="62"/>
      <c r="D105" s="468">
        <f>'7a. LX_AG-i'!J105</f>
        <v>0</v>
      </c>
      <c r="E105" s="468"/>
      <c r="F105" s="620"/>
      <c r="G105" s="620"/>
      <c r="H105" s="620"/>
      <c r="I105" s="468"/>
      <c r="J105" s="468"/>
      <c r="K105" s="468"/>
      <c r="L105" s="468">
        <f>'7a. LX_AG-i'!K105</f>
        <v>270273.71999999997</v>
      </c>
      <c r="M105" s="468">
        <f>'7a. LX_AG-i'!L105</f>
        <v>0</v>
      </c>
      <c r="N105" s="468"/>
      <c r="O105" s="468"/>
      <c r="P105" s="468"/>
      <c r="Q105" s="468"/>
      <c r="R105" s="468"/>
      <c r="S105" s="468"/>
      <c r="T105" s="468"/>
      <c r="U105" s="468"/>
      <c r="V105" s="468"/>
      <c r="W105" s="468"/>
      <c r="X105" s="468">
        <f>'7a. LX_AG-i'!M103</f>
        <v>0</v>
      </c>
      <c r="Y105" s="468"/>
      <c r="Z105" s="468"/>
      <c r="AA105" s="468">
        <f>'7a. LX_AG-i'!N103</f>
        <v>0</v>
      </c>
      <c r="AB105" s="468">
        <f>'7a. LX_AG-i'!O103</f>
        <v>0</v>
      </c>
      <c r="AC105" s="468"/>
      <c r="AD105" s="468"/>
      <c r="AE105" s="468"/>
      <c r="AF105" s="468">
        <f>'7a. LX_AG-i'!P103</f>
        <v>0</v>
      </c>
      <c r="AG105" s="468"/>
      <c r="AH105" s="468">
        <f>'7a. LX_AG-i'!Q103</f>
        <v>0</v>
      </c>
      <c r="AI105" s="62"/>
      <c r="AJ105" s="468">
        <f>'7a. LX_AG-i'!I105</f>
        <v>270273.71999999997</v>
      </c>
      <c r="AK105" s="62">
        <f t="shared" si="0"/>
        <v>270273.71999999997</v>
      </c>
      <c r="AL105" s="62">
        <f t="shared" si="1"/>
        <v>0</v>
      </c>
    </row>
    <row r="106" spans="1:38" x14ac:dyDescent="0.3">
      <c r="A106" s="462" t="s">
        <v>646</v>
      </c>
      <c r="B106" s="461" t="s">
        <v>647</v>
      </c>
      <c r="C106" s="62"/>
      <c r="D106" s="468">
        <f>'7a. LX_AG-i'!J106</f>
        <v>0</v>
      </c>
      <c r="E106" s="468"/>
      <c r="F106" s="620"/>
      <c r="G106" s="620"/>
      <c r="H106" s="620"/>
      <c r="I106" s="468"/>
      <c r="J106" s="468"/>
      <c r="K106" s="468"/>
      <c r="L106" s="468">
        <f>'7a. LX_AG-i'!K106</f>
        <v>4633.1000000000004</v>
      </c>
      <c r="M106" s="468">
        <f>'7a. LX_AG-i'!L106</f>
        <v>0</v>
      </c>
      <c r="N106" s="468"/>
      <c r="O106" s="468"/>
      <c r="P106" s="468"/>
      <c r="Q106" s="468"/>
      <c r="R106" s="468"/>
      <c r="S106" s="468"/>
      <c r="T106" s="468"/>
      <c r="U106" s="468"/>
      <c r="V106" s="468"/>
      <c r="W106" s="468"/>
      <c r="X106" s="468">
        <f>'7a. LX_AG-i'!M104</f>
        <v>0</v>
      </c>
      <c r="Y106" s="468"/>
      <c r="Z106" s="468"/>
      <c r="AA106" s="468">
        <f>'7a. LX_AG-i'!N104</f>
        <v>0</v>
      </c>
      <c r="AB106" s="468">
        <f>'7a. LX_AG-i'!O104</f>
        <v>0</v>
      </c>
      <c r="AC106" s="468"/>
      <c r="AD106" s="468"/>
      <c r="AE106" s="468"/>
      <c r="AF106" s="468">
        <f>'7a. LX_AG-i'!P104</f>
        <v>0</v>
      </c>
      <c r="AG106" s="468"/>
      <c r="AH106" s="468">
        <f>'7a. LX_AG-i'!Q104</f>
        <v>0</v>
      </c>
      <c r="AI106" s="62"/>
      <c r="AJ106" s="468">
        <f>'7a. LX_AG-i'!I106</f>
        <v>4633.1000000000004</v>
      </c>
      <c r="AK106" s="62">
        <f t="shared" si="0"/>
        <v>4633.1000000000004</v>
      </c>
      <c r="AL106" s="62">
        <f t="shared" si="1"/>
        <v>0</v>
      </c>
    </row>
    <row r="107" spans="1:38" x14ac:dyDescent="0.3">
      <c r="A107" s="462" t="s">
        <v>648</v>
      </c>
      <c r="B107" s="461" t="s">
        <v>649</v>
      </c>
      <c r="C107" s="62"/>
      <c r="D107" s="468">
        <f>'7a. LX_AG-i'!J107</f>
        <v>0</v>
      </c>
      <c r="E107" s="468"/>
      <c r="F107" s="620"/>
      <c r="G107" s="620"/>
      <c r="H107" s="620"/>
      <c r="I107" s="468"/>
      <c r="J107" s="468"/>
      <c r="K107" s="468"/>
      <c r="L107" s="468">
        <f>'7a. LX_AG-i'!K107</f>
        <v>0</v>
      </c>
      <c r="M107" s="468">
        <f>'7a. LX_AG-i'!L107</f>
        <v>0</v>
      </c>
      <c r="N107" s="468"/>
      <c r="O107" s="468"/>
      <c r="P107" s="468"/>
      <c r="Q107" s="468"/>
      <c r="R107" s="468"/>
      <c r="S107" s="468"/>
      <c r="T107" s="468"/>
      <c r="U107" s="468"/>
      <c r="V107" s="468"/>
      <c r="W107" s="468"/>
      <c r="X107" s="468">
        <f>'7a. LX_AG-i'!M105</f>
        <v>0</v>
      </c>
      <c r="Y107" s="468"/>
      <c r="Z107" s="468"/>
      <c r="AA107" s="468">
        <f>'7a. LX_AG-i'!N105</f>
        <v>0</v>
      </c>
      <c r="AB107" s="468">
        <f>'7a. LX_AG-i'!O105</f>
        <v>0</v>
      </c>
      <c r="AC107" s="468"/>
      <c r="AD107" s="468"/>
      <c r="AE107" s="468"/>
      <c r="AF107" s="468">
        <f>'7a. LX_AG-i'!P105</f>
        <v>0</v>
      </c>
      <c r="AG107" s="468"/>
      <c r="AH107" s="468">
        <f>'7a. LX_AG-i'!Q105</f>
        <v>0</v>
      </c>
      <c r="AI107" s="62"/>
      <c r="AJ107" s="468">
        <f>'7a. LX_AG-i'!I107</f>
        <v>0</v>
      </c>
      <c r="AK107" s="62">
        <f t="shared" si="0"/>
        <v>0</v>
      </c>
      <c r="AL107" s="62">
        <f t="shared" si="1"/>
        <v>0</v>
      </c>
    </row>
    <row r="108" spans="1:38" x14ac:dyDescent="0.3">
      <c r="A108" s="462" t="s">
        <v>650</v>
      </c>
      <c r="B108" s="466" t="s">
        <v>651</v>
      </c>
      <c r="C108" s="62"/>
      <c r="D108" s="468">
        <f>'7a. LX_AG-i'!J108</f>
        <v>0</v>
      </c>
      <c r="E108" s="468"/>
      <c r="F108" s="620"/>
      <c r="G108" s="620"/>
      <c r="H108" s="620"/>
      <c r="I108" s="468"/>
      <c r="J108" s="468"/>
      <c r="K108" s="468"/>
      <c r="L108" s="468">
        <f>'7a. LX_AG-i'!K108</f>
        <v>0</v>
      </c>
      <c r="M108" s="468">
        <f>'7a. LX_AG-i'!L108</f>
        <v>0</v>
      </c>
      <c r="N108" s="468"/>
      <c r="O108" s="468"/>
      <c r="P108" s="468"/>
      <c r="Q108" s="468"/>
      <c r="R108" s="468"/>
      <c r="S108" s="468"/>
      <c r="T108" s="468"/>
      <c r="U108" s="468"/>
      <c r="V108" s="468"/>
      <c r="W108" s="468"/>
      <c r="X108" s="468">
        <f>'7a. LX_AG-i'!M106</f>
        <v>0</v>
      </c>
      <c r="Y108" s="468"/>
      <c r="Z108" s="468"/>
      <c r="AA108" s="468">
        <f>'7a. LX_AG-i'!N106</f>
        <v>0</v>
      </c>
      <c r="AB108" s="468">
        <f>'7a. LX_AG-i'!O106</f>
        <v>0</v>
      </c>
      <c r="AC108" s="468"/>
      <c r="AD108" s="468"/>
      <c r="AE108" s="468"/>
      <c r="AF108" s="468">
        <f>'7a. LX_AG-i'!P106</f>
        <v>0</v>
      </c>
      <c r="AG108" s="468"/>
      <c r="AH108" s="468">
        <f>'7a. LX_AG-i'!Q106</f>
        <v>0</v>
      </c>
      <c r="AI108" s="62"/>
      <c r="AJ108" s="468">
        <f>'7a. LX_AG-i'!I108</f>
        <v>0</v>
      </c>
      <c r="AK108" s="62">
        <f t="shared" si="0"/>
        <v>0</v>
      </c>
      <c r="AL108" s="62">
        <f t="shared" si="1"/>
        <v>0</v>
      </c>
    </row>
    <row r="109" spans="1:38" x14ac:dyDescent="0.3">
      <c r="A109" s="462" t="s">
        <v>652</v>
      </c>
      <c r="B109" s="461" t="s">
        <v>653</v>
      </c>
      <c r="C109" s="62"/>
      <c r="D109" s="468">
        <f>'7a. LX_AG-i'!J109</f>
        <v>0</v>
      </c>
      <c r="E109" s="468"/>
      <c r="F109" s="620"/>
      <c r="G109" s="620"/>
      <c r="H109" s="620"/>
      <c r="I109" s="468"/>
      <c r="J109" s="468"/>
      <c r="K109" s="468"/>
      <c r="L109" s="468">
        <f>'7a. LX_AG-i'!K109</f>
        <v>1004068.18</v>
      </c>
      <c r="M109" s="468">
        <f>'7a. LX_AG-i'!L109</f>
        <v>0</v>
      </c>
      <c r="N109" s="468"/>
      <c r="O109" s="468"/>
      <c r="P109" s="468"/>
      <c r="Q109" s="468"/>
      <c r="R109" s="468"/>
      <c r="S109" s="468"/>
      <c r="T109" s="468"/>
      <c r="U109" s="468"/>
      <c r="V109" s="468"/>
      <c r="W109" s="468"/>
      <c r="X109" s="468">
        <f>'7a. LX_AG-i'!M107</f>
        <v>0</v>
      </c>
      <c r="Y109" s="468"/>
      <c r="Z109" s="468"/>
      <c r="AA109" s="468">
        <f>'7a. LX_AG-i'!N107</f>
        <v>0</v>
      </c>
      <c r="AB109" s="468">
        <f>'7a. LX_AG-i'!O107</f>
        <v>0</v>
      </c>
      <c r="AC109" s="468"/>
      <c r="AD109" s="468"/>
      <c r="AE109" s="468"/>
      <c r="AF109" s="468">
        <f>'7a. LX_AG-i'!P107</f>
        <v>0</v>
      </c>
      <c r="AG109" s="468"/>
      <c r="AH109" s="468">
        <f>'7a. LX_AG-i'!Q107</f>
        <v>0</v>
      </c>
      <c r="AI109" s="62"/>
      <c r="AJ109" s="468">
        <f>'7a. LX_AG-i'!I109</f>
        <v>1004068.18</v>
      </c>
      <c r="AK109" s="62">
        <f t="shared" si="0"/>
        <v>1004068.18</v>
      </c>
      <c r="AL109" s="62">
        <f t="shared" si="1"/>
        <v>0</v>
      </c>
    </row>
    <row r="110" spans="1:38" ht="14.5" x14ac:dyDescent="0.45">
      <c r="A110" s="462" t="s">
        <v>654</v>
      </c>
      <c r="B110" s="461" t="s">
        <v>564</v>
      </c>
      <c r="C110" s="62"/>
      <c r="D110" s="473">
        <f>'7a. LX_AG-i'!J110</f>
        <v>0</v>
      </c>
      <c r="E110" s="473"/>
      <c r="F110" s="621"/>
      <c r="G110" s="621"/>
      <c r="H110" s="621"/>
      <c r="I110" s="473"/>
      <c r="J110" s="473"/>
      <c r="K110" s="473"/>
      <c r="L110" s="473">
        <f>'7a. LX_AG-i'!K110</f>
        <v>0</v>
      </c>
      <c r="M110" s="473">
        <f>'7a. LX_AG-i'!L110</f>
        <v>0</v>
      </c>
      <c r="N110" s="473"/>
      <c r="O110" s="473"/>
      <c r="P110" s="473"/>
      <c r="Q110" s="473"/>
      <c r="R110" s="473"/>
      <c r="S110" s="473"/>
      <c r="T110" s="473"/>
      <c r="U110" s="473"/>
      <c r="V110" s="473"/>
      <c r="W110" s="473"/>
      <c r="X110" s="473">
        <f>'7a. LX_AG-i'!M108</f>
        <v>0</v>
      </c>
      <c r="Y110" s="473"/>
      <c r="Z110" s="473"/>
      <c r="AA110" s="473">
        <f>'7a. LX_AG-i'!N108</f>
        <v>0</v>
      </c>
      <c r="AB110" s="473">
        <f>'7a. LX_AG-i'!O108</f>
        <v>0</v>
      </c>
      <c r="AC110" s="473"/>
      <c r="AD110" s="473"/>
      <c r="AE110" s="473"/>
      <c r="AF110" s="473">
        <f>'7a. LX_AG-i'!P108</f>
        <v>0</v>
      </c>
      <c r="AG110" s="473"/>
      <c r="AH110" s="473">
        <f>'7a. LX_AG-i'!Q108</f>
        <v>0</v>
      </c>
      <c r="AI110" s="62"/>
      <c r="AJ110" s="468">
        <f>'7a. LX_AG-i'!I110</f>
        <v>0</v>
      </c>
      <c r="AK110" s="62">
        <f t="shared" si="0"/>
        <v>0</v>
      </c>
      <c r="AL110" s="62">
        <f t="shared" si="1"/>
        <v>0</v>
      </c>
    </row>
    <row r="111" spans="1:38" x14ac:dyDescent="0.3">
      <c r="A111" s="462"/>
      <c r="B111" s="474" t="s">
        <v>524</v>
      </c>
      <c r="C111" s="62"/>
      <c r="D111" s="171">
        <f>SUM(D103:D110)</f>
        <v>0</v>
      </c>
      <c r="E111" s="171">
        <f>SUM(E103:E110)</f>
        <v>0</v>
      </c>
      <c r="F111" s="622"/>
      <c r="G111" s="622"/>
      <c r="H111" s="622"/>
      <c r="I111" s="171">
        <f>SUM(I103:I110)</f>
        <v>0</v>
      </c>
      <c r="J111" s="171"/>
      <c r="K111" s="171"/>
      <c r="L111" s="171">
        <f t="shared" ref="L111:AA111" si="2">SUM(L103:L110)</f>
        <v>3413715.83</v>
      </c>
      <c r="M111" s="171">
        <f t="shared" si="2"/>
        <v>0</v>
      </c>
      <c r="N111" s="171">
        <f t="shared" si="2"/>
        <v>0</v>
      </c>
      <c r="O111" s="171">
        <f t="shared" si="2"/>
        <v>0</v>
      </c>
      <c r="P111" s="171">
        <f t="shared" si="2"/>
        <v>0</v>
      </c>
      <c r="Q111" s="171">
        <f t="shared" si="2"/>
        <v>0</v>
      </c>
      <c r="R111" s="171">
        <f t="shared" si="2"/>
        <v>0</v>
      </c>
      <c r="S111" s="171">
        <f t="shared" si="2"/>
        <v>0</v>
      </c>
      <c r="T111" s="171">
        <f t="shared" si="2"/>
        <v>0</v>
      </c>
      <c r="U111" s="171">
        <f t="shared" si="2"/>
        <v>0</v>
      </c>
      <c r="V111" s="171">
        <f t="shared" si="2"/>
        <v>0</v>
      </c>
      <c r="W111" s="171">
        <f t="shared" si="2"/>
        <v>0</v>
      </c>
      <c r="X111" s="171">
        <f t="shared" si="2"/>
        <v>0</v>
      </c>
      <c r="Y111" s="171"/>
      <c r="Z111" s="171"/>
      <c r="AA111" s="171">
        <f t="shared" si="2"/>
        <v>0</v>
      </c>
      <c r="AB111" s="171">
        <f>SUM(AB103:AB110)</f>
        <v>0</v>
      </c>
      <c r="AC111" s="171"/>
      <c r="AD111" s="171"/>
      <c r="AE111" s="171"/>
      <c r="AF111" s="171">
        <f>SUM(AF103:AF110)</f>
        <v>0</v>
      </c>
      <c r="AG111" s="171"/>
      <c r="AH111" s="171">
        <f>SUM(AH103:AH110)</f>
        <v>0</v>
      </c>
      <c r="AI111" s="62"/>
      <c r="AJ111" s="468">
        <f>'7a. LX_AG-i'!I111</f>
        <v>3413715.83</v>
      </c>
      <c r="AK111" s="62">
        <f t="shared" si="0"/>
        <v>3413715.83</v>
      </c>
      <c r="AL111" s="62">
        <f t="shared" si="1"/>
        <v>0</v>
      </c>
    </row>
    <row r="112" spans="1:38" x14ac:dyDescent="0.3">
      <c r="A112" s="462"/>
      <c r="B112" s="461"/>
      <c r="C112" s="62"/>
      <c r="D112" s="171"/>
      <c r="E112" s="481"/>
      <c r="F112" s="619"/>
      <c r="G112" s="619"/>
      <c r="H112" s="619"/>
      <c r="I112" s="481"/>
      <c r="J112" s="481"/>
      <c r="K112" s="481"/>
      <c r="L112" s="171"/>
      <c r="M112" s="171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>
        <f t="shared" si="0"/>
        <v>0</v>
      </c>
      <c r="AL112" s="62"/>
    </row>
    <row r="113" spans="1:38" x14ac:dyDescent="0.3">
      <c r="A113" s="462"/>
      <c r="B113" s="464" t="s">
        <v>565</v>
      </c>
      <c r="C113" s="62"/>
      <c r="D113" s="171"/>
      <c r="E113" s="481"/>
      <c r="F113" s="619"/>
      <c r="G113" s="619"/>
      <c r="H113" s="619"/>
      <c r="I113" s="481"/>
      <c r="J113" s="481"/>
      <c r="K113" s="481"/>
      <c r="L113" s="171"/>
      <c r="M113" s="171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>
        <f t="shared" si="0"/>
        <v>0</v>
      </c>
      <c r="AL113" s="62"/>
    </row>
    <row r="114" spans="1:38" x14ac:dyDescent="0.3">
      <c r="A114" s="462" t="s">
        <v>655</v>
      </c>
      <c r="B114" s="461" t="s">
        <v>622</v>
      </c>
      <c r="C114" s="62"/>
      <c r="D114" s="468">
        <f>'7a. LX_AG-i'!J114</f>
        <v>0</v>
      </c>
      <c r="E114" s="468"/>
      <c r="F114" s="620"/>
      <c r="G114" s="620"/>
      <c r="H114" s="620"/>
      <c r="I114" s="468"/>
      <c r="J114" s="468"/>
      <c r="K114" s="468"/>
      <c r="L114" s="468">
        <f>'7a. LX_AG-i'!K114</f>
        <v>740562.87</v>
      </c>
      <c r="M114" s="468">
        <f>'7a. LX_AG-i'!L114</f>
        <v>0</v>
      </c>
      <c r="N114" s="468"/>
      <c r="O114" s="468"/>
      <c r="P114" s="468"/>
      <c r="Q114" s="468"/>
      <c r="R114" s="468"/>
      <c r="S114" s="468"/>
      <c r="T114" s="468"/>
      <c r="U114" s="468"/>
      <c r="V114" s="468"/>
      <c r="W114" s="468"/>
      <c r="X114" s="468">
        <f>'7a. LX_AG-i'!M114</f>
        <v>0</v>
      </c>
      <c r="Y114" s="468"/>
      <c r="Z114" s="468"/>
      <c r="AA114" s="468">
        <f>'7a. LX_AG-i'!N114</f>
        <v>0</v>
      </c>
      <c r="AB114" s="468">
        <f>'7a. LX_AG-i'!O114</f>
        <v>0</v>
      </c>
      <c r="AC114" s="468"/>
      <c r="AD114" s="468"/>
      <c r="AE114" s="468"/>
      <c r="AF114" s="468">
        <f>'7a. LX_AG-i'!P114</f>
        <v>0</v>
      </c>
      <c r="AG114" s="468"/>
      <c r="AH114" s="468">
        <f>'7a. LX_AG-i'!Q114</f>
        <v>0</v>
      </c>
      <c r="AI114" s="62"/>
      <c r="AJ114" s="468">
        <f>'7a. LX_AG-i'!I114</f>
        <v>740562.87</v>
      </c>
      <c r="AK114" s="62">
        <f t="shared" si="0"/>
        <v>740562.87</v>
      </c>
      <c r="AL114" s="62">
        <f t="shared" ref="AL114:AL120" si="3">AJ114-AK114</f>
        <v>0</v>
      </c>
    </row>
    <row r="115" spans="1:38" x14ac:dyDescent="0.3">
      <c r="A115" s="462" t="s">
        <v>656</v>
      </c>
      <c r="B115" s="466" t="s">
        <v>569</v>
      </c>
      <c r="C115" s="62"/>
      <c r="D115" s="468">
        <f>'7a. LX_AG-i'!J115</f>
        <v>0</v>
      </c>
      <c r="E115" s="468"/>
      <c r="F115" s="620"/>
      <c r="G115" s="620"/>
      <c r="H115" s="620"/>
      <c r="I115" s="468"/>
      <c r="J115" s="468"/>
      <c r="K115" s="468"/>
      <c r="L115" s="468">
        <f>'7a. LX_AG-i'!K115</f>
        <v>0</v>
      </c>
      <c r="M115" s="468">
        <f>'7a. LX_AG-i'!L115</f>
        <v>0</v>
      </c>
      <c r="N115" s="468"/>
      <c r="O115" s="468"/>
      <c r="P115" s="468"/>
      <c r="Q115" s="468"/>
      <c r="R115" s="468"/>
      <c r="S115" s="468"/>
      <c r="T115" s="468"/>
      <c r="U115" s="468"/>
      <c r="V115" s="468"/>
      <c r="W115" s="468"/>
      <c r="X115" s="468">
        <f>'7a. LX_AG-i'!M115</f>
        <v>0</v>
      </c>
      <c r="Y115" s="468"/>
      <c r="Z115" s="468"/>
      <c r="AA115" s="468">
        <f>'7a. LX_AG-i'!N115</f>
        <v>0</v>
      </c>
      <c r="AB115" s="468">
        <f>'7a. LX_AG-i'!O115</f>
        <v>0</v>
      </c>
      <c r="AC115" s="468"/>
      <c r="AD115" s="468"/>
      <c r="AE115" s="468"/>
      <c r="AF115" s="468">
        <f>'7a. LX_AG-i'!P115</f>
        <v>0</v>
      </c>
      <c r="AG115" s="468"/>
      <c r="AH115" s="468">
        <f>'7a. LX_AG-i'!Q115</f>
        <v>0</v>
      </c>
      <c r="AI115" s="62"/>
      <c r="AJ115" s="468">
        <f>'7a. LX_AG-i'!I115</f>
        <v>0</v>
      </c>
      <c r="AK115" s="62">
        <f t="shared" si="0"/>
        <v>0</v>
      </c>
      <c r="AL115" s="62">
        <f t="shared" si="3"/>
        <v>0</v>
      </c>
    </row>
    <row r="116" spans="1:38" x14ac:dyDescent="0.3">
      <c r="A116" s="462" t="s">
        <v>657</v>
      </c>
      <c r="B116" s="461" t="s">
        <v>658</v>
      </c>
      <c r="C116" s="62"/>
      <c r="D116" s="468">
        <f>'7a. LX_AG-i'!J116</f>
        <v>0</v>
      </c>
      <c r="E116" s="468"/>
      <c r="F116" s="620"/>
      <c r="G116" s="620"/>
      <c r="H116" s="620"/>
      <c r="I116" s="468"/>
      <c r="J116" s="468"/>
      <c r="K116" s="468"/>
      <c r="L116" s="468">
        <f>'7a. LX_AG-i'!K116</f>
        <v>2058075.96</v>
      </c>
      <c r="M116" s="468">
        <f>'7a. LX_AG-i'!L116</f>
        <v>0</v>
      </c>
      <c r="N116" s="468"/>
      <c r="O116" s="468"/>
      <c r="P116" s="468"/>
      <c r="Q116" s="468"/>
      <c r="R116" s="468"/>
      <c r="S116" s="468"/>
      <c r="T116" s="468"/>
      <c r="U116" s="468"/>
      <c r="V116" s="468"/>
      <c r="W116" s="468"/>
      <c r="X116" s="468">
        <f>'7a. LX_AG-i'!M116</f>
        <v>0</v>
      </c>
      <c r="Y116" s="468"/>
      <c r="Z116" s="468"/>
      <c r="AA116" s="468">
        <f>'7a. LX_AG-i'!N116</f>
        <v>0</v>
      </c>
      <c r="AB116" s="468">
        <f>'7a. LX_AG-i'!O116</f>
        <v>0</v>
      </c>
      <c r="AC116" s="468"/>
      <c r="AD116" s="468"/>
      <c r="AE116" s="468"/>
      <c r="AF116" s="468">
        <f>'7a. LX_AG-i'!P116</f>
        <v>0</v>
      </c>
      <c r="AG116" s="468"/>
      <c r="AH116" s="468">
        <f>'7a. LX_AG-i'!Q116</f>
        <v>0</v>
      </c>
      <c r="AI116" s="62"/>
      <c r="AJ116" s="468">
        <f>'7a. LX_AG-i'!I116</f>
        <v>2058075.96</v>
      </c>
      <c r="AK116" s="62">
        <f t="shared" si="0"/>
        <v>2058075.96</v>
      </c>
      <c r="AL116" s="62">
        <f t="shared" si="3"/>
        <v>0</v>
      </c>
    </row>
    <row r="117" spans="1:38" x14ac:dyDescent="0.3">
      <c r="A117" s="462" t="s">
        <v>659</v>
      </c>
      <c r="B117" s="461" t="s">
        <v>660</v>
      </c>
      <c r="C117" s="62"/>
      <c r="D117" s="468">
        <f>'7a. LX_AG-i'!J117</f>
        <v>0</v>
      </c>
      <c r="E117" s="468"/>
      <c r="F117" s="620"/>
      <c r="G117" s="620"/>
      <c r="H117" s="620"/>
      <c r="I117" s="468"/>
      <c r="J117" s="468"/>
      <c r="K117" s="468"/>
      <c r="L117" s="468">
        <f>'7a. LX_AG-i'!K117</f>
        <v>1739306.21</v>
      </c>
      <c r="M117" s="468">
        <f>'7a. LX_AG-i'!L117</f>
        <v>0</v>
      </c>
      <c r="N117" s="468"/>
      <c r="O117" s="468"/>
      <c r="P117" s="468"/>
      <c r="Q117" s="468"/>
      <c r="R117" s="468"/>
      <c r="S117" s="468"/>
      <c r="T117" s="468"/>
      <c r="U117" s="468"/>
      <c r="V117" s="468"/>
      <c r="W117" s="468"/>
      <c r="X117" s="468">
        <f>'7a. LX_AG-i'!M117</f>
        <v>0</v>
      </c>
      <c r="Y117" s="468"/>
      <c r="Z117" s="468"/>
      <c r="AA117" s="468">
        <f>'7a. LX_AG-i'!N117</f>
        <v>0</v>
      </c>
      <c r="AB117" s="468">
        <f>'7a. LX_AG-i'!O117</f>
        <v>0</v>
      </c>
      <c r="AC117" s="468"/>
      <c r="AD117" s="468"/>
      <c r="AE117" s="468"/>
      <c r="AF117" s="468">
        <f>'7a. LX_AG-i'!P117</f>
        <v>0</v>
      </c>
      <c r="AG117" s="468"/>
      <c r="AH117" s="468">
        <f>'7a. LX_AG-i'!Q117</f>
        <v>0</v>
      </c>
      <c r="AI117" s="62"/>
      <c r="AJ117" s="468">
        <f>'7a. LX_AG-i'!I117</f>
        <v>1739306.21</v>
      </c>
      <c r="AK117" s="62">
        <f t="shared" si="0"/>
        <v>1739306.21</v>
      </c>
      <c r="AL117" s="62">
        <f t="shared" si="3"/>
        <v>0</v>
      </c>
    </row>
    <row r="118" spans="1:38" x14ac:dyDescent="0.3">
      <c r="A118" s="462" t="s">
        <v>661</v>
      </c>
      <c r="B118" s="466" t="s">
        <v>662</v>
      </c>
      <c r="C118" s="62"/>
      <c r="D118" s="468">
        <f>'7a. LX_AG-i'!J118</f>
        <v>0</v>
      </c>
      <c r="E118" s="468"/>
      <c r="F118" s="620"/>
      <c r="G118" s="620"/>
      <c r="H118" s="620"/>
      <c r="I118" s="468"/>
      <c r="J118" s="468"/>
      <c r="K118" s="468"/>
      <c r="L118" s="468">
        <f>'7a. LX_AG-i'!K118</f>
        <v>15658.54</v>
      </c>
      <c r="M118" s="468">
        <f>'7a. LX_AG-i'!L118</f>
        <v>0</v>
      </c>
      <c r="N118" s="468"/>
      <c r="O118" s="468"/>
      <c r="P118" s="468"/>
      <c r="Q118" s="468"/>
      <c r="R118" s="468"/>
      <c r="S118" s="468"/>
      <c r="T118" s="468"/>
      <c r="U118" s="468"/>
      <c r="V118" s="468"/>
      <c r="W118" s="468"/>
      <c r="X118" s="468">
        <f>'7a. LX_AG-i'!M118</f>
        <v>0</v>
      </c>
      <c r="Y118" s="468"/>
      <c r="Z118" s="468"/>
      <c r="AA118" s="468">
        <f>'7a. LX_AG-i'!N118</f>
        <v>0</v>
      </c>
      <c r="AB118" s="468">
        <f>'7a. LX_AG-i'!O118</f>
        <v>0</v>
      </c>
      <c r="AC118" s="468"/>
      <c r="AD118" s="468"/>
      <c r="AE118" s="468"/>
      <c r="AF118" s="468">
        <f>'7a. LX_AG-i'!P118</f>
        <v>0</v>
      </c>
      <c r="AG118" s="468"/>
      <c r="AH118" s="468">
        <f>'7a. LX_AG-i'!Q118</f>
        <v>0</v>
      </c>
      <c r="AI118" s="62"/>
      <c r="AJ118" s="468">
        <f>'7a. LX_AG-i'!I118</f>
        <v>15658.54</v>
      </c>
      <c r="AK118" s="62">
        <f t="shared" si="0"/>
        <v>15658.54</v>
      </c>
      <c r="AL118" s="62">
        <f t="shared" si="3"/>
        <v>0</v>
      </c>
    </row>
    <row r="119" spans="1:38" ht="14.5" x14ac:dyDescent="0.45">
      <c r="A119" s="462" t="s">
        <v>663</v>
      </c>
      <c r="B119" s="466" t="s">
        <v>1334</v>
      </c>
      <c r="C119" s="62"/>
      <c r="D119" s="473">
        <f>'7a. LX_AG-i'!J119</f>
        <v>0</v>
      </c>
      <c r="E119" s="473"/>
      <c r="F119" s="621"/>
      <c r="G119" s="621"/>
      <c r="H119" s="621"/>
      <c r="I119" s="473"/>
      <c r="J119" s="473"/>
      <c r="K119" s="473"/>
      <c r="L119" s="473">
        <f>'7a. LX_AG-i'!K119</f>
        <v>1804729.76</v>
      </c>
      <c r="M119" s="473">
        <f>'7a. LX_AG-i'!L119</f>
        <v>0</v>
      </c>
      <c r="N119" s="473"/>
      <c r="O119" s="473"/>
      <c r="P119" s="473"/>
      <c r="Q119" s="473"/>
      <c r="R119" s="473"/>
      <c r="S119" s="473"/>
      <c r="T119" s="473"/>
      <c r="U119" s="473"/>
      <c r="V119" s="473"/>
      <c r="W119" s="473"/>
      <c r="X119" s="473">
        <f>'7a. LX_AG-i'!M119</f>
        <v>0</v>
      </c>
      <c r="Y119" s="473"/>
      <c r="Z119" s="473"/>
      <c r="AA119" s="473">
        <f>'7a. LX_AG-i'!N119</f>
        <v>0</v>
      </c>
      <c r="AB119" s="473">
        <f>'7a. LX_AG-i'!O119</f>
        <v>0</v>
      </c>
      <c r="AC119" s="473"/>
      <c r="AD119" s="473"/>
      <c r="AE119" s="473"/>
      <c r="AF119" s="473">
        <f>'7a. LX_AG-i'!P119</f>
        <v>0</v>
      </c>
      <c r="AG119" s="473"/>
      <c r="AH119" s="473">
        <f>'7a. LX_AG-i'!Q119</f>
        <v>0</v>
      </c>
      <c r="AI119" s="62"/>
      <c r="AJ119" s="468">
        <f>'7a. LX_AG-i'!I119</f>
        <v>1804729.76</v>
      </c>
      <c r="AK119" s="62">
        <f t="shared" si="0"/>
        <v>1804729.76</v>
      </c>
      <c r="AL119" s="62">
        <f t="shared" si="3"/>
        <v>0</v>
      </c>
    </row>
    <row r="120" spans="1:38" x14ac:dyDescent="0.3">
      <c r="A120" s="462"/>
      <c r="B120" s="474" t="s">
        <v>524</v>
      </c>
      <c r="C120" s="62"/>
      <c r="D120" s="171">
        <f>SUM(D114:D119)</f>
        <v>0</v>
      </c>
      <c r="E120" s="171">
        <f>SUM(E114:E119)</f>
        <v>0</v>
      </c>
      <c r="F120" s="622"/>
      <c r="G120" s="622"/>
      <c r="H120" s="622"/>
      <c r="I120" s="171">
        <f>SUM(I114:I119)</f>
        <v>0</v>
      </c>
      <c r="J120" s="171"/>
      <c r="K120" s="171"/>
      <c r="L120" s="171">
        <f t="shared" ref="L120:AA120" si="4">SUM(L114:L119)</f>
        <v>6358333.3399999999</v>
      </c>
      <c r="M120" s="171">
        <f t="shared" si="4"/>
        <v>0</v>
      </c>
      <c r="N120" s="171">
        <f t="shared" si="4"/>
        <v>0</v>
      </c>
      <c r="O120" s="171">
        <f t="shared" si="4"/>
        <v>0</v>
      </c>
      <c r="P120" s="171">
        <f t="shared" si="4"/>
        <v>0</v>
      </c>
      <c r="Q120" s="171">
        <f t="shared" si="4"/>
        <v>0</v>
      </c>
      <c r="R120" s="171">
        <f t="shared" si="4"/>
        <v>0</v>
      </c>
      <c r="S120" s="171">
        <f t="shared" si="4"/>
        <v>0</v>
      </c>
      <c r="T120" s="171">
        <f t="shared" si="4"/>
        <v>0</v>
      </c>
      <c r="U120" s="171">
        <f t="shared" si="4"/>
        <v>0</v>
      </c>
      <c r="V120" s="171">
        <f t="shared" si="4"/>
        <v>0</v>
      </c>
      <c r="W120" s="171">
        <f t="shared" si="4"/>
        <v>0</v>
      </c>
      <c r="X120" s="171">
        <f t="shared" si="4"/>
        <v>0</v>
      </c>
      <c r="Y120" s="171"/>
      <c r="Z120" s="171"/>
      <c r="AA120" s="171">
        <f t="shared" si="4"/>
        <v>0</v>
      </c>
      <c r="AB120" s="171">
        <f>SUM(AB114:AB119)</f>
        <v>0</v>
      </c>
      <c r="AC120" s="171"/>
      <c r="AD120" s="171"/>
      <c r="AE120" s="171"/>
      <c r="AF120" s="171">
        <f>SUM(AF114:AF119)</f>
        <v>0</v>
      </c>
      <c r="AG120" s="171"/>
      <c r="AH120" s="171">
        <f>SUM(AH114:AH119)</f>
        <v>0</v>
      </c>
      <c r="AI120" s="62"/>
      <c r="AJ120" s="171">
        <f>SUM(AJ114:AJ119)</f>
        <v>6358333.3399999999</v>
      </c>
      <c r="AK120" s="62">
        <f t="shared" si="0"/>
        <v>6358333.3399999999</v>
      </c>
      <c r="AL120" s="62">
        <f t="shared" si="3"/>
        <v>0</v>
      </c>
    </row>
    <row r="121" spans="1:38" x14ac:dyDescent="0.3">
      <c r="A121" s="462"/>
      <c r="B121" s="461"/>
      <c r="C121" s="62"/>
      <c r="D121" s="171"/>
      <c r="E121" s="481"/>
      <c r="F121" s="619"/>
      <c r="G121" s="619"/>
      <c r="H121" s="619"/>
      <c r="I121" s="481"/>
      <c r="J121" s="481"/>
      <c r="K121" s="481"/>
      <c r="L121" s="171"/>
      <c r="M121" s="171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</row>
    <row r="122" spans="1:38" x14ac:dyDescent="0.3">
      <c r="A122" s="462"/>
      <c r="B122" s="479" t="s">
        <v>541</v>
      </c>
      <c r="C122" s="62"/>
      <c r="D122" s="171">
        <f t="shared" ref="D122:AA122" si="5">D120+D111</f>
        <v>0</v>
      </c>
      <c r="E122" s="171">
        <f t="shared" si="5"/>
        <v>0</v>
      </c>
      <c r="F122" s="622"/>
      <c r="G122" s="622"/>
      <c r="H122" s="622"/>
      <c r="I122" s="171">
        <f t="shared" si="5"/>
        <v>0</v>
      </c>
      <c r="J122" s="171">
        <f t="shared" si="5"/>
        <v>0</v>
      </c>
      <c r="K122" s="171"/>
      <c r="L122" s="171">
        <f t="shared" si="5"/>
        <v>9772049.1699999999</v>
      </c>
      <c r="M122" s="171">
        <f t="shared" si="5"/>
        <v>0</v>
      </c>
      <c r="N122" s="171">
        <f t="shared" si="5"/>
        <v>0</v>
      </c>
      <c r="O122" s="171">
        <f t="shared" si="5"/>
        <v>0</v>
      </c>
      <c r="P122" s="171">
        <f t="shared" si="5"/>
        <v>0</v>
      </c>
      <c r="Q122" s="171">
        <f t="shared" si="5"/>
        <v>0</v>
      </c>
      <c r="R122" s="171">
        <f t="shared" si="5"/>
        <v>0</v>
      </c>
      <c r="S122" s="171">
        <f t="shared" si="5"/>
        <v>0</v>
      </c>
      <c r="T122" s="171">
        <f t="shared" si="5"/>
        <v>0</v>
      </c>
      <c r="U122" s="171">
        <f t="shared" si="5"/>
        <v>0</v>
      </c>
      <c r="V122" s="171">
        <f t="shared" si="5"/>
        <v>0</v>
      </c>
      <c r="W122" s="171">
        <f t="shared" si="5"/>
        <v>0</v>
      </c>
      <c r="X122" s="171">
        <f t="shared" si="5"/>
        <v>0</v>
      </c>
      <c r="Y122" s="171"/>
      <c r="Z122" s="171"/>
      <c r="AA122" s="171">
        <f t="shared" si="5"/>
        <v>0</v>
      </c>
      <c r="AB122" s="171">
        <f>AB120+AB111</f>
        <v>0</v>
      </c>
      <c r="AC122" s="171"/>
      <c r="AD122" s="171"/>
      <c r="AE122" s="171"/>
      <c r="AF122" s="171">
        <f>AF120+AF111</f>
        <v>0</v>
      </c>
      <c r="AG122" s="171"/>
      <c r="AH122" s="171">
        <f>AH120+AH111</f>
        <v>0</v>
      </c>
      <c r="AI122" s="62"/>
      <c r="AJ122" s="171">
        <f>AJ120+AJ111</f>
        <v>9772049.1699999999</v>
      </c>
      <c r="AK122" s="62">
        <f>SUM(I122:K122,L122,N122:W122,Y122:Z122,AA122:AA122,AC122:AE122,AG122:AH122,E122)</f>
        <v>9772049.1699999999</v>
      </c>
      <c r="AL122" s="62">
        <f>AJ122-AK122</f>
        <v>0</v>
      </c>
    </row>
    <row r="123" spans="1:38" x14ac:dyDescent="0.3">
      <c r="A123" s="462"/>
      <c r="B123" s="461"/>
      <c r="C123" s="62"/>
      <c r="D123" s="171"/>
      <c r="E123" s="481"/>
      <c r="F123" s="619"/>
      <c r="G123" s="619"/>
      <c r="H123" s="619"/>
      <c r="I123" s="481"/>
      <c r="J123" s="481"/>
      <c r="K123" s="481"/>
      <c r="L123" s="171"/>
      <c r="M123" s="171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</row>
    <row r="124" spans="1:38" x14ac:dyDescent="0.3">
      <c r="A124" s="460" t="s">
        <v>367</v>
      </c>
      <c r="B124" s="461"/>
      <c r="C124" s="62"/>
      <c r="D124" s="171"/>
      <c r="E124" s="481"/>
      <c r="F124" s="619"/>
      <c r="G124" s="619"/>
      <c r="H124" s="619"/>
      <c r="I124" s="481"/>
      <c r="J124" s="481"/>
      <c r="K124" s="481"/>
      <c r="L124" s="171"/>
      <c r="M124" s="171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</row>
    <row r="125" spans="1:38" x14ac:dyDescent="0.3">
      <c r="A125" s="462"/>
      <c r="B125" s="464" t="s">
        <v>549</v>
      </c>
      <c r="C125" s="62"/>
      <c r="D125" s="171"/>
      <c r="E125" s="481"/>
      <c r="F125" s="619"/>
      <c r="G125" s="619"/>
      <c r="H125" s="619"/>
      <c r="I125" s="481"/>
      <c r="J125" s="481"/>
      <c r="K125" s="481"/>
      <c r="L125" s="171"/>
      <c r="M125" s="171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</row>
    <row r="126" spans="1:38" x14ac:dyDescent="0.3">
      <c r="A126" s="462" t="s">
        <v>665</v>
      </c>
      <c r="B126" s="461" t="s">
        <v>615</v>
      </c>
      <c r="C126" s="62"/>
      <c r="D126" s="468">
        <f>'7a. LX_AG-i'!J126</f>
        <v>0</v>
      </c>
      <c r="E126" s="468"/>
      <c r="F126" s="620"/>
      <c r="G126" s="620"/>
      <c r="H126" s="620"/>
      <c r="I126" s="468"/>
      <c r="J126" s="468"/>
      <c r="K126" s="468"/>
      <c r="L126" s="468">
        <f>'7a. LX_AG-i'!K126</f>
        <v>0</v>
      </c>
      <c r="M126" s="468">
        <f>'7a. LX_AG-i'!L126</f>
        <v>3692006.0949274898</v>
      </c>
      <c r="N126" s="468">
        <f>$M126*'7c. LX_AG-sfaf'!N126/'7c. LX_AG-sfaf'!$M126</f>
        <v>2463991.3863691008</v>
      </c>
      <c r="O126" s="468">
        <f>$M126*'7c. LX_AG-sfaf'!O126/'7c. LX_AG-sfaf'!$M126</f>
        <v>504386.91606022144</v>
      </c>
      <c r="P126" s="468">
        <f>$M126*'7c. LX_AG-sfaf'!P126/'7c. LX_AG-sfaf'!$M126</f>
        <v>138543.44954202775</v>
      </c>
      <c r="Q126" s="468">
        <f>$M126*'7c. LX_AG-sfaf'!Q126/'7c. LX_AG-sfaf'!$M126</f>
        <v>0</v>
      </c>
      <c r="R126" s="468">
        <f>$M126*'7c. LX_AG-sfaf'!R126/'7c. LX_AG-sfaf'!$M126</f>
        <v>352768.50834711496</v>
      </c>
      <c r="S126" s="468">
        <f>$M126*'7c. LX_AG-sfaf'!S126/'7c. LX_AG-sfaf'!$M126</f>
        <v>93504.444488229099</v>
      </c>
      <c r="T126" s="468">
        <f>$M126*'7c. LX_AG-sfaf'!T126/'7c. LX_AG-sfaf'!$M126</f>
        <v>0</v>
      </c>
      <c r="U126" s="468">
        <f>$M126*'7c. LX_AG-sfaf'!U126/'7c. LX_AG-sfaf'!$M126</f>
        <v>0</v>
      </c>
      <c r="V126" s="468">
        <f>$M126*'7c. LX_AG-sfaf'!V126/'7c. LX_AG-sfaf'!$M126</f>
        <v>106289.6683870765</v>
      </c>
      <c r="W126" s="468">
        <f>$M126*'7c. LX_AG-sfaf'!W126/'7c. LX_AG-sfaf'!$M126</f>
        <v>32521.721733719274</v>
      </c>
      <c r="X126" s="468">
        <f>'7a. LX_AG-i'!M126</f>
        <v>812847.28507251048</v>
      </c>
      <c r="Y126" s="468">
        <f>$X126*'7c. LX_AG-sfaf'!Y126/'7c. LX_AG-sfaf'!$X126</f>
        <v>812847.28507251048</v>
      </c>
      <c r="Z126" s="468">
        <f>$X126*'7c. LX_AG-sfaf'!Z126/'7c. LX_AG-sfaf'!$X126</f>
        <v>0</v>
      </c>
      <c r="AA126" s="468">
        <f>'7a. LX_AG-i'!N126</f>
        <v>0</v>
      </c>
      <c r="AB126" s="468">
        <f>'7a. LX_AG-i'!O126</f>
        <v>0</v>
      </c>
      <c r="AC126" s="468"/>
      <c r="AD126" s="468"/>
      <c r="AE126" s="468"/>
      <c r="AF126" s="468">
        <f>'7a. LX_AG-i'!P126</f>
        <v>0</v>
      </c>
      <c r="AG126" s="468"/>
      <c r="AH126" s="468">
        <f>'7a. LX_AG-i'!Q126</f>
        <v>0</v>
      </c>
      <c r="AI126" s="62"/>
      <c r="AJ126" s="468">
        <f>'7a. LX_AG-i'!I126</f>
        <v>4504853.38</v>
      </c>
      <c r="AK126" s="62">
        <f t="shared" ref="AK126:AK150" si="6">SUM(I126:K126,L126,N126:W126,Y126:Z126,AA126:AA126,AC126:AE126,AG126:AH126,E126)</f>
        <v>4504853.38</v>
      </c>
      <c r="AL126" s="62">
        <f t="shared" ref="AL126:AL137" si="7">AJ126-AK126</f>
        <v>0</v>
      </c>
    </row>
    <row r="127" spans="1:38" x14ac:dyDescent="0.3">
      <c r="A127" s="462" t="s">
        <v>666</v>
      </c>
      <c r="B127" s="466" t="s">
        <v>644</v>
      </c>
      <c r="C127" s="62"/>
      <c r="D127" s="468">
        <f>'7a. LX_AG-i'!J127</f>
        <v>0</v>
      </c>
      <c r="E127" s="468"/>
      <c r="F127" s="620"/>
      <c r="G127" s="620"/>
      <c r="H127" s="620"/>
      <c r="I127" s="468"/>
      <c r="J127" s="468"/>
      <c r="K127" s="468"/>
      <c r="L127" s="468">
        <f>'7a. LX_AG-i'!K127</f>
        <v>0</v>
      </c>
      <c r="M127" s="468">
        <f>'7a. LX_AG-i'!L127</f>
        <v>8472670.3800000008</v>
      </c>
      <c r="N127" s="468">
        <f>$M127*'7c. LX_AG-sfaf'!N127/'7c. LX_AG-sfaf'!$M127</f>
        <v>8472670.3800000008</v>
      </c>
      <c r="O127" s="468">
        <f>$M127*'7c. LX_AG-sfaf'!O127/'7c. LX_AG-sfaf'!$M127</f>
        <v>0</v>
      </c>
      <c r="P127" s="468">
        <f>$M127*'7c. LX_AG-sfaf'!P127/'7c. LX_AG-sfaf'!$M127</f>
        <v>0</v>
      </c>
      <c r="Q127" s="468">
        <f>$M127*'7c. LX_AG-sfaf'!Q127/'7c. LX_AG-sfaf'!$M127</f>
        <v>0</v>
      </c>
      <c r="R127" s="468">
        <f>$M127*'7c. LX_AG-sfaf'!R127/'7c. LX_AG-sfaf'!$M127</f>
        <v>0</v>
      </c>
      <c r="S127" s="468">
        <f>$M127*'7c. LX_AG-sfaf'!S127/'7c. LX_AG-sfaf'!$M127</f>
        <v>0</v>
      </c>
      <c r="T127" s="468">
        <f>$M127*'7c. LX_AG-sfaf'!T127/'7c. LX_AG-sfaf'!$M127</f>
        <v>0</v>
      </c>
      <c r="U127" s="468">
        <f>$M127*'7c. LX_AG-sfaf'!U127/'7c. LX_AG-sfaf'!$M127</f>
        <v>0</v>
      </c>
      <c r="V127" s="468">
        <f>$M127*'7c. LX_AG-sfaf'!V127/'7c. LX_AG-sfaf'!$M127</f>
        <v>0</v>
      </c>
      <c r="W127" s="468">
        <f>$M127*'7c. LX_AG-sfaf'!W127/'7c. LX_AG-sfaf'!$M127</f>
        <v>0</v>
      </c>
      <c r="X127" s="468">
        <f>'7a. LX_AG-i'!M127</f>
        <v>0</v>
      </c>
      <c r="Y127" s="468"/>
      <c r="Z127" s="468"/>
      <c r="AA127" s="468">
        <f>'7a. LX_AG-i'!N127</f>
        <v>0</v>
      </c>
      <c r="AB127" s="468">
        <f>'7a. LX_AG-i'!O127</f>
        <v>0</v>
      </c>
      <c r="AC127" s="468"/>
      <c r="AD127" s="468"/>
      <c r="AE127" s="468"/>
      <c r="AF127" s="468">
        <f>'7a. LX_AG-i'!P127</f>
        <v>0</v>
      </c>
      <c r="AG127" s="468"/>
      <c r="AH127" s="468">
        <f>'7a. LX_AG-i'!Q127</f>
        <v>0</v>
      </c>
      <c r="AI127" s="62"/>
      <c r="AJ127" s="468">
        <f>'7a. LX_AG-i'!I127</f>
        <v>8472670.3800000008</v>
      </c>
      <c r="AK127" s="62">
        <f t="shared" si="6"/>
        <v>8472670.3800000008</v>
      </c>
      <c r="AL127" s="62">
        <f t="shared" si="7"/>
        <v>0</v>
      </c>
    </row>
    <row r="128" spans="1:38" x14ac:dyDescent="0.3">
      <c r="A128" s="462" t="s">
        <v>667</v>
      </c>
      <c r="B128" s="461" t="s">
        <v>668</v>
      </c>
      <c r="C128" s="62"/>
      <c r="D128" s="468">
        <f>'7a. LX_AG-i'!J128</f>
        <v>0</v>
      </c>
      <c r="E128" s="468"/>
      <c r="F128" s="620"/>
      <c r="G128" s="620"/>
      <c r="H128" s="620"/>
      <c r="I128" s="468"/>
      <c r="J128" s="468"/>
      <c r="K128" s="468"/>
      <c r="L128" s="468">
        <f>'7a. LX_AG-i'!K128</f>
        <v>0</v>
      </c>
      <c r="M128" s="468">
        <f>'7a. LX_AG-i'!L128</f>
        <v>161696.93</v>
      </c>
      <c r="N128" s="468">
        <f>$M128*'7c. LX_AG-sfaf'!N128/'7c. LX_AG-sfaf'!$M128</f>
        <v>161696.93</v>
      </c>
      <c r="O128" s="468">
        <f>$M128*'7c. LX_AG-sfaf'!O128/'7c. LX_AG-sfaf'!$M128</f>
        <v>0</v>
      </c>
      <c r="P128" s="468">
        <f>$M128*'7c. LX_AG-sfaf'!P128/'7c. LX_AG-sfaf'!$M128</f>
        <v>0</v>
      </c>
      <c r="Q128" s="468">
        <f>$M128*'7c. LX_AG-sfaf'!Q128/'7c. LX_AG-sfaf'!$M128</f>
        <v>0</v>
      </c>
      <c r="R128" s="468">
        <f>$M128*'7c. LX_AG-sfaf'!R128/'7c. LX_AG-sfaf'!$M128</f>
        <v>0</v>
      </c>
      <c r="S128" s="468">
        <f>$M128*'7c. LX_AG-sfaf'!S128/'7c. LX_AG-sfaf'!$M128</f>
        <v>0</v>
      </c>
      <c r="T128" s="468">
        <f>$M128*'7c. LX_AG-sfaf'!T128/'7c. LX_AG-sfaf'!$M128</f>
        <v>0</v>
      </c>
      <c r="U128" s="468">
        <f>$M128*'7c. LX_AG-sfaf'!U128/'7c. LX_AG-sfaf'!$M128</f>
        <v>0</v>
      </c>
      <c r="V128" s="468">
        <f>$M128*'7c. LX_AG-sfaf'!V128/'7c. LX_AG-sfaf'!$M128</f>
        <v>0</v>
      </c>
      <c r="W128" s="468">
        <f>$M128*'7c. LX_AG-sfaf'!W128/'7c. LX_AG-sfaf'!$M128</f>
        <v>0</v>
      </c>
      <c r="X128" s="468">
        <f>'7a. LX_AG-i'!M128</f>
        <v>0</v>
      </c>
      <c r="Y128" s="468"/>
      <c r="Z128" s="468"/>
      <c r="AA128" s="468">
        <f>'7a. LX_AG-i'!N128</f>
        <v>0</v>
      </c>
      <c r="AB128" s="468">
        <f>'7a. LX_AG-i'!O128</f>
        <v>0</v>
      </c>
      <c r="AC128" s="468"/>
      <c r="AD128" s="468"/>
      <c r="AE128" s="468"/>
      <c r="AF128" s="468">
        <f>'7a. LX_AG-i'!P128</f>
        <v>0</v>
      </c>
      <c r="AG128" s="468"/>
      <c r="AH128" s="468">
        <f>'7a. LX_AG-i'!Q128</f>
        <v>0</v>
      </c>
      <c r="AI128" s="62"/>
      <c r="AJ128" s="468">
        <f>'7a. LX_AG-i'!I128</f>
        <v>161696.93</v>
      </c>
      <c r="AK128" s="62">
        <f t="shared" si="6"/>
        <v>161696.93</v>
      </c>
      <c r="AL128" s="62">
        <f t="shared" si="7"/>
        <v>0</v>
      </c>
    </row>
    <row r="129" spans="1:38" x14ac:dyDescent="0.3">
      <c r="A129" s="462" t="s">
        <v>669</v>
      </c>
      <c r="B129" s="461" t="s">
        <v>670</v>
      </c>
      <c r="C129" s="62"/>
      <c r="D129" s="468">
        <f>'7a. LX_AG-i'!J129</f>
        <v>0</v>
      </c>
      <c r="E129" s="468"/>
      <c r="F129" s="620"/>
      <c r="G129" s="620"/>
      <c r="H129" s="620"/>
      <c r="I129" s="468"/>
      <c r="J129" s="468"/>
      <c r="K129" s="468"/>
      <c r="L129" s="468">
        <f>'7a. LX_AG-i'!K129</f>
        <v>0</v>
      </c>
      <c r="M129" s="468">
        <f>'7a. LX_AG-i'!L129</f>
        <v>2609851.5499999998</v>
      </c>
      <c r="N129" s="468">
        <f>$M129*'7c. LX_AG-sfaf'!N129/'7c. LX_AG-sfaf'!$M129</f>
        <v>0</v>
      </c>
      <c r="O129" s="468">
        <f>$M129*'7c. LX_AG-sfaf'!O129/'7c. LX_AG-sfaf'!$M129</f>
        <v>951672.78036477638</v>
      </c>
      <c r="P129" s="468">
        <f>$M129*'7c. LX_AG-sfaf'!P129/'7c. LX_AG-sfaf'!$M129</f>
        <v>277078.17404104164</v>
      </c>
      <c r="Q129" s="468">
        <f>$M129*'7c. LX_AG-sfaf'!Q129/'7c. LX_AG-sfaf'!$M129</f>
        <v>0</v>
      </c>
      <c r="R129" s="468">
        <f>$M129*'7c. LX_AG-sfaf'!R129/'7c. LX_AG-sfaf'!$M129</f>
        <v>976099.39760910615</v>
      </c>
      <c r="S129" s="468">
        <f>$M129*'7c. LX_AG-sfaf'!S129/'7c. LX_AG-sfaf'!$M129</f>
        <v>279869.25150562113</v>
      </c>
      <c r="T129" s="468">
        <f>$M129*'7c. LX_AG-sfaf'!T129/'7c. LX_AG-sfaf'!$M129</f>
        <v>0</v>
      </c>
      <c r="U129" s="468">
        <f>$M129*'7c. LX_AG-sfaf'!U129/'7c. LX_AG-sfaf'!$M129</f>
        <v>0</v>
      </c>
      <c r="V129" s="468">
        <f>$M129*'7c. LX_AG-sfaf'!V129/'7c. LX_AG-sfaf'!$M129</f>
        <v>125131.94647945471</v>
      </c>
      <c r="W129" s="468">
        <f>$M129*'7c. LX_AG-sfaf'!W129/'7c. LX_AG-sfaf'!$M129</f>
        <v>0</v>
      </c>
      <c r="X129" s="468">
        <f>'7a. LX_AG-i'!M129</f>
        <v>0</v>
      </c>
      <c r="Y129" s="468"/>
      <c r="Z129" s="468"/>
      <c r="AA129" s="468">
        <f>'7a. LX_AG-i'!N129</f>
        <v>0</v>
      </c>
      <c r="AB129" s="468">
        <f>'7a. LX_AG-i'!O129</f>
        <v>0</v>
      </c>
      <c r="AC129" s="468"/>
      <c r="AD129" s="468"/>
      <c r="AE129" s="468"/>
      <c r="AF129" s="468">
        <f>'7a. LX_AG-i'!P129</f>
        <v>0</v>
      </c>
      <c r="AG129" s="468"/>
      <c r="AH129" s="468">
        <f>'7a. LX_AG-i'!Q129</f>
        <v>0</v>
      </c>
      <c r="AI129" s="62"/>
      <c r="AJ129" s="468">
        <f>'7a. LX_AG-i'!I129</f>
        <v>2609851.5499999998</v>
      </c>
      <c r="AK129" s="62">
        <f t="shared" si="6"/>
        <v>2609851.5500000003</v>
      </c>
      <c r="AL129" s="62">
        <f t="shared" si="7"/>
        <v>0</v>
      </c>
    </row>
    <row r="130" spans="1:38" x14ac:dyDescent="0.3">
      <c r="A130" s="462" t="s">
        <v>671</v>
      </c>
      <c r="B130" s="461" t="s">
        <v>649</v>
      </c>
      <c r="C130" s="62"/>
      <c r="D130" s="468">
        <f>'7a. LX_AG-i'!J130</f>
        <v>0</v>
      </c>
      <c r="E130" s="468"/>
      <c r="F130" s="620"/>
      <c r="G130" s="620"/>
      <c r="H130" s="620"/>
      <c r="I130" s="468"/>
      <c r="J130" s="468"/>
      <c r="K130" s="468"/>
      <c r="L130" s="468">
        <f>'7a. LX_AG-i'!K130</f>
        <v>0</v>
      </c>
      <c r="M130" s="468">
        <f>'7a. LX_AG-i'!L130</f>
        <v>1332088.19</v>
      </c>
      <c r="N130" s="468">
        <f>$M130*'7c. LX_AG-sfaf'!N130/'7c. LX_AG-sfaf'!$M130</f>
        <v>0</v>
      </c>
      <c r="O130" s="468">
        <f>$M130*'7c. LX_AG-sfaf'!O130/'7c. LX_AG-sfaf'!$M130</f>
        <v>815809.81868750416</v>
      </c>
      <c r="P130" s="468">
        <f>$M130*'7c. LX_AG-sfaf'!P130/'7c. LX_AG-sfaf'!$M130</f>
        <v>208408.51976719938</v>
      </c>
      <c r="Q130" s="468">
        <f>$M130*'7c. LX_AG-sfaf'!Q130/'7c. LX_AG-sfaf'!$M130</f>
        <v>0</v>
      </c>
      <c r="R130" s="468">
        <f>$M130*'7c. LX_AG-sfaf'!R130/'7c. LX_AG-sfaf'!$M130</f>
        <v>260078.98082192871</v>
      </c>
      <c r="S130" s="468">
        <f>$M130*'7c. LX_AG-sfaf'!S130/'7c. LX_AG-sfaf'!$M130</f>
        <v>47790.870723367691</v>
      </c>
      <c r="T130" s="468">
        <f>$M130*'7c. LX_AG-sfaf'!T130/'7c. LX_AG-sfaf'!$M130</f>
        <v>0</v>
      </c>
      <c r="U130" s="468">
        <f>$M130*'7c. LX_AG-sfaf'!U130/'7c. LX_AG-sfaf'!$M130</f>
        <v>0</v>
      </c>
      <c r="V130" s="468">
        <f>$M130*'7c. LX_AG-sfaf'!V130/'7c. LX_AG-sfaf'!$M130</f>
        <v>0</v>
      </c>
      <c r="W130" s="468">
        <f>$M130*'7c. LX_AG-sfaf'!W130/'7c. LX_AG-sfaf'!$M130</f>
        <v>0</v>
      </c>
      <c r="X130" s="468">
        <f>'7a. LX_AG-i'!M130</f>
        <v>0</v>
      </c>
      <c r="Y130" s="468"/>
      <c r="Z130" s="468"/>
      <c r="AA130" s="468">
        <f>'7a. LX_AG-i'!N130</f>
        <v>0</v>
      </c>
      <c r="AB130" s="468">
        <f>'7a. LX_AG-i'!O130</f>
        <v>0</v>
      </c>
      <c r="AC130" s="468"/>
      <c r="AD130" s="468"/>
      <c r="AE130" s="468"/>
      <c r="AF130" s="468">
        <f>'7a. LX_AG-i'!P130</f>
        <v>0</v>
      </c>
      <c r="AG130" s="468"/>
      <c r="AH130" s="468">
        <f>'7a. LX_AG-i'!Q130</f>
        <v>0</v>
      </c>
      <c r="AI130" s="62"/>
      <c r="AJ130" s="468">
        <f>'7a. LX_AG-i'!I130</f>
        <v>1332088.19</v>
      </c>
      <c r="AK130" s="62">
        <f t="shared" si="6"/>
        <v>1332088.19</v>
      </c>
      <c r="AL130" s="62">
        <f t="shared" si="7"/>
        <v>0</v>
      </c>
    </row>
    <row r="131" spans="1:38" x14ac:dyDescent="0.3">
      <c r="A131" s="462" t="s">
        <v>672</v>
      </c>
      <c r="B131" s="461" t="s">
        <v>673</v>
      </c>
      <c r="C131" s="62"/>
      <c r="D131" s="468">
        <f>'7a. LX_AG-i'!J131</f>
        <v>0</v>
      </c>
      <c r="E131" s="468"/>
      <c r="F131" s="620"/>
      <c r="G131" s="620"/>
      <c r="H131" s="620"/>
      <c r="I131" s="468"/>
      <c r="J131" s="468"/>
      <c r="K131" s="468"/>
      <c r="L131" s="468">
        <f>'7a. LX_AG-i'!K131</f>
        <v>0</v>
      </c>
      <c r="M131" s="468">
        <f>'7a. LX_AG-i'!L131</f>
        <v>247330.41</v>
      </c>
      <c r="N131" s="468">
        <f>$M131*'7c. LX_AG-sfaf'!N131/'7c. LX_AG-sfaf'!$M131</f>
        <v>0</v>
      </c>
      <c r="O131" s="468">
        <f>$M131*'7c. LX_AG-sfaf'!O131/'7c. LX_AG-sfaf'!$M131</f>
        <v>0</v>
      </c>
      <c r="P131" s="468">
        <f>$M131*'7c. LX_AG-sfaf'!P131/'7c. LX_AG-sfaf'!$M131</f>
        <v>0</v>
      </c>
      <c r="Q131" s="468">
        <f>$M131*'7c. LX_AG-sfaf'!Q131/'7c. LX_AG-sfaf'!$M131</f>
        <v>0</v>
      </c>
      <c r="R131" s="468">
        <f>$M131*'7c. LX_AG-sfaf'!R131/'7c. LX_AG-sfaf'!$M131</f>
        <v>0</v>
      </c>
      <c r="S131" s="468">
        <f>$M131*'7c. LX_AG-sfaf'!S131/'7c. LX_AG-sfaf'!$M131</f>
        <v>0</v>
      </c>
      <c r="T131" s="468">
        <f>$M131*'7c. LX_AG-sfaf'!T131/'7c. LX_AG-sfaf'!$M131</f>
        <v>0</v>
      </c>
      <c r="U131" s="468">
        <f>$M131*'7c. LX_AG-sfaf'!U131/'7c. LX_AG-sfaf'!$M131</f>
        <v>0</v>
      </c>
      <c r="V131" s="468">
        <f>$M131*'7c. LX_AG-sfaf'!V131/'7c. LX_AG-sfaf'!$M131</f>
        <v>247330.41</v>
      </c>
      <c r="W131" s="468">
        <f>$M131*'7c. LX_AG-sfaf'!W131/'7c. LX_AG-sfaf'!$M131</f>
        <v>0</v>
      </c>
      <c r="X131" s="468">
        <f>'7a. LX_AG-i'!M131</f>
        <v>0</v>
      </c>
      <c r="Y131" s="468"/>
      <c r="Z131" s="468"/>
      <c r="AA131" s="468">
        <f>'7a. LX_AG-i'!N131</f>
        <v>0</v>
      </c>
      <c r="AB131" s="468">
        <f>'7a. LX_AG-i'!O131</f>
        <v>0</v>
      </c>
      <c r="AC131" s="468"/>
      <c r="AD131" s="468"/>
      <c r="AE131" s="468"/>
      <c r="AF131" s="468">
        <f>'7a. LX_AG-i'!P131</f>
        <v>0</v>
      </c>
      <c r="AG131" s="468"/>
      <c r="AH131" s="468">
        <f>'7a. LX_AG-i'!Q131</f>
        <v>0</v>
      </c>
      <c r="AI131" s="62"/>
      <c r="AJ131" s="468">
        <f>'7a. LX_AG-i'!I131</f>
        <v>247330.41</v>
      </c>
      <c r="AK131" s="62">
        <f t="shared" si="6"/>
        <v>247330.41</v>
      </c>
      <c r="AL131" s="62">
        <f t="shared" si="7"/>
        <v>0</v>
      </c>
    </row>
    <row r="132" spans="1:38" x14ac:dyDescent="0.3">
      <c r="A132" s="462" t="s">
        <v>674</v>
      </c>
      <c r="B132" s="461" t="s">
        <v>675</v>
      </c>
      <c r="C132" s="62"/>
      <c r="D132" s="468">
        <f>'7a. LX_AG-i'!J132</f>
        <v>0</v>
      </c>
      <c r="E132" s="468"/>
      <c r="F132" s="620"/>
      <c r="G132" s="620"/>
      <c r="H132" s="620"/>
      <c r="I132" s="468"/>
      <c r="J132" s="468"/>
      <c r="K132" s="468"/>
      <c r="L132" s="468">
        <f>'7a. LX_AG-i'!K132</f>
        <v>0</v>
      </c>
      <c r="M132" s="468">
        <f>'7a. LX_AG-i'!L132</f>
        <v>0</v>
      </c>
      <c r="N132" s="468"/>
      <c r="O132" s="468"/>
      <c r="P132" s="468"/>
      <c r="Q132" s="468"/>
      <c r="R132" s="468"/>
      <c r="S132" s="468"/>
      <c r="T132" s="468"/>
      <c r="U132" s="468"/>
      <c r="V132" s="468"/>
      <c r="W132" s="468"/>
      <c r="X132" s="468">
        <f>'7a. LX_AG-i'!M132</f>
        <v>2848395.52</v>
      </c>
      <c r="Y132" s="468">
        <f>$X132*'7c. LX_AG-sfaf'!Y132/'7c. LX_AG-sfaf'!$X132</f>
        <v>2848395.52</v>
      </c>
      <c r="Z132" s="468">
        <f>$X132*'7c. LX_AG-sfaf'!Z132/'7c. LX_AG-sfaf'!$X132</f>
        <v>0</v>
      </c>
      <c r="AA132" s="468">
        <f>'7a. LX_AG-i'!N132</f>
        <v>0</v>
      </c>
      <c r="AB132" s="468">
        <f>'7a. LX_AG-i'!O132</f>
        <v>0</v>
      </c>
      <c r="AC132" s="468"/>
      <c r="AD132" s="468"/>
      <c r="AE132" s="468"/>
      <c r="AF132" s="468">
        <f>'7a. LX_AG-i'!P132</f>
        <v>0</v>
      </c>
      <c r="AG132" s="468"/>
      <c r="AH132" s="468">
        <f>'7a. LX_AG-i'!Q132</f>
        <v>0</v>
      </c>
      <c r="AI132" s="62"/>
      <c r="AJ132" s="468">
        <f>'7a. LX_AG-i'!I132</f>
        <v>2848395.52</v>
      </c>
      <c r="AK132" s="62">
        <f t="shared" si="6"/>
        <v>2848395.52</v>
      </c>
      <c r="AL132" s="62">
        <f t="shared" si="7"/>
        <v>0</v>
      </c>
    </row>
    <row r="133" spans="1:38" x14ac:dyDescent="0.3">
      <c r="A133" s="462" t="s">
        <v>676</v>
      </c>
      <c r="B133" s="461" t="s">
        <v>677</v>
      </c>
      <c r="C133" s="62"/>
      <c r="D133" s="468">
        <f>'7a. LX_AG-i'!J133</f>
        <v>0</v>
      </c>
      <c r="E133" s="468"/>
      <c r="F133" s="620"/>
      <c r="G133" s="620"/>
      <c r="H133" s="620"/>
      <c r="I133" s="468"/>
      <c r="J133" s="468"/>
      <c r="K133" s="468"/>
      <c r="L133" s="468">
        <f>'7a. LX_AG-i'!K133</f>
        <v>0</v>
      </c>
      <c r="M133" s="468">
        <f>'7a. LX_AG-i'!L133</f>
        <v>113963.26</v>
      </c>
      <c r="N133" s="468"/>
      <c r="O133" s="468"/>
      <c r="P133" s="468"/>
      <c r="Q133" s="468"/>
      <c r="R133" s="468"/>
      <c r="S133" s="468"/>
      <c r="T133" s="468"/>
      <c r="U133" s="468"/>
      <c r="V133" s="468"/>
      <c r="W133" s="468">
        <f>M133</f>
        <v>113963.26</v>
      </c>
      <c r="X133" s="468">
        <f>'7a. LX_AG-i'!M133</f>
        <v>0</v>
      </c>
      <c r="Y133" s="468"/>
      <c r="Z133" s="468"/>
      <c r="AA133" s="468">
        <f>'7a. LX_AG-i'!N133</f>
        <v>0</v>
      </c>
      <c r="AB133" s="468">
        <f>'7a. LX_AG-i'!O133</f>
        <v>0</v>
      </c>
      <c r="AC133" s="468"/>
      <c r="AD133" s="468"/>
      <c r="AE133" s="468"/>
      <c r="AF133" s="468">
        <f>'7a. LX_AG-i'!P133</f>
        <v>0</v>
      </c>
      <c r="AG133" s="468"/>
      <c r="AH133" s="468">
        <f>'7a. LX_AG-i'!Q133</f>
        <v>0</v>
      </c>
      <c r="AI133" s="62"/>
      <c r="AJ133" s="468">
        <f>'7a. LX_AG-i'!I133</f>
        <v>113963.26</v>
      </c>
      <c r="AK133" s="62">
        <f t="shared" si="6"/>
        <v>113963.26</v>
      </c>
      <c r="AL133" s="62">
        <f t="shared" si="7"/>
        <v>0</v>
      </c>
    </row>
    <row r="134" spans="1:38" x14ac:dyDescent="0.3">
      <c r="A134" s="462" t="s">
        <v>678</v>
      </c>
      <c r="B134" s="466" t="s">
        <v>679</v>
      </c>
      <c r="C134" s="62"/>
      <c r="D134" s="468">
        <f>'7a. LX_AG-i'!J134</f>
        <v>0</v>
      </c>
      <c r="E134" s="468"/>
      <c r="F134" s="620"/>
      <c r="G134" s="620"/>
      <c r="H134" s="620"/>
      <c r="I134" s="468"/>
      <c r="J134" s="468"/>
      <c r="K134" s="468"/>
      <c r="L134" s="468">
        <f>'7a. LX_AG-i'!K134</f>
        <v>0</v>
      </c>
      <c r="M134" s="468">
        <f>'7a. LX_AG-i'!L134</f>
        <v>1767445.3451265262</v>
      </c>
      <c r="N134" s="468">
        <f>$M134*'7c. LX_AG-sfaf'!N134/'7c. LX_AG-sfaf'!$M134</f>
        <v>1179567.4206099743</v>
      </c>
      <c r="O134" s="468">
        <f>$M134*'7c. LX_AG-sfaf'!O134/'7c. LX_AG-sfaf'!$M134</f>
        <v>241461.22298069249</v>
      </c>
      <c r="P134" s="468">
        <f>$M134*'7c. LX_AG-sfaf'!P134/'7c. LX_AG-sfaf'!$M134</f>
        <v>66323.82739759206</v>
      </c>
      <c r="Q134" s="468">
        <f>$M134*'7c. LX_AG-sfaf'!Q134/'7c. LX_AG-sfaf'!$M134</f>
        <v>0</v>
      </c>
      <c r="R134" s="468">
        <f>$M134*'7c. LX_AG-sfaf'!R134/'7c. LX_AG-sfaf'!$M134</f>
        <v>168878.12261252021</v>
      </c>
      <c r="S134" s="468">
        <f>$M134*'7c. LX_AG-sfaf'!S134/'7c. LX_AG-sfaf'!$M134</f>
        <v>44762.655020104437</v>
      </c>
      <c r="T134" s="468">
        <f>$M134*'7c. LX_AG-sfaf'!T134/'7c. LX_AG-sfaf'!$M134</f>
        <v>0</v>
      </c>
      <c r="U134" s="468">
        <f>$M134*'7c. LX_AG-sfaf'!U134/'7c. LX_AG-sfaf'!$M134</f>
        <v>0</v>
      </c>
      <c r="V134" s="468">
        <f>$M134*'7c. LX_AG-sfaf'!V134/'7c. LX_AG-sfaf'!$M134</f>
        <v>50883.225757369721</v>
      </c>
      <c r="W134" s="468">
        <f>$M134*'7c. LX_AG-sfaf'!W134/'7c. LX_AG-sfaf'!$M134</f>
        <v>15568.870748273024</v>
      </c>
      <c r="X134" s="468">
        <f>'7a. LX_AG-i'!M134</f>
        <v>389128.05487347365</v>
      </c>
      <c r="Y134" s="468">
        <f>$X134*'7c. LX_AG-sfaf'!Y134/'7c. LX_AG-sfaf'!$X134</f>
        <v>389128.05487347365</v>
      </c>
      <c r="Z134" s="468">
        <f>$X134*'7c. LX_AG-sfaf'!Z134/'7c. LX_AG-sfaf'!$X134</f>
        <v>0</v>
      </c>
      <c r="AA134" s="468">
        <f>'7a. LX_AG-i'!N134</f>
        <v>0</v>
      </c>
      <c r="AB134" s="468">
        <f>'7a. LX_AG-i'!O134</f>
        <v>0</v>
      </c>
      <c r="AC134" s="468"/>
      <c r="AD134" s="468"/>
      <c r="AE134" s="468"/>
      <c r="AF134" s="468">
        <f>'7a. LX_AG-i'!P134</f>
        <v>0</v>
      </c>
      <c r="AG134" s="468"/>
      <c r="AH134" s="468">
        <f>'7a. LX_AG-i'!Q134</f>
        <v>0</v>
      </c>
      <c r="AI134" s="62"/>
      <c r="AJ134" s="468">
        <f>'7a. LX_AG-i'!I134</f>
        <v>2156573.4</v>
      </c>
      <c r="AK134" s="62">
        <f t="shared" si="6"/>
        <v>2156573.4</v>
      </c>
      <c r="AL134" s="62">
        <f t="shared" si="7"/>
        <v>0</v>
      </c>
    </row>
    <row r="135" spans="1:38" ht="14.5" x14ac:dyDescent="0.45">
      <c r="A135" s="462" t="s">
        <v>680</v>
      </c>
      <c r="B135" s="461" t="s">
        <v>564</v>
      </c>
      <c r="C135" s="62"/>
      <c r="D135" s="473">
        <f>'7a. LX_AG-i'!J135</f>
        <v>0</v>
      </c>
      <c r="E135" s="473"/>
      <c r="F135" s="621"/>
      <c r="G135" s="621"/>
      <c r="H135" s="621"/>
      <c r="I135" s="473"/>
      <c r="J135" s="473"/>
      <c r="K135" s="473"/>
      <c r="L135" s="473">
        <f>'7a. LX_AG-i'!K135</f>
        <v>0</v>
      </c>
      <c r="M135" s="473">
        <f>'7a. LX_AG-i'!L135</f>
        <v>0</v>
      </c>
      <c r="N135" s="473"/>
      <c r="O135" s="473"/>
      <c r="P135" s="473"/>
      <c r="Q135" s="473"/>
      <c r="R135" s="473"/>
      <c r="S135" s="473"/>
      <c r="T135" s="473"/>
      <c r="U135" s="473"/>
      <c r="V135" s="473"/>
      <c r="W135" s="473"/>
      <c r="X135" s="473">
        <f>'7a. LX_AG-i'!M135</f>
        <v>0</v>
      </c>
      <c r="Y135" s="473"/>
      <c r="Z135" s="473"/>
      <c r="AA135" s="473">
        <f>'7a. LX_AG-i'!N135</f>
        <v>0</v>
      </c>
      <c r="AB135" s="473">
        <f>'7a. LX_AG-i'!O135</f>
        <v>0</v>
      </c>
      <c r="AC135" s="473"/>
      <c r="AD135" s="473"/>
      <c r="AE135" s="473"/>
      <c r="AF135" s="473">
        <f>'7a. LX_AG-i'!P135</f>
        <v>0</v>
      </c>
      <c r="AG135" s="473"/>
      <c r="AH135" s="473">
        <f>'7a. LX_AG-i'!Q135</f>
        <v>0</v>
      </c>
      <c r="AI135" s="62"/>
      <c r="AJ135" s="468">
        <f>'7a. LX_AG-i'!I135</f>
        <v>0</v>
      </c>
      <c r="AK135" s="62">
        <f t="shared" si="6"/>
        <v>0</v>
      </c>
      <c r="AL135" s="62">
        <f t="shared" si="7"/>
        <v>0</v>
      </c>
    </row>
    <row r="136" spans="1:38" x14ac:dyDescent="0.3">
      <c r="A136" s="462"/>
      <c r="B136" s="474" t="s">
        <v>524</v>
      </c>
      <c r="C136" s="62"/>
      <c r="D136" s="468">
        <f>SUM(D126:D135)</f>
        <v>0</v>
      </c>
      <c r="E136" s="468">
        <f>SUM(E126:E135)</f>
        <v>0</v>
      </c>
      <c r="F136" s="620"/>
      <c r="G136" s="620"/>
      <c r="H136" s="620"/>
      <c r="I136" s="468">
        <f>SUM(I126:I135)</f>
        <v>0</v>
      </c>
      <c r="J136" s="468"/>
      <c r="K136" s="468"/>
      <c r="L136" s="468">
        <f t="shared" ref="L136:W136" si="8">SUM(L126:L135)</f>
        <v>0</v>
      </c>
      <c r="M136" s="468">
        <f t="shared" si="8"/>
        <v>18397052.160054013</v>
      </c>
      <c r="N136" s="468">
        <f t="shared" si="8"/>
        <v>12277926.116979074</v>
      </c>
      <c r="O136" s="468">
        <f t="shared" si="8"/>
        <v>2513330.7380931946</v>
      </c>
      <c r="P136" s="468">
        <f t="shared" si="8"/>
        <v>690353.97074786085</v>
      </c>
      <c r="Q136" s="468">
        <f t="shared" si="8"/>
        <v>0</v>
      </c>
      <c r="R136" s="468">
        <f t="shared" si="8"/>
        <v>1757825.0093906699</v>
      </c>
      <c r="S136" s="468">
        <f t="shared" si="8"/>
        <v>465927.22173732234</v>
      </c>
      <c r="T136" s="468">
        <f t="shared" si="8"/>
        <v>0</v>
      </c>
      <c r="U136" s="468">
        <f t="shared" si="8"/>
        <v>0</v>
      </c>
      <c r="V136" s="468">
        <f t="shared" si="8"/>
        <v>529635.25062390103</v>
      </c>
      <c r="W136" s="468">
        <f t="shared" si="8"/>
        <v>162053.85248199227</v>
      </c>
      <c r="X136" s="468">
        <f>SUM(X126:X135)</f>
        <v>4050370.8599459841</v>
      </c>
      <c r="Y136" s="468">
        <f>SUM(Y126:Y135)</f>
        <v>4050370.8599459841</v>
      </c>
      <c r="Z136" s="468">
        <v>0</v>
      </c>
      <c r="AA136" s="468">
        <f>SUM(AA126:AA135)</f>
        <v>0</v>
      </c>
      <c r="AB136" s="468">
        <f>SUM(AB126:AB135)</f>
        <v>0</v>
      </c>
      <c r="AC136" s="468"/>
      <c r="AD136" s="468"/>
      <c r="AE136" s="468"/>
      <c r="AF136" s="468">
        <f>SUM(AF126:AF135)</f>
        <v>0</v>
      </c>
      <c r="AG136" s="468"/>
      <c r="AH136" s="468">
        <f>SUM(AH126:AH135)</f>
        <v>0</v>
      </c>
      <c r="AI136" s="62"/>
      <c r="AJ136" s="468">
        <f>'7a. LX_AG-i'!I136</f>
        <v>22447423.020000003</v>
      </c>
      <c r="AK136" s="62">
        <f t="shared" si="6"/>
        <v>22447423.019999992</v>
      </c>
      <c r="AL136" s="62">
        <f t="shared" si="7"/>
        <v>0</v>
      </c>
    </row>
    <row r="137" spans="1:38" x14ac:dyDescent="0.3">
      <c r="A137" s="461" t="s">
        <v>827</v>
      </c>
      <c r="B137" s="461" t="s">
        <v>828</v>
      </c>
      <c r="C137" s="62"/>
      <c r="D137" s="468">
        <f>SUM(D127:D133,D135)</f>
        <v>0</v>
      </c>
      <c r="E137" s="468">
        <f t="shared" ref="E137:AH137" si="9">SUM(E127:E133,E135)</f>
        <v>0</v>
      </c>
      <c r="F137" s="620"/>
      <c r="G137" s="620"/>
      <c r="H137" s="620"/>
      <c r="I137" s="468">
        <f t="shared" si="9"/>
        <v>0</v>
      </c>
      <c r="J137" s="468">
        <f t="shared" si="9"/>
        <v>0</v>
      </c>
      <c r="K137" s="468"/>
      <c r="L137" s="468">
        <f>SUM(L127:L133,L135)</f>
        <v>0</v>
      </c>
      <c r="M137" s="468">
        <f t="shared" si="9"/>
        <v>12937600.719999999</v>
      </c>
      <c r="N137" s="468">
        <f t="shared" si="9"/>
        <v>8634367.3100000005</v>
      </c>
      <c r="O137" s="468">
        <f t="shared" si="9"/>
        <v>1767482.5990522807</v>
      </c>
      <c r="P137" s="468">
        <f t="shared" si="9"/>
        <v>485486.69380824105</v>
      </c>
      <c r="Q137" s="468">
        <f t="shared" si="9"/>
        <v>0</v>
      </c>
      <c r="R137" s="468">
        <f t="shared" si="9"/>
        <v>1236178.3784310347</v>
      </c>
      <c r="S137" s="468">
        <f t="shared" si="9"/>
        <v>327660.1222289888</v>
      </c>
      <c r="T137" s="468">
        <f t="shared" si="9"/>
        <v>0</v>
      </c>
      <c r="U137" s="468">
        <f t="shared" si="9"/>
        <v>0</v>
      </c>
      <c r="V137" s="468">
        <f t="shared" si="9"/>
        <v>372462.35647945473</v>
      </c>
      <c r="W137" s="468">
        <f t="shared" si="9"/>
        <v>113963.26</v>
      </c>
      <c r="X137" s="468">
        <f t="shared" si="9"/>
        <v>2848395.52</v>
      </c>
      <c r="Y137" s="468">
        <f t="shared" si="9"/>
        <v>2848395.52</v>
      </c>
      <c r="Z137" s="468">
        <f t="shared" si="9"/>
        <v>0</v>
      </c>
      <c r="AA137" s="468">
        <f t="shared" si="9"/>
        <v>0</v>
      </c>
      <c r="AB137" s="468">
        <f t="shared" si="9"/>
        <v>0</v>
      </c>
      <c r="AC137" s="468"/>
      <c r="AD137" s="468"/>
      <c r="AE137" s="468"/>
      <c r="AF137" s="468">
        <f t="shared" si="9"/>
        <v>0</v>
      </c>
      <c r="AG137" s="468">
        <f t="shared" si="9"/>
        <v>0</v>
      </c>
      <c r="AH137" s="468">
        <f t="shared" si="9"/>
        <v>0</v>
      </c>
      <c r="AI137" s="62"/>
      <c r="AJ137" s="468">
        <f>'7a. LX_AG-i'!I137</f>
        <v>15785996.239999998</v>
      </c>
      <c r="AK137" s="62">
        <f t="shared" si="6"/>
        <v>15785996.24</v>
      </c>
      <c r="AL137" s="62">
        <f t="shared" si="7"/>
        <v>0</v>
      </c>
    </row>
    <row r="138" spans="1:38" x14ac:dyDescent="0.3">
      <c r="A138" s="462"/>
      <c r="B138" s="464" t="s">
        <v>565</v>
      </c>
      <c r="C138" s="62"/>
      <c r="D138" s="171"/>
      <c r="E138" s="481"/>
      <c r="F138" s="619"/>
      <c r="G138" s="619"/>
      <c r="H138" s="619"/>
      <c r="I138" s="481"/>
      <c r="J138" s="481"/>
      <c r="K138" s="481"/>
      <c r="L138" s="171"/>
      <c r="M138" s="171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>
        <f t="shared" si="6"/>
        <v>0</v>
      </c>
      <c r="AL138" s="62"/>
    </row>
    <row r="139" spans="1:38" x14ac:dyDescent="0.3">
      <c r="A139" s="462" t="s">
        <v>681</v>
      </c>
      <c r="B139" s="461" t="s">
        <v>682</v>
      </c>
      <c r="C139" s="62"/>
      <c r="D139" s="468">
        <f>'7a. LX_AG-i'!J139</f>
        <v>0</v>
      </c>
      <c r="E139" s="468"/>
      <c r="F139" s="620"/>
      <c r="G139" s="620"/>
      <c r="H139" s="620"/>
      <c r="I139" s="468"/>
      <c r="J139" s="468"/>
      <c r="K139" s="468"/>
      <c r="L139" s="468">
        <f>'7a. LX_AG-i'!K139</f>
        <v>0</v>
      </c>
      <c r="M139" s="468">
        <f>'7a. LX_AG-i'!L139</f>
        <v>1008012.7666651128</v>
      </c>
      <c r="N139" s="468">
        <f>$M139*'7c. LX_AG-sfaf'!N139/'7c. LX_AG-sfaf'!$M139</f>
        <v>118926.08021157635</v>
      </c>
      <c r="O139" s="468">
        <f>$M139*'7c. LX_AG-sfaf'!O139/'7c. LX_AG-sfaf'!$M139</f>
        <v>371884.56599054061</v>
      </c>
      <c r="P139" s="468">
        <f>$M139*'7c. LX_AG-sfaf'!P139/'7c. LX_AG-sfaf'!$M139</f>
        <v>102404.17477829834</v>
      </c>
      <c r="Q139" s="468">
        <f>$M139*'7c. LX_AG-sfaf'!Q139/'7c. LX_AG-sfaf'!$M139</f>
        <v>24168.334320265363</v>
      </c>
      <c r="R139" s="468">
        <f>$M139*'7c. LX_AG-sfaf'!R139/'7c. LX_AG-sfaf'!$M139</f>
        <v>265168.33994799969</v>
      </c>
      <c r="S139" s="468">
        <f>$M139*'7c. LX_AG-sfaf'!S139/'7c. LX_AG-sfaf'!$M139</f>
        <v>70630.65090268536</v>
      </c>
      <c r="T139" s="468">
        <f>$M139*'7c. LX_AG-sfaf'!T139/'7c. LX_AG-sfaf'!$M139</f>
        <v>26419.567198621244</v>
      </c>
      <c r="U139" s="468">
        <f>$M139*'7c. LX_AG-sfaf'!U139/'7c. LX_AG-sfaf'!$M139</f>
        <v>0</v>
      </c>
      <c r="V139" s="468">
        <f>$M139*'7c. LX_AG-sfaf'!V139/'7c. LX_AG-sfaf'!$M139</f>
        <v>28411.053315125933</v>
      </c>
      <c r="W139" s="468">
        <f>$M139*'7c. LX_AG-sfaf'!W139/'7c. LX_AG-sfaf'!$M139</f>
        <v>0</v>
      </c>
      <c r="X139" s="468">
        <f>'7a. LX_AG-i'!M139</f>
        <v>45091.243334887171</v>
      </c>
      <c r="Y139" s="468">
        <f>$X139*'7c. LX_AG-sfaf'!Y139/'7c. LX_AG-sfaf'!$X139</f>
        <v>45091.243334887171</v>
      </c>
      <c r="Z139" s="468">
        <f>$X139*'7c. LX_AG-sfaf'!Z139/'7c. LX_AG-sfaf'!$X139</f>
        <v>0</v>
      </c>
      <c r="AA139" s="468">
        <f>'7a. LX_AG-i'!N139</f>
        <v>0</v>
      </c>
      <c r="AB139" s="468">
        <f>'7a. LX_AG-i'!O139</f>
        <v>0</v>
      </c>
      <c r="AC139" s="468"/>
      <c r="AD139" s="468"/>
      <c r="AE139" s="468"/>
      <c r="AF139" s="468">
        <f>'7a. LX_AG-i'!P139</f>
        <v>0</v>
      </c>
      <c r="AG139" s="468"/>
      <c r="AH139" s="468">
        <f>'7a. LX_AG-i'!Q139</f>
        <v>0</v>
      </c>
      <c r="AI139" s="62"/>
      <c r="AJ139" s="468">
        <f>'7a. LX_AG-i'!I139</f>
        <v>1053104.01</v>
      </c>
      <c r="AK139" s="62">
        <f t="shared" si="6"/>
        <v>1053104.01</v>
      </c>
      <c r="AL139" s="62">
        <f t="shared" ref="AL139:AL149" si="10">AJ139-AK139</f>
        <v>0</v>
      </c>
    </row>
    <row r="140" spans="1:38" x14ac:dyDescent="0.3">
      <c r="A140" s="462" t="s">
        <v>683</v>
      </c>
      <c r="B140" s="466" t="s">
        <v>569</v>
      </c>
      <c r="C140" s="62"/>
      <c r="D140" s="468">
        <f>'7a. LX_AG-i'!J140</f>
        <v>0</v>
      </c>
      <c r="E140" s="468"/>
      <c r="F140" s="620"/>
      <c r="G140" s="620"/>
      <c r="H140" s="620"/>
      <c r="I140" s="468"/>
      <c r="J140" s="468"/>
      <c r="K140" s="468"/>
      <c r="L140" s="468">
        <f>'7a. LX_AG-i'!K140</f>
        <v>0</v>
      </c>
      <c r="M140" s="468">
        <f>'7a. LX_AG-i'!L140</f>
        <v>0</v>
      </c>
      <c r="N140" s="468"/>
      <c r="O140" s="468"/>
      <c r="P140" s="468"/>
      <c r="Q140" s="468"/>
      <c r="R140" s="468"/>
      <c r="S140" s="468"/>
      <c r="T140" s="468"/>
      <c r="U140" s="468"/>
      <c r="V140" s="468"/>
      <c r="W140" s="468"/>
      <c r="X140" s="468">
        <f>'7a. LX_AG-i'!M140</f>
        <v>0</v>
      </c>
      <c r="Y140" s="468"/>
      <c r="Z140" s="468"/>
      <c r="AA140" s="468">
        <f>'7a. LX_AG-i'!N140</f>
        <v>0</v>
      </c>
      <c r="AB140" s="468">
        <f>'7a. LX_AG-i'!O140</f>
        <v>0</v>
      </c>
      <c r="AC140" s="468"/>
      <c r="AD140" s="468"/>
      <c r="AE140" s="468"/>
      <c r="AF140" s="468">
        <f>'7a. LX_AG-i'!P140</f>
        <v>0</v>
      </c>
      <c r="AG140" s="468"/>
      <c r="AH140" s="468">
        <f>'7a. LX_AG-i'!Q140</f>
        <v>0</v>
      </c>
      <c r="AI140" s="62"/>
      <c r="AJ140" s="468">
        <f>'7a. LX_AG-i'!I140</f>
        <v>0</v>
      </c>
      <c r="AK140" s="62">
        <f t="shared" si="6"/>
        <v>0</v>
      </c>
      <c r="AL140" s="62">
        <f t="shared" si="10"/>
        <v>0</v>
      </c>
    </row>
    <row r="141" spans="1:38" x14ac:dyDescent="0.3">
      <c r="A141" s="462" t="s">
        <v>684</v>
      </c>
      <c r="B141" s="461" t="s">
        <v>658</v>
      </c>
      <c r="C141" s="62"/>
      <c r="D141" s="468">
        <f>'7a. LX_AG-i'!J141</f>
        <v>0</v>
      </c>
      <c r="E141" s="468"/>
      <c r="F141" s="620"/>
      <c r="G141" s="620"/>
      <c r="H141" s="620"/>
      <c r="I141" s="468"/>
      <c r="J141" s="468"/>
      <c r="K141" s="468"/>
      <c r="L141" s="468">
        <f>'7a. LX_AG-i'!K141</f>
        <v>0</v>
      </c>
      <c r="M141" s="468">
        <f>'7a. LX_AG-i'!L141</f>
        <v>3791811.89</v>
      </c>
      <c r="N141" s="468">
        <f>$M141*'7c. LX_AG-sfaf'!N141/'7c. LX_AG-sfaf'!$M141</f>
        <v>3791811.89</v>
      </c>
      <c r="O141" s="468">
        <f>$M141*'7c. LX_AG-sfaf'!O141/'7c. LX_AG-sfaf'!$M141</f>
        <v>0</v>
      </c>
      <c r="P141" s="468">
        <f>$M141*'7c. LX_AG-sfaf'!P141/'7c. LX_AG-sfaf'!$M141</f>
        <v>0</v>
      </c>
      <c r="Q141" s="468">
        <f>$M141*'7c. LX_AG-sfaf'!Q141/'7c. LX_AG-sfaf'!$M141</f>
        <v>0</v>
      </c>
      <c r="R141" s="468">
        <f>$M141*'7c. LX_AG-sfaf'!R141/'7c. LX_AG-sfaf'!$M141</f>
        <v>0</v>
      </c>
      <c r="S141" s="468">
        <f>$M141*'7c. LX_AG-sfaf'!S141/'7c. LX_AG-sfaf'!$M141</f>
        <v>0</v>
      </c>
      <c r="T141" s="468">
        <f>$M141*'7c. LX_AG-sfaf'!T141/'7c. LX_AG-sfaf'!$M141</f>
        <v>0</v>
      </c>
      <c r="U141" s="468">
        <f>$M141*'7c. LX_AG-sfaf'!U141/'7c. LX_AG-sfaf'!$M141</f>
        <v>0</v>
      </c>
      <c r="V141" s="468">
        <f>$M141*'7c. LX_AG-sfaf'!V141/'7c. LX_AG-sfaf'!$M141</f>
        <v>0</v>
      </c>
      <c r="W141" s="468">
        <f>$M141*'7c. LX_AG-sfaf'!W141/'7c. LX_AG-sfaf'!$M141</f>
        <v>0</v>
      </c>
      <c r="X141" s="468">
        <f>'7a. LX_AG-i'!M141</f>
        <v>0</v>
      </c>
      <c r="Y141" s="468"/>
      <c r="Z141" s="468"/>
      <c r="AA141" s="468">
        <f>'7a. LX_AG-i'!N141</f>
        <v>0</v>
      </c>
      <c r="AB141" s="468">
        <f>'7a. LX_AG-i'!O141</f>
        <v>0</v>
      </c>
      <c r="AC141" s="468"/>
      <c r="AD141" s="468"/>
      <c r="AE141" s="468"/>
      <c r="AF141" s="468">
        <f>'7a. LX_AG-i'!P141</f>
        <v>0</v>
      </c>
      <c r="AG141" s="468"/>
      <c r="AH141" s="468">
        <f>'7a. LX_AG-i'!Q141</f>
        <v>0</v>
      </c>
      <c r="AI141" s="62"/>
      <c r="AJ141" s="468">
        <f>'7a. LX_AG-i'!I141</f>
        <v>3791811.89</v>
      </c>
      <c r="AK141" s="62">
        <f t="shared" si="6"/>
        <v>3791811.89</v>
      </c>
      <c r="AL141" s="62">
        <f t="shared" si="10"/>
        <v>0</v>
      </c>
    </row>
    <row r="142" spans="1:38" x14ac:dyDescent="0.3">
      <c r="A142" s="462" t="s">
        <v>685</v>
      </c>
      <c r="B142" s="466" t="s">
        <v>660</v>
      </c>
      <c r="C142" s="62"/>
      <c r="D142" s="468">
        <f>'7a. LX_AG-i'!J142</f>
        <v>0</v>
      </c>
      <c r="E142" s="468"/>
      <c r="F142" s="620"/>
      <c r="G142" s="620"/>
      <c r="H142" s="620"/>
      <c r="I142" s="468"/>
      <c r="J142" s="468"/>
      <c r="K142" s="468"/>
      <c r="L142" s="468">
        <f>'7a. LX_AG-i'!K142</f>
        <v>0</v>
      </c>
      <c r="M142" s="468">
        <f>'7a. LX_AG-i'!L142</f>
        <v>18135476.690000001</v>
      </c>
      <c r="N142" s="468">
        <f>$M142*'7c. LX_AG-sfaf'!N142/'7c. LX_AG-sfaf'!$M142</f>
        <v>0</v>
      </c>
      <c r="O142" s="468">
        <f>$M142*'7c. LX_AG-sfaf'!O142/'7c. LX_AG-sfaf'!$M142</f>
        <v>6613034.9539662106</v>
      </c>
      <c r="P142" s="468">
        <f>$M142*'7c. LX_AG-sfaf'!P142/'7c. LX_AG-sfaf'!$M142</f>
        <v>1925375.7044645217</v>
      </c>
      <c r="Q142" s="468">
        <f>$M142*'7c. LX_AG-sfaf'!Q142/'7c. LX_AG-sfaf'!$M142</f>
        <v>0</v>
      </c>
      <c r="R142" s="468">
        <f>$M142*'7c. LX_AG-sfaf'!R142/'7c. LX_AG-sfaf'!$M142</f>
        <v>6782771.9444284057</v>
      </c>
      <c r="S142" s="468">
        <f>$M142*'7c. LX_AG-sfaf'!S142/'7c. LX_AG-sfaf'!$M142</f>
        <v>1944770.4935278557</v>
      </c>
      <c r="T142" s="468">
        <f>$M142*'7c. LX_AG-sfaf'!T142/'7c. LX_AG-sfaf'!$M142</f>
        <v>0</v>
      </c>
      <c r="U142" s="468">
        <f>$M142*'7c. LX_AG-sfaf'!U142/'7c. LX_AG-sfaf'!$M142</f>
        <v>0</v>
      </c>
      <c r="V142" s="468">
        <f>$M142*'7c. LX_AG-sfaf'!V142/'7c. LX_AG-sfaf'!$M142</f>
        <v>869523.59361300792</v>
      </c>
      <c r="W142" s="468">
        <f>$M142*'7c. LX_AG-sfaf'!W142/'7c. LX_AG-sfaf'!$M142</f>
        <v>0</v>
      </c>
      <c r="X142" s="468">
        <f>'7a. LX_AG-i'!M142</f>
        <v>0</v>
      </c>
      <c r="Y142" s="468"/>
      <c r="Z142" s="468"/>
      <c r="AA142" s="468">
        <f>'7a. LX_AG-i'!N142</f>
        <v>0</v>
      </c>
      <c r="AB142" s="468">
        <f>'7a. LX_AG-i'!O142</f>
        <v>0</v>
      </c>
      <c r="AC142" s="468"/>
      <c r="AD142" s="468"/>
      <c r="AE142" s="468"/>
      <c r="AF142" s="468">
        <f>'7a. LX_AG-i'!P142</f>
        <v>0</v>
      </c>
      <c r="AG142" s="468"/>
      <c r="AH142" s="468">
        <f>'7a. LX_AG-i'!Q142</f>
        <v>0</v>
      </c>
      <c r="AI142" s="62"/>
      <c r="AJ142" s="468">
        <f>'7a. LX_AG-i'!I142</f>
        <v>18135476.690000001</v>
      </c>
      <c r="AK142" s="62">
        <f t="shared" si="6"/>
        <v>18135476.690000001</v>
      </c>
      <c r="AL142" s="62">
        <f t="shared" si="10"/>
        <v>0</v>
      </c>
    </row>
    <row r="143" spans="1:38" x14ac:dyDescent="0.3">
      <c r="A143" s="462" t="s">
        <v>686</v>
      </c>
      <c r="B143" s="461" t="s">
        <v>662</v>
      </c>
      <c r="C143" s="62"/>
      <c r="D143" s="468">
        <f>'7a. LX_AG-i'!J143</f>
        <v>0</v>
      </c>
      <c r="E143" s="468"/>
      <c r="F143" s="620"/>
      <c r="G143" s="620"/>
      <c r="H143" s="620"/>
      <c r="I143" s="468"/>
      <c r="J143" s="468"/>
      <c r="K143" s="468"/>
      <c r="L143" s="468">
        <f>'7a. LX_AG-i'!K143</f>
        <v>0</v>
      </c>
      <c r="M143" s="468">
        <f>'7a. LX_AG-i'!L143</f>
        <v>8562698.5099999998</v>
      </c>
      <c r="N143" s="468">
        <f>$M143*'7c. LX_AG-sfaf'!N143/'7c. LX_AG-sfaf'!$M143</f>
        <v>0</v>
      </c>
      <c r="O143" s="468">
        <f>$M143*'7c. LX_AG-sfaf'!O143/'7c. LX_AG-sfaf'!$M143</f>
        <v>5244047.332120603</v>
      </c>
      <c r="P143" s="468">
        <f>$M143*'7c. LX_AG-sfaf'!P143/'7c. LX_AG-sfaf'!$M143</f>
        <v>1339655.5386335973</v>
      </c>
      <c r="Q143" s="468">
        <f>$M143*'7c. LX_AG-sfaf'!Q143/'7c. LX_AG-sfaf'!$M143</f>
        <v>0</v>
      </c>
      <c r="R143" s="468">
        <f>$M143*'7c. LX_AG-sfaf'!R143/'7c. LX_AG-sfaf'!$M143</f>
        <v>1671794.644141577</v>
      </c>
      <c r="S143" s="468">
        <f>$M143*'7c. LX_AG-sfaf'!S143/'7c. LX_AG-sfaf'!$M143</f>
        <v>307200.99510422297</v>
      </c>
      <c r="T143" s="468">
        <f>$M143*'7c. LX_AG-sfaf'!T143/'7c. LX_AG-sfaf'!$M143</f>
        <v>0</v>
      </c>
      <c r="U143" s="468">
        <f>$M143*'7c. LX_AG-sfaf'!U143/'7c. LX_AG-sfaf'!$M143</f>
        <v>0</v>
      </c>
      <c r="V143" s="468">
        <f>$M143*'7c. LX_AG-sfaf'!V143/'7c. LX_AG-sfaf'!$M143</f>
        <v>0</v>
      </c>
      <c r="W143" s="468">
        <f>$M143*'7c. LX_AG-sfaf'!W143/'7c. LX_AG-sfaf'!$M143</f>
        <v>0</v>
      </c>
      <c r="X143" s="468">
        <f>'7a. LX_AG-i'!M143</f>
        <v>0</v>
      </c>
      <c r="Y143" s="468"/>
      <c r="Z143" s="468"/>
      <c r="AA143" s="468">
        <f>'7a. LX_AG-i'!N143</f>
        <v>0</v>
      </c>
      <c r="AB143" s="468">
        <f>'7a. LX_AG-i'!O143</f>
        <v>0</v>
      </c>
      <c r="AC143" s="468"/>
      <c r="AD143" s="468"/>
      <c r="AE143" s="468"/>
      <c r="AF143" s="468">
        <f>'7a. LX_AG-i'!P143</f>
        <v>0</v>
      </c>
      <c r="AG143" s="468"/>
      <c r="AH143" s="468">
        <f>'7a. LX_AG-i'!Q143</f>
        <v>0</v>
      </c>
      <c r="AI143" s="62"/>
      <c r="AJ143" s="468">
        <f>'7a. LX_AG-i'!I143</f>
        <v>8562698.5099999998</v>
      </c>
      <c r="AK143" s="62">
        <f t="shared" si="6"/>
        <v>8562698.5099999998</v>
      </c>
      <c r="AL143" s="62">
        <f t="shared" si="10"/>
        <v>0</v>
      </c>
    </row>
    <row r="144" spans="1:38" x14ac:dyDescent="0.3">
      <c r="A144" s="462" t="s">
        <v>687</v>
      </c>
      <c r="B144" s="461" t="s">
        <v>688</v>
      </c>
      <c r="C144" s="62"/>
      <c r="D144" s="468">
        <f>'7a. LX_AG-i'!J144</f>
        <v>0</v>
      </c>
      <c r="E144" s="468"/>
      <c r="F144" s="620"/>
      <c r="G144" s="620"/>
      <c r="H144" s="620"/>
      <c r="I144" s="468"/>
      <c r="J144" s="468"/>
      <c r="K144" s="468"/>
      <c r="L144" s="468">
        <f>'7a. LX_AG-i'!K144</f>
        <v>0</v>
      </c>
      <c r="M144" s="468">
        <f>'7a. LX_AG-i'!L144</f>
        <v>1612933.06</v>
      </c>
      <c r="N144" s="468">
        <f>$M144*'7c. LX_AG-sfaf'!N144/'7c. LX_AG-sfaf'!$M144</f>
        <v>0</v>
      </c>
      <c r="O144" s="468">
        <f>$M144*'7c. LX_AG-sfaf'!O144/'7c. LX_AG-sfaf'!$M144</f>
        <v>0</v>
      </c>
      <c r="P144" s="468">
        <f>$M144*'7c. LX_AG-sfaf'!P144/'7c. LX_AG-sfaf'!$M144</f>
        <v>0</v>
      </c>
      <c r="Q144" s="468">
        <f>$M144*'7c. LX_AG-sfaf'!Q144/'7c. LX_AG-sfaf'!$M144</f>
        <v>770577.63338404219</v>
      </c>
      <c r="R144" s="468">
        <f>$M144*'7c. LX_AG-sfaf'!R144/'7c. LX_AG-sfaf'!$M144</f>
        <v>0</v>
      </c>
      <c r="S144" s="468">
        <f>$M144*'7c. LX_AG-sfaf'!S144/'7c. LX_AG-sfaf'!$M144</f>
        <v>0</v>
      </c>
      <c r="T144" s="468">
        <f>$M144*'7c. LX_AG-sfaf'!T144/'7c. LX_AG-sfaf'!$M144</f>
        <v>842355.42661595787</v>
      </c>
      <c r="U144" s="468">
        <f>$M144*'7c. LX_AG-sfaf'!U144/'7c. LX_AG-sfaf'!$M144</f>
        <v>0</v>
      </c>
      <c r="V144" s="468">
        <f>$M144*'7c. LX_AG-sfaf'!V144/'7c. LX_AG-sfaf'!$M144</f>
        <v>0</v>
      </c>
      <c r="W144" s="468">
        <f>$M144*'7c. LX_AG-sfaf'!W144/'7c. LX_AG-sfaf'!$M144</f>
        <v>0</v>
      </c>
      <c r="X144" s="468">
        <f>'7a. LX_AG-i'!M144</f>
        <v>0</v>
      </c>
      <c r="Y144" s="468"/>
      <c r="Z144" s="468"/>
      <c r="AA144" s="468">
        <f>'7a. LX_AG-i'!N144</f>
        <v>0</v>
      </c>
      <c r="AB144" s="468">
        <f>'7a. LX_AG-i'!O144</f>
        <v>0</v>
      </c>
      <c r="AC144" s="468"/>
      <c r="AD144" s="468"/>
      <c r="AE144" s="468"/>
      <c r="AF144" s="468">
        <f>'7a. LX_AG-i'!P144</f>
        <v>0</v>
      </c>
      <c r="AG144" s="468"/>
      <c r="AH144" s="468">
        <f>'7a. LX_AG-i'!Q144</f>
        <v>0</v>
      </c>
      <c r="AI144" s="62"/>
      <c r="AJ144" s="468">
        <f>'7a. LX_AG-i'!I144</f>
        <v>1612933.06</v>
      </c>
      <c r="AK144" s="62">
        <f t="shared" si="6"/>
        <v>1612933.06</v>
      </c>
      <c r="AL144" s="62">
        <f t="shared" si="10"/>
        <v>0</v>
      </c>
    </row>
    <row r="145" spans="1:38" x14ac:dyDescent="0.3">
      <c r="A145" s="462" t="s">
        <v>689</v>
      </c>
      <c r="B145" s="461" t="s">
        <v>690</v>
      </c>
      <c r="C145" s="62"/>
      <c r="D145" s="468">
        <f>'7a. LX_AG-i'!J145</f>
        <v>0</v>
      </c>
      <c r="E145" s="468"/>
      <c r="F145" s="620"/>
      <c r="G145" s="620"/>
      <c r="H145" s="620"/>
      <c r="I145" s="468"/>
      <c r="J145" s="468"/>
      <c r="K145" s="468"/>
      <c r="L145" s="468">
        <f>'7a. LX_AG-i'!K145</f>
        <v>0</v>
      </c>
      <c r="M145" s="468">
        <f>'7a. LX_AG-i'!L145</f>
        <v>36327.919999999998</v>
      </c>
      <c r="N145" s="468">
        <f>$M145*'7c. LX_AG-sfaf'!N145/'7c. LX_AG-sfaf'!$M145</f>
        <v>0</v>
      </c>
      <c r="O145" s="468">
        <f>$M145*'7c. LX_AG-sfaf'!O145/'7c. LX_AG-sfaf'!$M145</f>
        <v>0</v>
      </c>
      <c r="P145" s="468">
        <f>$M145*'7c. LX_AG-sfaf'!P145/'7c. LX_AG-sfaf'!$M145</f>
        <v>0</v>
      </c>
      <c r="Q145" s="468">
        <f>$M145*'7c. LX_AG-sfaf'!Q145/'7c. LX_AG-sfaf'!$M145</f>
        <v>0</v>
      </c>
      <c r="R145" s="468">
        <f>$M145*'7c. LX_AG-sfaf'!R145/'7c. LX_AG-sfaf'!$M145</f>
        <v>0</v>
      </c>
      <c r="S145" s="468">
        <f>$M145*'7c. LX_AG-sfaf'!S145/'7c. LX_AG-sfaf'!$M145</f>
        <v>0</v>
      </c>
      <c r="T145" s="468">
        <f>$M145*'7c. LX_AG-sfaf'!T145/'7c. LX_AG-sfaf'!$M145</f>
        <v>0</v>
      </c>
      <c r="U145" s="468">
        <f>$M145*'7c. LX_AG-sfaf'!U145/'7c. LX_AG-sfaf'!$M145</f>
        <v>0</v>
      </c>
      <c r="V145" s="468">
        <f>$M145*'7c. LX_AG-sfaf'!V145/'7c. LX_AG-sfaf'!$M145</f>
        <v>36327.919999999998</v>
      </c>
      <c r="W145" s="468">
        <f>$M145*'7c. LX_AG-sfaf'!W145/'7c. LX_AG-sfaf'!$M145</f>
        <v>0</v>
      </c>
      <c r="X145" s="468">
        <f>'7a. LX_AG-i'!M145</f>
        <v>0</v>
      </c>
      <c r="Y145" s="468"/>
      <c r="Z145" s="468"/>
      <c r="AA145" s="468">
        <f>'7a. LX_AG-i'!N145</f>
        <v>0</v>
      </c>
      <c r="AB145" s="468">
        <f>'7a. LX_AG-i'!O145</f>
        <v>0</v>
      </c>
      <c r="AC145" s="468"/>
      <c r="AD145" s="468"/>
      <c r="AE145" s="468"/>
      <c r="AF145" s="468">
        <f>'7a. LX_AG-i'!P145</f>
        <v>0</v>
      </c>
      <c r="AG145" s="468"/>
      <c r="AH145" s="468">
        <f>'7a. LX_AG-i'!Q145</f>
        <v>0</v>
      </c>
      <c r="AI145" s="62"/>
      <c r="AJ145" s="468">
        <f>'7a. LX_AG-i'!I145</f>
        <v>36327.919999999998</v>
      </c>
      <c r="AK145" s="62">
        <f t="shared" si="6"/>
        <v>36327.919999999998</v>
      </c>
      <c r="AL145" s="62">
        <f t="shared" si="10"/>
        <v>0</v>
      </c>
    </row>
    <row r="146" spans="1:38" x14ac:dyDescent="0.3">
      <c r="A146" s="462" t="s">
        <v>691</v>
      </c>
      <c r="B146" s="461" t="s">
        <v>692</v>
      </c>
      <c r="C146" s="62"/>
      <c r="D146" s="468">
        <f>'7a. LX_AG-i'!J146</f>
        <v>0</v>
      </c>
      <c r="E146" s="468"/>
      <c r="F146" s="620"/>
      <c r="G146" s="620"/>
      <c r="H146" s="620"/>
      <c r="I146" s="468"/>
      <c r="J146" s="468"/>
      <c r="K146" s="468"/>
      <c r="L146" s="468">
        <f>'7a. LX_AG-i'!K146</f>
        <v>0</v>
      </c>
      <c r="M146" s="468">
        <f>'7a. LX_AG-i'!L146</f>
        <v>0</v>
      </c>
      <c r="N146" s="468"/>
      <c r="O146" s="468"/>
      <c r="P146" s="468"/>
      <c r="Q146" s="468"/>
      <c r="R146" s="468"/>
      <c r="S146" s="468"/>
      <c r="T146" s="468"/>
      <c r="U146" s="468"/>
      <c r="V146" s="468"/>
      <c r="W146" s="468"/>
      <c r="X146" s="468">
        <f>'7a. LX_AG-i'!M146</f>
        <v>1437678.87</v>
      </c>
      <c r="Y146" s="468">
        <f>$X146*'7c. LX_AG-sfaf'!Y146/'7c. LX_AG-sfaf'!$X146</f>
        <v>1437678.87</v>
      </c>
      <c r="Z146" s="468">
        <f>$X146*'7c. LX_AG-sfaf'!Z146/'7c. LX_AG-sfaf'!$X146</f>
        <v>0</v>
      </c>
      <c r="AA146" s="468">
        <f>'7a. LX_AG-i'!N146</f>
        <v>0</v>
      </c>
      <c r="AB146" s="468">
        <f>'7a. LX_AG-i'!O146</f>
        <v>0</v>
      </c>
      <c r="AC146" s="468"/>
      <c r="AD146" s="468"/>
      <c r="AE146" s="468"/>
      <c r="AF146" s="468">
        <f>'7a. LX_AG-i'!P146</f>
        <v>0</v>
      </c>
      <c r="AG146" s="468"/>
      <c r="AH146" s="468">
        <f>'7a. LX_AG-i'!Q146</f>
        <v>0</v>
      </c>
      <c r="AI146" s="62"/>
      <c r="AJ146" s="468">
        <f>'7a. LX_AG-i'!I146</f>
        <v>1437678.87</v>
      </c>
      <c r="AK146" s="62">
        <f t="shared" si="6"/>
        <v>1437678.87</v>
      </c>
      <c r="AL146" s="62">
        <f t="shared" si="10"/>
        <v>0</v>
      </c>
    </row>
    <row r="147" spans="1:38" ht="14.5" x14ac:dyDescent="0.45">
      <c r="A147" s="462" t="s">
        <v>693</v>
      </c>
      <c r="B147" s="461" t="s">
        <v>694</v>
      </c>
      <c r="C147" s="62"/>
      <c r="D147" s="473">
        <f>'7a. LX_AG-i'!J147</f>
        <v>0</v>
      </c>
      <c r="E147" s="473"/>
      <c r="F147" s="621"/>
      <c r="G147" s="621"/>
      <c r="H147" s="621"/>
      <c r="I147" s="473"/>
      <c r="J147" s="473"/>
      <c r="K147" s="473"/>
      <c r="L147" s="473">
        <f>'7a. LX_AG-i'!K147</f>
        <v>0</v>
      </c>
      <c r="M147" s="473">
        <f>'7a. LX_AG-i'!L147</f>
        <v>122.91180941136776</v>
      </c>
      <c r="N147" s="473">
        <f>$M147*'7c. LX_AG-sfaf'!N147/'7c. LX_AG-sfaf'!$M147</f>
        <v>14.501224774529648</v>
      </c>
      <c r="O147" s="473">
        <f>$M147*'7c. LX_AG-sfaf'!O147/'7c. LX_AG-sfaf'!$M147</f>
        <v>45.345660699597289</v>
      </c>
      <c r="P147" s="473">
        <f>$M147*'7c. LX_AG-sfaf'!P147/'7c. LX_AG-sfaf'!$M147</f>
        <v>12.486629960967758</v>
      </c>
      <c r="Q147" s="473">
        <f>$M147*'7c. LX_AG-sfaf'!Q147/'7c. LX_AG-sfaf'!$M147</f>
        <v>2.9469603957402795</v>
      </c>
      <c r="R147" s="473">
        <f>$M147*'7c. LX_AG-sfaf'!R147/'7c. LX_AG-sfaf'!$M147</f>
        <v>32.333241740027781</v>
      </c>
      <c r="S147" s="473">
        <f>$M147*'7c. LX_AG-sfaf'!S147/'7c. LX_AG-sfaf'!$M147</f>
        <v>8.6123324916537225</v>
      </c>
      <c r="T147" s="473">
        <f>$M147*'7c. LX_AG-sfaf'!T147/'7c. LX_AG-sfaf'!$M147</f>
        <v>3.2214639691429463</v>
      </c>
      <c r="U147" s="473">
        <f>$M147*'7c. LX_AG-sfaf'!U147/'7c. LX_AG-sfaf'!$M147</f>
        <v>0</v>
      </c>
      <c r="V147" s="473">
        <f>$M147*'7c. LX_AG-sfaf'!V147/'7c. LX_AG-sfaf'!$M147</f>
        <v>3.4642953797083353</v>
      </c>
      <c r="W147" s="473">
        <f>$M147*'7c. LX_AG-sfaf'!W147/'7c. LX_AG-sfaf'!$M147</f>
        <v>0</v>
      </c>
      <c r="X147" s="473">
        <f>'7a. LX_AG-i'!M147</f>
        <v>5.4981905886322302</v>
      </c>
      <c r="Y147" s="473">
        <f>$X147*'7c. LX_AG-sfaf'!Y147/'7c. LX_AG-sfaf'!$X147</f>
        <v>5.4981905886322302</v>
      </c>
      <c r="Z147" s="473">
        <f>$X147*'7c. LX_AG-sfaf'!Z147/'7c. LX_AG-sfaf'!$X147</f>
        <v>0</v>
      </c>
      <c r="AA147" s="473">
        <f>'7a. LX_AG-i'!N147</f>
        <v>0</v>
      </c>
      <c r="AB147" s="473">
        <f>'7a. LX_AG-i'!O147</f>
        <v>0</v>
      </c>
      <c r="AC147" s="473"/>
      <c r="AD147" s="473"/>
      <c r="AE147" s="473"/>
      <c r="AF147" s="473">
        <f>'7a. LX_AG-i'!P147</f>
        <v>0</v>
      </c>
      <c r="AG147" s="473"/>
      <c r="AH147" s="473">
        <f>'7a. LX_AG-i'!Q147</f>
        <v>0</v>
      </c>
      <c r="AI147" s="62"/>
      <c r="AJ147" s="468">
        <f>'7a. LX_AG-i'!I147</f>
        <v>128.41</v>
      </c>
      <c r="AK147" s="62">
        <f t="shared" si="6"/>
        <v>128.40999999999997</v>
      </c>
      <c r="AL147" s="62">
        <f t="shared" si="10"/>
        <v>0</v>
      </c>
    </row>
    <row r="148" spans="1:38" x14ac:dyDescent="0.3">
      <c r="A148" s="462"/>
      <c r="B148" s="474" t="s">
        <v>524</v>
      </c>
      <c r="C148" s="62"/>
      <c r="D148" s="171">
        <f>SUM(D139:D147)</f>
        <v>0</v>
      </c>
      <c r="E148" s="171">
        <f>SUM(E139:E147)</f>
        <v>0</v>
      </c>
      <c r="F148" s="622"/>
      <c r="G148" s="622"/>
      <c r="H148" s="622"/>
      <c r="I148" s="171">
        <f>SUM(I139:I147)</f>
        <v>0</v>
      </c>
      <c r="J148" s="171"/>
      <c r="K148" s="171"/>
      <c r="L148" s="171">
        <f t="shared" ref="L148:AF148" si="11">SUM(L139:L147)</f>
        <v>0</v>
      </c>
      <c r="M148" s="171">
        <f t="shared" si="11"/>
        <v>33147383.748474523</v>
      </c>
      <c r="N148" s="171">
        <f t="shared" si="11"/>
        <v>3910752.4714363511</v>
      </c>
      <c r="O148" s="171">
        <f t="shared" si="11"/>
        <v>12229012.197738053</v>
      </c>
      <c r="P148" s="171">
        <f t="shared" si="11"/>
        <v>3367447.9045063783</v>
      </c>
      <c r="Q148" s="171">
        <f t="shared" si="11"/>
        <v>794748.9146647033</v>
      </c>
      <c r="R148" s="171">
        <f t="shared" si="11"/>
        <v>8719767.2617597226</v>
      </c>
      <c r="S148" s="171">
        <f t="shared" si="11"/>
        <v>2322610.7518672557</v>
      </c>
      <c r="T148" s="171">
        <f t="shared" si="11"/>
        <v>868778.21527854819</v>
      </c>
      <c r="U148" s="171">
        <f t="shared" si="11"/>
        <v>0</v>
      </c>
      <c r="V148" s="171">
        <f t="shared" si="11"/>
        <v>934266.03122351365</v>
      </c>
      <c r="W148" s="171">
        <f t="shared" si="11"/>
        <v>0</v>
      </c>
      <c r="X148" s="171">
        <f t="shared" si="11"/>
        <v>1482775.6115254757</v>
      </c>
      <c r="Y148" s="171">
        <f t="shared" si="11"/>
        <v>1482775.6115254757</v>
      </c>
      <c r="Z148" s="171">
        <f t="shared" si="11"/>
        <v>0</v>
      </c>
      <c r="AA148" s="171">
        <f t="shared" si="11"/>
        <v>0</v>
      </c>
      <c r="AB148" s="171">
        <f t="shared" si="11"/>
        <v>0</v>
      </c>
      <c r="AC148" s="171"/>
      <c r="AD148" s="171"/>
      <c r="AE148" s="171"/>
      <c r="AF148" s="171">
        <f t="shared" si="11"/>
        <v>0</v>
      </c>
      <c r="AG148" s="171"/>
      <c r="AH148" s="171">
        <f>SUM(AH139:AH147)</f>
        <v>0</v>
      </c>
      <c r="AI148" s="62"/>
      <c r="AJ148" s="468">
        <f>'7a. LX_AG-i'!I148</f>
        <v>34630159.359999999</v>
      </c>
      <c r="AK148" s="62">
        <f t="shared" si="6"/>
        <v>34630159.359999999</v>
      </c>
      <c r="AL148" s="62">
        <f t="shared" si="10"/>
        <v>0</v>
      </c>
    </row>
    <row r="149" spans="1:38" x14ac:dyDescent="0.3">
      <c r="A149" s="461" t="s">
        <v>826</v>
      </c>
      <c r="B149" s="461" t="s">
        <v>825</v>
      </c>
      <c r="C149" s="62"/>
      <c r="D149" s="171"/>
      <c r="E149" s="171"/>
      <c r="F149" s="622"/>
      <c r="G149" s="622"/>
      <c r="H149" s="622"/>
      <c r="I149" s="171"/>
      <c r="J149" s="171"/>
      <c r="K149" s="171"/>
      <c r="L149" s="171"/>
      <c r="M149" s="171">
        <f t="shared" ref="M149:AA149" si="12">SUM(M141:M146)</f>
        <v>32139248.070000004</v>
      </c>
      <c r="N149" s="171">
        <f t="shared" si="12"/>
        <v>3791811.89</v>
      </c>
      <c r="O149" s="171">
        <f t="shared" si="12"/>
        <v>11857082.286086813</v>
      </c>
      <c r="P149" s="171">
        <f t="shared" si="12"/>
        <v>3265031.2430981193</v>
      </c>
      <c r="Q149" s="171">
        <f t="shared" si="12"/>
        <v>770577.63338404219</v>
      </c>
      <c r="R149" s="171">
        <f t="shared" si="12"/>
        <v>8454566.588569982</v>
      </c>
      <c r="S149" s="171">
        <f t="shared" si="12"/>
        <v>2251971.4886320787</v>
      </c>
      <c r="T149" s="171">
        <f t="shared" si="12"/>
        <v>842355.42661595787</v>
      </c>
      <c r="U149" s="171">
        <f t="shared" si="12"/>
        <v>0</v>
      </c>
      <c r="V149" s="171">
        <f t="shared" si="12"/>
        <v>905851.51361300796</v>
      </c>
      <c r="W149" s="171">
        <f t="shared" si="12"/>
        <v>0</v>
      </c>
      <c r="X149" s="171">
        <f t="shared" si="12"/>
        <v>1437678.87</v>
      </c>
      <c r="Y149" s="171">
        <f>SUM(Y141:Y146)</f>
        <v>1437678.87</v>
      </c>
      <c r="Z149" s="171">
        <f>SUM(Z141:Z146)</f>
        <v>0</v>
      </c>
      <c r="AA149" s="171">
        <f t="shared" si="12"/>
        <v>0</v>
      </c>
      <c r="AB149" s="171">
        <f>SUM(AB141:AB146)</f>
        <v>0</v>
      </c>
      <c r="AC149" s="171"/>
      <c r="AD149" s="171"/>
      <c r="AE149" s="171"/>
      <c r="AF149" s="171">
        <f>SUM(AF141:AF146)</f>
        <v>0</v>
      </c>
      <c r="AG149" s="171"/>
      <c r="AH149" s="171">
        <f>SUM(AH141:AH146)</f>
        <v>0</v>
      </c>
      <c r="AI149" s="62"/>
      <c r="AJ149" s="468">
        <f>'7a. LX_AG-i'!I149</f>
        <v>33576926.940000005</v>
      </c>
      <c r="AK149" s="62">
        <f t="shared" si="6"/>
        <v>33576926.939999998</v>
      </c>
      <c r="AL149" s="62">
        <f t="shared" si="10"/>
        <v>0</v>
      </c>
    </row>
    <row r="150" spans="1:38" x14ac:dyDescent="0.3">
      <c r="A150" s="462"/>
      <c r="B150" s="479" t="s">
        <v>542</v>
      </c>
      <c r="C150" s="62"/>
      <c r="D150" s="171">
        <f t="shared" ref="D150:AF150" si="13">D148+D136</f>
        <v>0</v>
      </c>
      <c r="E150" s="171">
        <f t="shared" si="13"/>
        <v>0</v>
      </c>
      <c r="F150" s="622"/>
      <c r="G150" s="622"/>
      <c r="H150" s="622"/>
      <c r="I150" s="171">
        <f t="shared" si="13"/>
        <v>0</v>
      </c>
      <c r="J150" s="171">
        <f t="shared" si="13"/>
        <v>0</v>
      </c>
      <c r="K150" s="171"/>
      <c r="L150" s="171">
        <f t="shared" si="13"/>
        <v>0</v>
      </c>
      <c r="M150" s="171">
        <f t="shared" si="13"/>
        <v>51544435.908528537</v>
      </c>
      <c r="N150" s="171">
        <f t="shared" si="13"/>
        <v>16188678.588415425</v>
      </c>
      <c r="O150" s="171">
        <f t="shared" si="13"/>
        <v>14742342.935831249</v>
      </c>
      <c r="P150" s="171">
        <f t="shared" si="13"/>
        <v>4057801.875254239</v>
      </c>
      <c r="Q150" s="171">
        <f t="shared" si="13"/>
        <v>794748.9146647033</v>
      </c>
      <c r="R150" s="171">
        <f t="shared" si="13"/>
        <v>10477592.271150392</v>
      </c>
      <c r="S150" s="171">
        <f t="shared" si="13"/>
        <v>2788537.9736045781</v>
      </c>
      <c r="T150" s="171">
        <f t="shared" si="13"/>
        <v>868778.21527854819</v>
      </c>
      <c r="U150" s="171">
        <f t="shared" si="13"/>
        <v>0</v>
      </c>
      <c r="V150" s="171">
        <f t="shared" si="13"/>
        <v>1463901.2818474146</v>
      </c>
      <c r="W150" s="171">
        <f t="shared" si="13"/>
        <v>162053.85248199227</v>
      </c>
      <c r="X150" s="171">
        <f t="shared" si="13"/>
        <v>5533146.4714714596</v>
      </c>
      <c r="Y150" s="171">
        <f t="shared" si="13"/>
        <v>5533146.4714714596</v>
      </c>
      <c r="Z150" s="171">
        <f t="shared" si="13"/>
        <v>0</v>
      </c>
      <c r="AA150" s="171">
        <f t="shared" si="13"/>
        <v>0</v>
      </c>
      <c r="AB150" s="171">
        <f t="shared" si="13"/>
        <v>0</v>
      </c>
      <c r="AC150" s="171"/>
      <c r="AD150" s="171"/>
      <c r="AE150" s="171"/>
      <c r="AF150" s="171">
        <f t="shared" si="13"/>
        <v>0</v>
      </c>
      <c r="AG150" s="171"/>
      <c r="AH150" s="171">
        <f>AH148+AH136</f>
        <v>0</v>
      </c>
      <c r="AI150" s="62"/>
      <c r="AJ150" s="468">
        <f>'7a. LX_AG-i'!I150</f>
        <v>57077582.380000003</v>
      </c>
      <c r="AK150" s="62">
        <f t="shared" si="6"/>
        <v>57077582.379999995</v>
      </c>
      <c r="AL150" s="62">
        <f>AJ150-AK150</f>
        <v>0</v>
      </c>
    </row>
    <row r="151" spans="1:38" x14ac:dyDescent="0.3">
      <c r="A151" s="462"/>
      <c r="B151" s="479"/>
      <c r="C151" s="62"/>
      <c r="D151" s="171"/>
      <c r="E151" s="171"/>
      <c r="F151" s="622"/>
      <c r="G151" s="622"/>
      <c r="H151" s="622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62"/>
      <c r="AJ151" s="171"/>
      <c r="AK151" s="62"/>
      <c r="AL151" s="62"/>
    </row>
    <row r="152" spans="1:38" x14ac:dyDescent="0.3">
      <c r="A152" s="462"/>
      <c r="B152" s="479" t="s">
        <v>695</v>
      </c>
      <c r="C152" s="62"/>
      <c r="D152" s="171">
        <f t="shared" ref="D152:AF152" si="14">D150+D122+D99</f>
        <v>66192416.160000004</v>
      </c>
      <c r="E152" s="171">
        <f>E150+E122+E99</f>
        <v>43515962.003324836</v>
      </c>
      <c r="F152" s="622"/>
      <c r="G152" s="622"/>
      <c r="H152" s="622"/>
      <c r="I152" s="171">
        <f t="shared" si="14"/>
        <v>22676454.15667516</v>
      </c>
      <c r="J152" s="171">
        <f t="shared" si="14"/>
        <v>0</v>
      </c>
      <c r="K152" s="171"/>
      <c r="L152" s="171">
        <f t="shared" si="14"/>
        <v>9772049.1699999999</v>
      </c>
      <c r="M152" s="171">
        <f t="shared" si="14"/>
        <v>51544435.908528537</v>
      </c>
      <c r="N152" s="171">
        <f t="shared" si="14"/>
        <v>16188678.588415425</v>
      </c>
      <c r="O152" s="171">
        <f t="shared" si="14"/>
        <v>14742342.935831249</v>
      </c>
      <c r="P152" s="171">
        <f t="shared" si="14"/>
        <v>4057801.875254239</v>
      </c>
      <c r="Q152" s="171">
        <f t="shared" si="14"/>
        <v>794748.9146647033</v>
      </c>
      <c r="R152" s="171">
        <f t="shared" si="14"/>
        <v>10477592.271150392</v>
      </c>
      <c r="S152" s="171">
        <f t="shared" si="14"/>
        <v>2788537.9736045781</v>
      </c>
      <c r="T152" s="171">
        <f t="shared" si="14"/>
        <v>868778.21527854819</v>
      </c>
      <c r="U152" s="171">
        <f t="shared" si="14"/>
        <v>0</v>
      </c>
      <c r="V152" s="171">
        <f t="shared" si="14"/>
        <v>1463901.2818474146</v>
      </c>
      <c r="W152" s="171">
        <f t="shared" si="14"/>
        <v>162053.85248199227</v>
      </c>
      <c r="X152" s="171">
        <f t="shared" si="14"/>
        <v>5533146.4714714596</v>
      </c>
      <c r="Y152" s="171">
        <f t="shared" si="14"/>
        <v>5533146.4714714596</v>
      </c>
      <c r="Z152" s="171">
        <f t="shared" si="14"/>
        <v>0</v>
      </c>
      <c r="AA152" s="171">
        <f t="shared" si="14"/>
        <v>0</v>
      </c>
      <c r="AB152" s="171">
        <f t="shared" si="14"/>
        <v>0</v>
      </c>
      <c r="AC152" s="171"/>
      <c r="AD152" s="171"/>
      <c r="AE152" s="171"/>
      <c r="AF152" s="171">
        <f t="shared" si="14"/>
        <v>0</v>
      </c>
      <c r="AG152" s="171"/>
      <c r="AH152" s="171">
        <f>AH150+AH122+AH99</f>
        <v>0</v>
      </c>
      <c r="AI152" s="62"/>
      <c r="AJ152" s="468">
        <f>'7a. LX_AG-i'!I152</f>
        <v>133042047.71000001</v>
      </c>
      <c r="AK152" s="62">
        <f>SUM(I152:K152,L152,N152:W152,Y152:Z152,AA152:AA152,AC152:AE152,AG152:AH152,E152)</f>
        <v>133042047.71000001</v>
      </c>
      <c r="AL152" s="62">
        <f>AJ152-AK152</f>
        <v>0</v>
      </c>
    </row>
    <row r="153" spans="1:38" x14ac:dyDescent="0.3">
      <c r="A153" s="462"/>
      <c r="B153" s="479"/>
      <c r="C153" s="62"/>
      <c r="D153" s="171"/>
      <c r="E153" s="171"/>
      <c r="F153" s="622"/>
      <c r="G153" s="622"/>
      <c r="H153" s="622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62"/>
      <c r="AJ153" s="171"/>
      <c r="AK153" s="62"/>
      <c r="AL153" s="62"/>
    </row>
    <row r="154" spans="1:38" x14ac:dyDescent="0.3">
      <c r="A154" s="462"/>
      <c r="B154" s="461"/>
      <c r="C154" s="62"/>
      <c r="D154" s="171"/>
      <c r="E154" s="481"/>
      <c r="F154" s="619"/>
      <c r="G154" s="619"/>
      <c r="H154" s="619"/>
      <c r="I154" s="481"/>
      <c r="J154" s="481"/>
      <c r="K154" s="481"/>
      <c r="L154" s="171"/>
      <c r="M154" s="171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</row>
    <row r="155" spans="1:38" x14ac:dyDescent="0.3">
      <c r="A155" s="460" t="s">
        <v>840</v>
      </c>
      <c r="B155" s="461"/>
      <c r="C155" s="62"/>
      <c r="D155" s="171"/>
      <c r="E155" s="481"/>
      <c r="F155" s="619"/>
      <c r="G155" s="619"/>
      <c r="H155" s="619"/>
      <c r="I155" s="481"/>
      <c r="J155" s="481"/>
      <c r="K155" s="481"/>
      <c r="L155" s="171"/>
      <c r="M155" s="171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</row>
    <row r="156" spans="1:38" x14ac:dyDescent="0.3">
      <c r="A156" s="462"/>
      <c r="B156" s="461"/>
      <c r="C156" s="62"/>
      <c r="D156" s="171"/>
      <c r="E156" s="481"/>
      <c r="F156" s="619"/>
      <c r="G156" s="619"/>
      <c r="H156" s="619"/>
      <c r="I156" s="481"/>
      <c r="J156" s="481"/>
      <c r="K156" s="481"/>
      <c r="L156" s="171"/>
      <c r="M156" s="171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</row>
    <row r="157" spans="1:38" x14ac:dyDescent="0.3">
      <c r="A157" s="460" t="s">
        <v>839</v>
      </c>
      <c r="B157" s="461"/>
      <c r="C157" s="62"/>
      <c r="D157" s="171"/>
      <c r="E157" s="481"/>
      <c r="F157" s="619"/>
      <c r="G157" s="619"/>
      <c r="H157" s="619"/>
      <c r="I157" s="481"/>
      <c r="J157" s="481"/>
      <c r="K157" s="481"/>
      <c r="L157" s="171"/>
      <c r="M157" s="171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</row>
    <row r="158" spans="1:38" x14ac:dyDescent="0.3">
      <c r="A158" s="462"/>
      <c r="B158" s="461"/>
      <c r="C158" s="62"/>
      <c r="D158" s="171"/>
      <c r="E158" s="481"/>
      <c r="F158" s="619"/>
      <c r="G158" s="619"/>
      <c r="H158" s="619"/>
      <c r="I158" s="481"/>
      <c r="J158" s="481"/>
      <c r="K158" s="481"/>
      <c r="L158" s="171"/>
      <c r="M158" s="171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</row>
    <row r="159" spans="1:38" x14ac:dyDescent="0.3">
      <c r="A159" s="462"/>
      <c r="B159" s="464" t="s">
        <v>810</v>
      </c>
      <c r="C159" s="62"/>
      <c r="D159" s="171"/>
      <c r="E159" s="481"/>
      <c r="F159" s="619"/>
      <c r="G159" s="619"/>
      <c r="H159" s="619"/>
      <c r="I159" s="481"/>
      <c r="J159" s="481"/>
      <c r="K159" s="481"/>
      <c r="L159" s="171"/>
      <c r="M159" s="171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</row>
    <row r="160" spans="1:38" x14ac:dyDescent="0.3">
      <c r="A160" s="462" t="s">
        <v>1182</v>
      </c>
      <c r="B160" s="461" t="s">
        <v>1183</v>
      </c>
      <c r="C160" s="62"/>
      <c r="D160" s="171"/>
      <c r="E160" s="481"/>
      <c r="F160" s="619"/>
      <c r="G160" s="619"/>
      <c r="H160" s="619"/>
      <c r="I160" s="481"/>
      <c r="J160" s="481"/>
      <c r="K160" s="481"/>
      <c r="L160" s="171"/>
      <c r="M160" s="171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</row>
    <row r="161" spans="1:38" x14ac:dyDescent="0.3">
      <c r="A161" s="462" t="s">
        <v>841</v>
      </c>
      <c r="B161" s="461" t="s">
        <v>839</v>
      </c>
      <c r="C161" s="62"/>
      <c r="D161" s="171"/>
      <c r="E161" s="481"/>
      <c r="F161" s="619"/>
      <c r="G161" s="619"/>
      <c r="H161" s="619"/>
      <c r="I161" s="481"/>
      <c r="J161" s="481"/>
      <c r="K161" s="481"/>
      <c r="L161" s="171"/>
      <c r="M161" s="171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</row>
    <row r="162" spans="1:38" x14ac:dyDescent="0.3">
      <c r="A162" s="462" t="s">
        <v>844</v>
      </c>
      <c r="B162" s="461" t="s">
        <v>842</v>
      </c>
      <c r="C162" s="62"/>
      <c r="D162" s="171"/>
      <c r="E162" s="481"/>
      <c r="F162" s="619"/>
      <c r="G162" s="619"/>
      <c r="H162" s="619"/>
      <c r="I162" s="481"/>
      <c r="J162" s="481"/>
      <c r="K162" s="481"/>
      <c r="L162" s="171"/>
      <c r="M162" s="171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</row>
    <row r="163" spans="1:38" x14ac:dyDescent="0.3">
      <c r="A163" s="480" t="s">
        <v>1184</v>
      </c>
      <c r="B163" s="465" t="s">
        <v>1185</v>
      </c>
      <c r="C163" s="62"/>
      <c r="D163" s="171"/>
      <c r="E163" s="481"/>
      <c r="F163" s="619"/>
      <c r="G163" s="619"/>
      <c r="H163" s="619"/>
      <c r="I163" s="481"/>
      <c r="J163" s="481"/>
      <c r="K163" s="481"/>
      <c r="L163" s="171"/>
      <c r="M163" s="171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</row>
    <row r="164" spans="1:38" x14ac:dyDescent="0.3">
      <c r="A164" s="462" t="s">
        <v>845</v>
      </c>
      <c r="B164" s="461" t="s">
        <v>843</v>
      </c>
      <c r="C164" s="62"/>
      <c r="D164" s="171"/>
      <c r="E164" s="481"/>
      <c r="F164" s="619"/>
      <c r="G164" s="619"/>
      <c r="H164" s="619"/>
      <c r="I164" s="481"/>
      <c r="J164" s="481"/>
      <c r="K164" s="481"/>
      <c r="L164" s="171"/>
      <c r="M164" s="171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</row>
    <row r="165" spans="1:38" x14ac:dyDescent="0.3">
      <c r="A165" s="462"/>
      <c r="B165" s="479" t="s">
        <v>861</v>
      </c>
      <c r="C165" s="62"/>
      <c r="D165" s="171"/>
      <c r="E165" s="481"/>
      <c r="F165" s="619"/>
      <c r="G165" s="619"/>
      <c r="H165" s="619"/>
      <c r="I165" s="481"/>
      <c r="J165" s="481"/>
      <c r="K165" s="481"/>
      <c r="L165" s="171"/>
      <c r="M165" s="171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</row>
    <row r="166" spans="1:38" x14ac:dyDescent="0.3">
      <c r="A166" s="462"/>
      <c r="B166" s="461"/>
      <c r="C166" s="62"/>
      <c r="D166" s="171"/>
      <c r="E166" s="481"/>
      <c r="F166" s="619"/>
      <c r="G166" s="619"/>
      <c r="H166" s="619"/>
      <c r="I166" s="481"/>
      <c r="J166" s="481"/>
      <c r="K166" s="481"/>
      <c r="L166" s="171"/>
      <c r="M166" s="171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</row>
    <row r="167" spans="1:38" x14ac:dyDescent="0.3">
      <c r="A167" s="462"/>
      <c r="B167" s="464" t="s">
        <v>366</v>
      </c>
      <c r="C167" s="62"/>
      <c r="D167" s="171"/>
      <c r="E167" s="481"/>
      <c r="F167" s="619"/>
      <c r="G167" s="619"/>
      <c r="H167" s="619"/>
      <c r="I167" s="481"/>
      <c r="J167" s="481"/>
      <c r="K167" s="481"/>
      <c r="L167" s="171"/>
      <c r="M167" s="171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</row>
    <row r="168" spans="1:38" x14ac:dyDescent="0.3">
      <c r="A168" s="462" t="s">
        <v>1186</v>
      </c>
      <c r="B168" s="461" t="s">
        <v>1187</v>
      </c>
      <c r="C168" s="62"/>
      <c r="D168" s="171"/>
      <c r="E168" s="481"/>
      <c r="F168" s="619"/>
      <c r="G168" s="619"/>
      <c r="H168" s="619"/>
      <c r="I168" s="481"/>
      <c r="J168" s="481"/>
      <c r="K168" s="481"/>
      <c r="L168" s="171"/>
      <c r="M168" s="171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</row>
    <row r="169" spans="1:38" x14ac:dyDescent="0.3">
      <c r="A169" s="462" t="s">
        <v>1056</v>
      </c>
      <c r="B169" s="461" t="s">
        <v>1065</v>
      </c>
      <c r="C169" s="62"/>
      <c r="D169" s="171"/>
      <c r="E169" s="481"/>
      <c r="F169" s="619"/>
      <c r="G169" s="619"/>
      <c r="H169" s="619"/>
      <c r="I169" s="481"/>
      <c r="J169" s="481"/>
      <c r="K169" s="481"/>
      <c r="L169" s="171"/>
      <c r="M169" s="171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</row>
    <row r="170" spans="1:38" x14ac:dyDescent="0.3">
      <c r="A170" s="462" t="s">
        <v>1188</v>
      </c>
      <c r="B170" s="461" t="s">
        <v>1189</v>
      </c>
      <c r="C170" s="62"/>
      <c r="D170" s="171"/>
      <c r="E170" s="481"/>
      <c r="F170" s="619"/>
      <c r="G170" s="619"/>
      <c r="H170" s="619"/>
      <c r="I170" s="481"/>
      <c r="J170" s="481"/>
      <c r="K170" s="481"/>
      <c r="L170" s="171"/>
      <c r="M170" s="171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</row>
    <row r="171" spans="1:38" x14ac:dyDescent="0.3">
      <c r="A171" s="462" t="s">
        <v>1057</v>
      </c>
      <c r="B171" s="461" t="s">
        <v>1061</v>
      </c>
      <c r="C171" s="62"/>
      <c r="D171" s="171"/>
      <c r="E171" s="481"/>
      <c r="F171" s="619"/>
      <c r="G171" s="619"/>
      <c r="H171" s="619"/>
      <c r="I171" s="481"/>
      <c r="J171" s="481"/>
      <c r="K171" s="481"/>
      <c r="L171" s="171"/>
      <c r="M171" s="171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</row>
    <row r="172" spans="1:38" x14ac:dyDescent="0.3">
      <c r="A172" s="480" t="s">
        <v>1190</v>
      </c>
      <c r="B172" s="480" t="s">
        <v>1191</v>
      </c>
      <c r="C172" s="62"/>
      <c r="D172" s="171"/>
      <c r="E172" s="481"/>
      <c r="F172" s="619"/>
      <c r="G172" s="619"/>
      <c r="H172" s="619"/>
      <c r="I172" s="481"/>
      <c r="J172" s="481"/>
      <c r="K172" s="481"/>
      <c r="L172" s="171"/>
      <c r="M172" s="171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</row>
    <row r="173" spans="1:38" x14ac:dyDescent="0.3">
      <c r="A173" s="462" t="s">
        <v>1058</v>
      </c>
      <c r="B173" s="461" t="s">
        <v>1062</v>
      </c>
      <c r="C173" s="62"/>
      <c r="D173" s="171"/>
      <c r="E173" s="481"/>
      <c r="F173" s="619"/>
      <c r="G173" s="619"/>
      <c r="H173" s="619"/>
      <c r="I173" s="481"/>
      <c r="J173" s="481"/>
      <c r="K173" s="481"/>
      <c r="L173" s="171"/>
      <c r="M173" s="171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</row>
    <row r="174" spans="1:38" x14ac:dyDescent="0.3">
      <c r="A174" s="462" t="s">
        <v>1059</v>
      </c>
      <c r="B174" s="461" t="s">
        <v>1063</v>
      </c>
      <c r="C174" s="62"/>
      <c r="D174" s="171"/>
      <c r="E174" s="481"/>
      <c r="F174" s="619"/>
      <c r="G174" s="619"/>
      <c r="H174" s="619"/>
      <c r="I174" s="481"/>
      <c r="J174" s="481"/>
      <c r="K174" s="481"/>
      <c r="L174" s="171"/>
      <c r="M174" s="171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</row>
    <row r="175" spans="1:38" x14ac:dyDescent="0.3">
      <c r="A175" s="462" t="s">
        <v>1060</v>
      </c>
      <c r="B175" s="461" t="s">
        <v>1064</v>
      </c>
      <c r="C175" s="62"/>
      <c r="D175" s="171"/>
      <c r="E175" s="481"/>
      <c r="F175" s="619"/>
      <c r="G175" s="619"/>
      <c r="H175" s="619"/>
      <c r="I175" s="481"/>
      <c r="J175" s="481"/>
      <c r="K175" s="481"/>
      <c r="L175" s="171"/>
      <c r="M175" s="171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</row>
    <row r="176" spans="1:38" x14ac:dyDescent="0.3">
      <c r="A176" s="462" t="s">
        <v>1192</v>
      </c>
      <c r="B176" s="461" t="s">
        <v>1193</v>
      </c>
      <c r="C176" s="62"/>
      <c r="D176" s="171"/>
      <c r="E176" s="481"/>
      <c r="F176" s="619"/>
      <c r="G176" s="619"/>
      <c r="H176" s="619"/>
      <c r="I176" s="481"/>
      <c r="J176" s="481"/>
      <c r="K176" s="481"/>
      <c r="L176" s="171"/>
      <c r="M176" s="171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</row>
    <row r="177" spans="1:38" x14ac:dyDescent="0.3">
      <c r="A177" s="462"/>
      <c r="B177" s="479" t="s">
        <v>1066</v>
      </c>
      <c r="C177" s="62"/>
      <c r="D177" s="171"/>
      <c r="E177" s="481"/>
      <c r="F177" s="619"/>
      <c r="G177" s="619"/>
      <c r="H177" s="619"/>
      <c r="I177" s="481"/>
      <c r="J177" s="481"/>
      <c r="K177" s="481"/>
      <c r="L177" s="171"/>
      <c r="M177" s="171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</row>
    <row r="178" spans="1:38" x14ac:dyDescent="0.3">
      <c r="A178" s="462"/>
      <c r="B178" s="461"/>
      <c r="C178" s="62"/>
      <c r="D178" s="171"/>
      <c r="E178" s="481"/>
      <c r="F178" s="619"/>
      <c r="G178" s="619"/>
      <c r="H178" s="619"/>
      <c r="I178" s="481"/>
      <c r="J178" s="481"/>
      <c r="K178" s="481"/>
      <c r="L178" s="171"/>
      <c r="M178" s="171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</row>
    <row r="179" spans="1:38" x14ac:dyDescent="0.3">
      <c r="A179" s="460" t="s">
        <v>846</v>
      </c>
      <c r="B179" s="464"/>
      <c r="C179" s="62"/>
      <c r="D179" s="171"/>
      <c r="E179" s="481"/>
      <c r="F179" s="619"/>
      <c r="G179" s="619"/>
      <c r="H179" s="619"/>
      <c r="I179" s="481"/>
      <c r="J179" s="481"/>
      <c r="K179" s="481"/>
      <c r="L179" s="171"/>
      <c r="M179" s="171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</row>
    <row r="180" spans="1:38" x14ac:dyDescent="0.3">
      <c r="A180" s="460"/>
      <c r="B180" s="464" t="s">
        <v>549</v>
      </c>
      <c r="C180" s="62"/>
      <c r="D180" s="171"/>
      <c r="E180" s="481"/>
      <c r="F180" s="619"/>
      <c r="G180" s="619"/>
      <c r="H180" s="619"/>
      <c r="I180" s="481"/>
      <c r="J180" s="481"/>
      <c r="K180" s="481"/>
      <c r="L180" s="171"/>
      <c r="M180" s="171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</row>
    <row r="181" spans="1:38" x14ac:dyDescent="0.3">
      <c r="A181" s="462" t="s">
        <v>863</v>
      </c>
      <c r="B181" s="461" t="s">
        <v>847</v>
      </c>
      <c r="C181" s="62"/>
      <c r="D181" s="171"/>
      <c r="E181" s="481"/>
      <c r="F181" s="619"/>
      <c r="G181" s="619"/>
      <c r="H181" s="619"/>
      <c r="I181" s="481"/>
      <c r="J181" s="481"/>
      <c r="K181" s="481"/>
      <c r="L181" s="171"/>
      <c r="M181" s="171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</row>
    <row r="182" spans="1:38" x14ac:dyDescent="0.3">
      <c r="A182" s="462" t="s">
        <v>864</v>
      </c>
      <c r="B182" s="461" t="s">
        <v>644</v>
      </c>
      <c r="C182" s="62"/>
      <c r="D182" s="171"/>
      <c r="E182" s="481"/>
      <c r="F182" s="619"/>
      <c r="G182" s="619"/>
      <c r="H182" s="619"/>
      <c r="I182" s="481"/>
      <c r="J182" s="481"/>
      <c r="K182" s="481"/>
      <c r="L182" s="171"/>
      <c r="M182" s="171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</row>
    <row r="183" spans="1:38" x14ac:dyDescent="0.3">
      <c r="A183" s="462" t="s">
        <v>865</v>
      </c>
      <c r="B183" s="461" t="s">
        <v>848</v>
      </c>
      <c r="C183" s="62"/>
      <c r="D183" s="171"/>
      <c r="E183" s="481"/>
      <c r="F183" s="619"/>
      <c r="G183" s="619"/>
      <c r="H183" s="619"/>
      <c r="I183" s="481"/>
      <c r="J183" s="481"/>
      <c r="K183" s="481"/>
      <c r="L183" s="171"/>
      <c r="M183" s="171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</row>
    <row r="184" spans="1:38" x14ac:dyDescent="0.3">
      <c r="A184" s="462" t="s">
        <v>866</v>
      </c>
      <c r="B184" s="461" t="s">
        <v>849</v>
      </c>
      <c r="C184" s="62"/>
      <c r="D184" s="171"/>
      <c r="E184" s="481"/>
      <c r="F184" s="619"/>
      <c r="G184" s="619"/>
      <c r="H184" s="619"/>
      <c r="I184" s="481"/>
      <c r="J184" s="481"/>
      <c r="K184" s="481"/>
      <c r="L184" s="171"/>
      <c r="M184" s="171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</row>
    <row r="185" spans="1:38" x14ac:dyDescent="0.3">
      <c r="A185" s="462" t="s">
        <v>867</v>
      </c>
      <c r="B185" s="461" t="s">
        <v>850</v>
      </c>
      <c r="C185" s="62"/>
      <c r="D185" s="171"/>
      <c r="E185" s="481"/>
      <c r="F185" s="619"/>
      <c r="G185" s="619"/>
      <c r="H185" s="619"/>
      <c r="I185" s="481"/>
      <c r="J185" s="481"/>
      <c r="K185" s="481"/>
      <c r="L185" s="171"/>
      <c r="M185" s="171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</row>
    <row r="186" spans="1:38" x14ac:dyDescent="0.3">
      <c r="A186" s="462" t="s">
        <v>868</v>
      </c>
      <c r="B186" s="461" t="s">
        <v>851</v>
      </c>
      <c r="C186" s="62"/>
      <c r="D186" s="171"/>
      <c r="E186" s="481"/>
      <c r="F186" s="619"/>
      <c r="G186" s="619"/>
      <c r="H186" s="619"/>
      <c r="I186" s="481"/>
      <c r="J186" s="481"/>
      <c r="K186" s="481"/>
      <c r="L186" s="171"/>
      <c r="M186" s="171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</row>
    <row r="187" spans="1:38" x14ac:dyDescent="0.3">
      <c r="A187" s="462" t="s">
        <v>869</v>
      </c>
      <c r="B187" s="461" t="s">
        <v>852</v>
      </c>
      <c r="C187" s="62"/>
      <c r="D187" s="171"/>
      <c r="E187" s="481"/>
      <c r="F187" s="619"/>
      <c r="G187" s="619"/>
      <c r="H187" s="619"/>
      <c r="I187" s="481"/>
      <c r="J187" s="481"/>
      <c r="K187" s="481"/>
      <c r="L187" s="171"/>
      <c r="M187" s="171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</row>
    <row r="188" spans="1:38" x14ac:dyDescent="0.3">
      <c r="A188" s="462" t="s">
        <v>870</v>
      </c>
      <c r="B188" s="461" t="s">
        <v>853</v>
      </c>
      <c r="C188" s="62"/>
      <c r="D188" s="171"/>
      <c r="E188" s="481"/>
      <c r="F188" s="619"/>
      <c r="G188" s="619"/>
      <c r="H188" s="619"/>
      <c r="I188" s="481"/>
      <c r="J188" s="481"/>
      <c r="K188" s="481"/>
      <c r="L188" s="171"/>
      <c r="M188" s="171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</row>
    <row r="189" spans="1:38" x14ac:dyDescent="0.3">
      <c r="A189" s="462" t="s">
        <v>871</v>
      </c>
      <c r="B189" s="461" t="s">
        <v>854</v>
      </c>
      <c r="C189" s="62"/>
      <c r="D189" s="171"/>
      <c r="E189" s="481"/>
      <c r="F189" s="619"/>
      <c r="G189" s="619"/>
      <c r="H189" s="619"/>
      <c r="I189" s="481"/>
      <c r="J189" s="481"/>
      <c r="K189" s="481"/>
      <c r="L189" s="171"/>
      <c r="M189" s="171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</row>
    <row r="190" spans="1:38" x14ac:dyDescent="0.3">
      <c r="A190" s="462" t="s">
        <v>872</v>
      </c>
      <c r="B190" s="461" t="s">
        <v>855</v>
      </c>
      <c r="C190" s="62"/>
      <c r="D190" s="171"/>
      <c r="E190" s="481"/>
      <c r="F190" s="619"/>
      <c r="G190" s="619"/>
      <c r="H190" s="619"/>
      <c r="I190" s="481"/>
      <c r="J190" s="481"/>
      <c r="K190" s="481"/>
      <c r="L190" s="171"/>
      <c r="M190" s="171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</row>
    <row r="191" spans="1:38" x14ac:dyDescent="0.3">
      <c r="A191" s="462" t="s">
        <v>873</v>
      </c>
      <c r="B191" s="461" t="s">
        <v>856</v>
      </c>
      <c r="C191" s="62"/>
      <c r="D191" s="171"/>
      <c r="E191" s="481"/>
      <c r="F191" s="619"/>
      <c r="G191" s="619"/>
      <c r="H191" s="619"/>
      <c r="I191" s="481"/>
      <c r="J191" s="481"/>
      <c r="K191" s="481"/>
      <c r="L191" s="171"/>
      <c r="M191" s="171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</row>
    <row r="192" spans="1:38" x14ac:dyDescent="0.3">
      <c r="A192" s="462"/>
      <c r="B192" s="474" t="s">
        <v>524</v>
      </c>
      <c r="C192" s="62"/>
      <c r="D192" s="171"/>
      <c r="E192" s="481"/>
      <c r="F192" s="619"/>
      <c r="G192" s="619"/>
      <c r="H192" s="619"/>
      <c r="I192" s="481"/>
      <c r="J192" s="481"/>
      <c r="K192" s="481"/>
      <c r="L192" s="171"/>
      <c r="M192" s="171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</row>
    <row r="193" spans="1:38" x14ac:dyDescent="0.3">
      <c r="A193" s="462"/>
      <c r="B193" s="461"/>
      <c r="C193" s="62"/>
      <c r="D193" s="171"/>
      <c r="E193" s="481"/>
      <c r="F193" s="619"/>
      <c r="G193" s="619"/>
      <c r="H193" s="619"/>
      <c r="I193" s="481"/>
      <c r="J193" s="481"/>
      <c r="K193" s="481"/>
      <c r="L193" s="171"/>
      <c r="M193" s="171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</row>
    <row r="194" spans="1:38" x14ac:dyDescent="0.3">
      <c r="A194" s="462"/>
      <c r="B194" s="464" t="s">
        <v>565</v>
      </c>
      <c r="C194" s="62"/>
      <c r="D194" s="171"/>
      <c r="E194" s="481"/>
      <c r="F194" s="619"/>
      <c r="G194" s="619"/>
      <c r="H194" s="619"/>
      <c r="I194" s="481"/>
      <c r="J194" s="481"/>
      <c r="K194" s="481"/>
      <c r="L194" s="171"/>
      <c r="M194" s="171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</row>
    <row r="195" spans="1:38" x14ac:dyDescent="0.3">
      <c r="A195" s="462" t="s">
        <v>874</v>
      </c>
      <c r="B195" s="461" t="s">
        <v>847</v>
      </c>
      <c r="C195" s="62"/>
      <c r="D195" s="171"/>
      <c r="E195" s="481"/>
      <c r="F195" s="619"/>
      <c r="G195" s="619"/>
      <c r="H195" s="619"/>
      <c r="I195" s="481"/>
      <c r="J195" s="481"/>
      <c r="K195" s="481"/>
      <c r="L195" s="171"/>
      <c r="M195" s="171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</row>
    <row r="196" spans="1:38" x14ac:dyDescent="0.3">
      <c r="A196" s="462" t="s">
        <v>875</v>
      </c>
      <c r="B196" s="461" t="s">
        <v>857</v>
      </c>
      <c r="C196" s="62"/>
      <c r="D196" s="171"/>
      <c r="E196" s="481"/>
      <c r="F196" s="619"/>
      <c r="G196" s="619"/>
      <c r="H196" s="619"/>
      <c r="I196" s="481"/>
      <c r="J196" s="481"/>
      <c r="K196" s="481"/>
      <c r="L196" s="171"/>
      <c r="M196" s="171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</row>
    <row r="197" spans="1:38" x14ac:dyDescent="0.3">
      <c r="A197" s="462" t="s">
        <v>876</v>
      </c>
      <c r="B197" s="461" t="s">
        <v>858</v>
      </c>
      <c r="C197" s="62"/>
      <c r="D197" s="171"/>
      <c r="E197" s="481"/>
      <c r="F197" s="619"/>
      <c r="G197" s="619"/>
      <c r="H197" s="619"/>
      <c r="I197" s="481"/>
      <c r="J197" s="481"/>
      <c r="K197" s="481"/>
      <c r="L197" s="171"/>
      <c r="M197" s="171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</row>
    <row r="198" spans="1:38" x14ac:dyDescent="0.3">
      <c r="A198" s="462" t="s">
        <v>877</v>
      </c>
      <c r="B198" s="461" t="s">
        <v>859</v>
      </c>
      <c r="C198" s="62"/>
      <c r="D198" s="171"/>
      <c r="E198" s="481"/>
      <c r="F198" s="619"/>
      <c r="G198" s="619"/>
      <c r="H198" s="619"/>
      <c r="I198" s="481"/>
      <c r="J198" s="481"/>
      <c r="K198" s="481"/>
      <c r="L198" s="171"/>
      <c r="M198" s="171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</row>
    <row r="199" spans="1:38" x14ac:dyDescent="0.3">
      <c r="A199" s="462" t="s">
        <v>878</v>
      </c>
      <c r="B199" s="461" t="s">
        <v>851</v>
      </c>
      <c r="C199" s="62"/>
      <c r="D199" s="171"/>
      <c r="E199" s="481"/>
      <c r="F199" s="619"/>
      <c r="G199" s="619"/>
      <c r="H199" s="619"/>
      <c r="I199" s="481"/>
      <c r="J199" s="481"/>
      <c r="K199" s="481"/>
      <c r="L199" s="171"/>
      <c r="M199" s="171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</row>
    <row r="200" spans="1:38" x14ac:dyDescent="0.3">
      <c r="A200" s="462" t="s">
        <v>879</v>
      </c>
      <c r="B200" s="461" t="s">
        <v>852</v>
      </c>
      <c r="C200" s="62"/>
      <c r="D200" s="171"/>
      <c r="E200" s="481"/>
      <c r="F200" s="619"/>
      <c r="G200" s="619"/>
      <c r="H200" s="619"/>
      <c r="I200" s="481"/>
      <c r="J200" s="481"/>
      <c r="K200" s="481"/>
      <c r="L200" s="171"/>
      <c r="M200" s="171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</row>
    <row r="201" spans="1:38" x14ac:dyDescent="0.3">
      <c r="A201" s="462" t="s">
        <v>880</v>
      </c>
      <c r="B201" s="461" t="s">
        <v>853</v>
      </c>
      <c r="C201" s="62"/>
      <c r="D201" s="171"/>
      <c r="E201" s="481"/>
      <c r="F201" s="619"/>
      <c r="G201" s="619"/>
      <c r="H201" s="619"/>
      <c r="I201" s="481"/>
      <c r="J201" s="481"/>
      <c r="K201" s="481"/>
      <c r="L201" s="171"/>
      <c r="M201" s="171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</row>
    <row r="202" spans="1:38" x14ac:dyDescent="0.3">
      <c r="A202" s="462" t="s">
        <v>881</v>
      </c>
      <c r="B202" s="461" t="s">
        <v>456</v>
      </c>
      <c r="C202" s="62"/>
      <c r="D202" s="171"/>
      <c r="E202" s="481"/>
      <c r="F202" s="619"/>
      <c r="G202" s="619"/>
      <c r="H202" s="619"/>
      <c r="I202" s="481"/>
      <c r="J202" s="481"/>
      <c r="K202" s="481"/>
      <c r="L202" s="171"/>
      <c r="M202" s="171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</row>
    <row r="203" spans="1:38" x14ac:dyDescent="0.3">
      <c r="A203" s="462" t="s">
        <v>882</v>
      </c>
      <c r="B203" s="461" t="s">
        <v>854</v>
      </c>
      <c r="C203" s="62"/>
      <c r="D203" s="171"/>
      <c r="E203" s="481"/>
      <c r="F203" s="619"/>
      <c r="G203" s="619"/>
      <c r="H203" s="619"/>
      <c r="I203" s="481"/>
      <c r="J203" s="481"/>
      <c r="K203" s="481"/>
      <c r="L203" s="171"/>
      <c r="M203" s="171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</row>
    <row r="204" spans="1:38" x14ac:dyDescent="0.3">
      <c r="A204" s="462" t="s">
        <v>883</v>
      </c>
      <c r="B204" s="461" t="s">
        <v>860</v>
      </c>
      <c r="C204" s="62"/>
      <c r="D204" s="171"/>
      <c r="E204" s="481"/>
      <c r="F204" s="619"/>
      <c r="G204" s="619"/>
      <c r="H204" s="619"/>
      <c r="I204" s="481"/>
      <c r="J204" s="481"/>
      <c r="K204" s="481"/>
      <c r="L204" s="171"/>
      <c r="M204" s="171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</row>
    <row r="205" spans="1:38" x14ac:dyDescent="0.3">
      <c r="A205" s="462"/>
      <c r="B205" s="474" t="s">
        <v>524</v>
      </c>
      <c r="C205" s="62"/>
      <c r="D205" s="171"/>
      <c r="E205" s="481"/>
      <c r="F205" s="619"/>
      <c r="G205" s="619"/>
      <c r="H205" s="619"/>
      <c r="I205" s="481"/>
      <c r="J205" s="481"/>
      <c r="K205" s="481"/>
      <c r="L205" s="171"/>
      <c r="M205" s="171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</row>
    <row r="206" spans="1:38" x14ac:dyDescent="0.3">
      <c r="A206" s="462"/>
      <c r="B206" s="461"/>
      <c r="C206" s="62"/>
      <c r="D206" s="171"/>
      <c r="E206" s="481"/>
      <c r="F206" s="619"/>
      <c r="G206" s="619"/>
      <c r="H206" s="619"/>
      <c r="I206" s="481"/>
      <c r="J206" s="481"/>
      <c r="K206" s="481"/>
      <c r="L206" s="171"/>
      <c r="M206" s="171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</row>
    <row r="207" spans="1:38" x14ac:dyDescent="0.3">
      <c r="A207" s="462"/>
      <c r="B207" s="479" t="s">
        <v>543</v>
      </c>
      <c r="C207" s="62"/>
      <c r="D207" s="171"/>
      <c r="E207" s="481"/>
      <c r="F207" s="619"/>
      <c r="G207" s="619"/>
      <c r="H207" s="619"/>
      <c r="I207" s="481"/>
      <c r="J207" s="481"/>
      <c r="K207" s="481"/>
      <c r="L207" s="171"/>
      <c r="M207" s="171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</row>
    <row r="208" spans="1:38" x14ac:dyDescent="0.3">
      <c r="A208" s="462"/>
      <c r="B208" s="461"/>
      <c r="C208" s="62"/>
      <c r="D208" s="171"/>
      <c r="E208" s="481"/>
      <c r="F208" s="619"/>
      <c r="G208" s="619"/>
      <c r="H208" s="619"/>
      <c r="I208" s="481"/>
      <c r="J208" s="481"/>
      <c r="K208" s="481"/>
      <c r="L208" s="171"/>
      <c r="M208" s="171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</row>
    <row r="209" spans="1:38" x14ac:dyDescent="0.3">
      <c r="A209" s="462"/>
      <c r="B209" s="479" t="s">
        <v>862</v>
      </c>
      <c r="C209" s="62"/>
      <c r="D209" s="171"/>
      <c r="E209" s="481"/>
      <c r="F209" s="619"/>
      <c r="G209" s="619"/>
      <c r="H209" s="619"/>
      <c r="I209" s="481"/>
      <c r="J209" s="481"/>
      <c r="K209" s="481"/>
      <c r="L209" s="171"/>
      <c r="M209" s="171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</row>
    <row r="210" spans="1:38" x14ac:dyDescent="0.3">
      <c r="A210" s="462"/>
      <c r="B210" s="461"/>
      <c r="C210" s="62"/>
      <c r="D210" s="171"/>
      <c r="E210" s="481"/>
      <c r="F210" s="619"/>
      <c r="G210" s="619"/>
      <c r="H210" s="619"/>
      <c r="I210" s="481"/>
      <c r="J210" s="481"/>
      <c r="K210" s="481"/>
      <c r="L210" s="171"/>
      <c r="M210" s="171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</row>
    <row r="211" spans="1:38" x14ac:dyDescent="0.3">
      <c r="A211" s="462"/>
      <c r="B211" s="461"/>
      <c r="C211" s="62"/>
      <c r="D211" s="171"/>
      <c r="E211" s="481"/>
      <c r="F211" s="619"/>
      <c r="G211" s="619"/>
      <c r="H211" s="619"/>
      <c r="I211" s="481"/>
      <c r="J211" s="481"/>
      <c r="K211" s="481"/>
      <c r="L211" s="171"/>
      <c r="M211" s="171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</row>
    <row r="212" spans="1:38" x14ac:dyDescent="0.3">
      <c r="A212" s="460" t="s">
        <v>696</v>
      </c>
      <c r="B212" s="461"/>
      <c r="C212" s="62"/>
      <c r="D212" s="171"/>
      <c r="E212" s="481"/>
      <c r="F212" s="619"/>
      <c r="G212" s="619"/>
      <c r="H212" s="619"/>
      <c r="I212" s="481"/>
      <c r="J212" s="481"/>
      <c r="K212" s="481"/>
      <c r="L212" s="171"/>
      <c r="M212" s="171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</row>
    <row r="213" spans="1:38" x14ac:dyDescent="0.3">
      <c r="A213" s="462"/>
      <c r="B213" s="461"/>
      <c r="C213" s="62"/>
      <c r="D213" s="171"/>
      <c r="E213" s="481"/>
      <c r="F213" s="619"/>
      <c r="G213" s="619"/>
      <c r="H213" s="619"/>
      <c r="I213" s="481"/>
      <c r="J213" s="481"/>
      <c r="K213" s="481"/>
      <c r="L213" s="171"/>
      <c r="M213" s="171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</row>
    <row r="214" spans="1:38" x14ac:dyDescent="0.3">
      <c r="A214" s="462"/>
      <c r="B214" s="464" t="s">
        <v>697</v>
      </c>
      <c r="C214" s="62"/>
      <c r="D214" s="171"/>
      <c r="E214" s="481"/>
      <c r="F214" s="619"/>
      <c r="G214" s="619"/>
      <c r="H214" s="619"/>
      <c r="I214" s="481"/>
      <c r="J214" s="481"/>
      <c r="K214" s="481"/>
      <c r="L214" s="171"/>
      <c r="M214" s="171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171"/>
      <c r="Z214" s="171"/>
      <c r="AA214" s="171"/>
      <c r="AB214" s="171"/>
      <c r="AC214" s="171"/>
      <c r="AD214" s="171"/>
      <c r="AE214" s="171"/>
      <c r="AF214" s="171"/>
      <c r="AG214" s="171"/>
      <c r="AH214" s="171"/>
      <c r="AI214" s="62"/>
      <c r="AJ214" s="62"/>
      <c r="AK214" s="62"/>
      <c r="AL214" s="62"/>
    </row>
    <row r="215" spans="1:38" x14ac:dyDescent="0.3">
      <c r="A215" s="462" t="s">
        <v>698</v>
      </c>
      <c r="B215" s="461" t="s">
        <v>699</v>
      </c>
      <c r="C215" s="62"/>
      <c r="D215" s="468">
        <f>'7a. LX_AG-i'!J216</f>
        <v>0</v>
      </c>
      <c r="E215" s="482"/>
      <c r="F215" s="623"/>
      <c r="G215" s="623"/>
      <c r="H215" s="623"/>
      <c r="I215" s="482"/>
      <c r="J215" s="482"/>
      <c r="K215" s="482"/>
      <c r="L215" s="468">
        <f>'7a. LX_AG-i'!K216</f>
        <v>0</v>
      </c>
      <c r="M215" s="468">
        <f>'7a. LX_AG-i'!L216</f>
        <v>0</v>
      </c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468">
        <f>'7a. LX_AG-i'!M216</f>
        <v>61983.063432429117</v>
      </c>
      <c r="Y215" s="171">
        <f>$X215*'7c. LX_AG-sfaf'!Y215/'7c. LX_AG-sfaf'!$X215</f>
        <v>0</v>
      </c>
      <c r="Z215" s="171">
        <f>$X215*'7c. LX_AG-sfaf'!Z215/'7c. LX_AG-sfaf'!$X215</f>
        <v>61983.063432429117</v>
      </c>
      <c r="AA215" s="171">
        <f>'7a. LX_AG-i'!N216</f>
        <v>32215.979787846565</v>
      </c>
      <c r="AB215" s="171">
        <f>'7a. LX_AG-i'!O216</f>
        <v>149303.10561713914</v>
      </c>
      <c r="AC215" s="171">
        <f>$AB215*'7c. LX_AG-sfaf'!AC215/'7c. LX_AG-sfaf'!$AB215</f>
        <v>149303.10561713914</v>
      </c>
      <c r="AD215" s="171">
        <f>$AB215*'7c. LX_AG-sfaf'!AD215/'7c. LX_AG-sfaf'!$AB215</f>
        <v>0</v>
      </c>
      <c r="AE215" s="171">
        <f>$AB215*'7c. LX_AG-sfaf'!AE215/'7c. LX_AG-sfaf'!$AB215</f>
        <v>0</v>
      </c>
      <c r="AF215" s="171">
        <f>'7a. LX_AG-i'!P216</f>
        <v>0</v>
      </c>
      <c r="AG215" s="171"/>
      <c r="AH215" s="171">
        <f>'7a. LX_AG-i'!Q216</f>
        <v>0</v>
      </c>
      <c r="AI215" s="62"/>
      <c r="AJ215" s="468">
        <f>'7a. LX_AG-i'!I216</f>
        <v>243502.14883741483</v>
      </c>
      <c r="AK215" s="62">
        <f t="shared" ref="AK215:AK221" si="15">SUM(F215:K215,L215,N215:W215,Y215:Z215,AA215:AA215,AC215:AE215,AG215:AH215)</f>
        <v>243502.1488374148</v>
      </c>
      <c r="AL215" s="62">
        <f t="shared" ref="AL215:AL220" si="16">AJ215-AK215</f>
        <v>0</v>
      </c>
    </row>
    <row r="216" spans="1:38" x14ac:dyDescent="0.3">
      <c r="A216" s="462" t="s">
        <v>700</v>
      </c>
      <c r="B216" s="461" t="s">
        <v>701</v>
      </c>
      <c r="C216" s="62"/>
      <c r="D216" s="468">
        <f>'7a. LX_AG-i'!J217</f>
        <v>0</v>
      </c>
      <c r="E216" s="482"/>
      <c r="F216" s="623"/>
      <c r="G216" s="623"/>
      <c r="H216" s="623"/>
      <c r="I216" s="482"/>
      <c r="J216" s="482"/>
      <c r="K216" s="482"/>
      <c r="L216" s="468">
        <f>'7a. LX_AG-i'!K217</f>
        <v>0</v>
      </c>
      <c r="M216" s="468">
        <f>'7a. LX_AG-i'!L217</f>
        <v>0</v>
      </c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468">
        <f>'7a. LX_AG-i'!M217</f>
        <v>5781513.5941174068</v>
      </c>
      <c r="Y216" s="171">
        <f>$X216*'7c. LX_AG-sfaf'!Y216/'7c. LX_AG-sfaf'!$X216</f>
        <v>0</v>
      </c>
      <c r="Z216" s="171">
        <f>$X216*'7c. LX_AG-sfaf'!Z216/'7c. LX_AG-sfaf'!$X216</f>
        <v>5781513.5941174068</v>
      </c>
      <c r="AA216" s="171">
        <f>'7a. LX_AG-i'!N217</f>
        <v>0</v>
      </c>
      <c r="AB216" s="171">
        <f>'7a. LX_AG-i'!O217</f>
        <v>0</v>
      </c>
      <c r="AC216" s="171"/>
      <c r="AD216" s="171"/>
      <c r="AE216" s="171"/>
      <c r="AF216" s="171">
        <f>'7a. LX_AG-i'!P217</f>
        <v>0</v>
      </c>
      <c r="AG216" s="171"/>
      <c r="AH216" s="171">
        <f>'7a. LX_AG-i'!Q217</f>
        <v>0</v>
      </c>
      <c r="AI216" s="62"/>
      <c r="AJ216" s="468">
        <f>'7a. LX_AG-i'!I217</f>
        <v>5781513.5941174068</v>
      </c>
      <c r="AK216" s="62">
        <f t="shared" si="15"/>
        <v>5781513.5941174068</v>
      </c>
      <c r="AL216" s="62">
        <f t="shared" si="16"/>
        <v>0</v>
      </c>
    </row>
    <row r="217" spans="1:38" x14ac:dyDescent="0.3">
      <c r="A217" s="462" t="s">
        <v>702</v>
      </c>
      <c r="B217" s="461" t="s">
        <v>703</v>
      </c>
      <c r="C217" s="62"/>
      <c r="D217" s="468">
        <f>'7a. LX_AG-i'!J218</f>
        <v>0</v>
      </c>
      <c r="E217" s="482"/>
      <c r="F217" s="623"/>
      <c r="G217" s="623"/>
      <c r="H217" s="623"/>
      <c r="I217" s="482"/>
      <c r="J217" s="482"/>
      <c r="K217" s="482"/>
      <c r="L217" s="468">
        <f>'7a. LX_AG-i'!K218</f>
        <v>0</v>
      </c>
      <c r="M217" s="468">
        <f>'7a. LX_AG-i'!L218</f>
        <v>0</v>
      </c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468">
        <f>'7a. LX_AG-i'!M218</f>
        <v>0</v>
      </c>
      <c r="Y217" s="171" t="s">
        <v>546</v>
      </c>
      <c r="Z217" s="171" t="s">
        <v>546</v>
      </c>
      <c r="AA217" s="171">
        <f>'7a. LX_AG-i'!N218</f>
        <v>3004968.0473488513</v>
      </c>
      <c r="AB217" s="171">
        <f>'7a. LX_AG-i'!O218</f>
        <v>13926351.602651145</v>
      </c>
      <c r="AC217" s="171">
        <f>$AB217*'7c. LX_AG-sfaf'!AC217/'7c. LX_AG-sfaf'!$AB217</f>
        <v>13926351.602651145</v>
      </c>
      <c r="AD217" s="171">
        <f>$AB217*'7c. LX_AG-sfaf'!AD217/'7c. LX_AG-sfaf'!$AB217</f>
        <v>0</v>
      </c>
      <c r="AE217" s="171">
        <f>$AB217*'7c. LX_AG-sfaf'!AE217/'7c. LX_AG-sfaf'!$AB217</f>
        <v>0</v>
      </c>
      <c r="AF217" s="171">
        <f>'7a. LX_AG-i'!P218</f>
        <v>0</v>
      </c>
      <c r="AG217" s="171"/>
      <c r="AH217" s="171">
        <f>'7a. LX_AG-i'!Q218</f>
        <v>0</v>
      </c>
      <c r="AI217" s="62"/>
      <c r="AJ217" s="468">
        <f>'7a. LX_AG-i'!I218</f>
        <v>16931319.649999999</v>
      </c>
      <c r="AK217" s="62">
        <f t="shared" si="15"/>
        <v>16931319.649999999</v>
      </c>
      <c r="AL217" s="62">
        <f t="shared" si="16"/>
        <v>0</v>
      </c>
    </row>
    <row r="218" spans="1:38" x14ac:dyDescent="0.3">
      <c r="A218" s="462" t="s">
        <v>704</v>
      </c>
      <c r="B218" s="461" t="s">
        <v>705</v>
      </c>
      <c r="C218" s="62"/>
      <c r="D218" s="468">
        <f>'7a. LX_AG-i'!J219</f>
        <v>0</v>
      </c>
      <c r="E218" s="482"/>
      <c r="F218" s="623"/>
      <c r="G218" s="623"/>
      <c r="H218" s="623"/>
      <c r="I218" s="482"/>
      <c r="J218" s="482"/>
      <c r="K218" s="482"/>
      <c r="L218" s="468">
        <f>'7a. LX_AG-i'!K219</f>
        <v>0</v>
      </c>
      <c r="M218" s="468">
        <f>'7a. LX_AG-i'!L219</f>
        <v>0</v>
      </c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468">
        <f>'7a. LX_AG-i'!M219</f>
        <v>0</v>
      </c>
      <c r="Y218" s="171" t="s">
        <v>546</v>
      </c>
      <c r="Z218" s="171" t="s">
        <v>546</v>
      </c>
      <c r="AA218" s="171">
        <f>'7a. LX_AG-i'!N219</f>
        <v>0</v>
      </c>
      <c r="AB218" s="171">
        <f>'7a. LX_AG-i'!O219</f>
        <v>0</v>
      </c>
      <c r="AC218" s="171"/>
      <c r="AD218" s="171"/>
      <c r="AE218" s="171"/>
      <c r="AF218" s="171">
        <f>'7a. LX_AG-i'!P219</f>
        <v>0</v>
      </c>
      <c r="AG218" s="171"/>
      <c r="AH218" s="171">
        <f>'7a. LX_AG-i'!Q219</f>
        <v>0</v>
      </c>
      <c r="AI218" s="62"/>
      <c r="AJ218" s="468">
        <f>'7a. LX_AG-i'!I219</f>
        <v>0</v>
      </c>
      <c r="AK218" s="62">
        <f t="shared" si="15"/>
        <v>0</v>
      </c>
      <c r="AL218" s="62">
        <f t="shared" si="16"/>
        <v>0</v>
      </c>
    </row>
    <row r="219" spans="1:38" x14ac:dyDescent="0.3">
      <c r="A219" s="462" t="s">
        <v>706</v>
      </c>
      <c r="B219" s="466" t="s">
        <v>707</v>
      </c>
      <c r="C219" s="62"/>
      <c r="D219" s="468">
        <f>'7a. LX_AG-i'!J220</f>
        <v>0</v>
      </c>
      <c r="E219" s="482"/>
      <c r="F219" s="623"/>
      <c r="G219" s="623"/>
      <c r="H219" s="623"/>
      <c r="I219" s="482"/>
      <c r="J219" s="482"/>
      <c r="K219" s="482"/>
      <c r="L219" s="468">
        <f>'7a. LX_AG-i'!K220</f>
        <v>0</v>
      </c>
      <c r="M219" s="468">
        <f>'7a. LX_AG-i'!L220</f>
        <v>0</v>
      </c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468">
        <f>'7a. LX_AG-i'!M220</f>
        <v>5643.6690200413523</v>
      </c>
      <c r="Y219" s="171">
        <f>$X219*'7c. LX_AG-sfaf'!Y219/'7c. LX_AG-sfaf'!$X219</f>
        <v>0</v>
      </c>
      <c r="Z219" s="171">
        <f>$X219*'7c. LX_AG-sfaf'!Z219/'7c. LX_AG-sfaf'!$X219</f>
        <v>5643.6690200413523</v>
      </c>
      <c r="AA219" s="171">
        <f>'7a. LX_AG-i'!N220</f>
        <v>2933.3227015659727</v>
      </c>
      <c r="AB219" s="171">
        <f>'7a. LX_AG-i'!O220</f>
        <v>13594.315367874484</v>
      </c>
      <c r="AC219" s="171">
        <f>$AB219*'7c. LX_AG-sfaf'!AC219/'7c. LX_AG-sfaf'!$AB219</f>
        <v>13594.315367874484</v>
      </c>
      <c r="AD219" s="171">
        <f>$AB219*'7c. LX_AG-sfaf'!AD219/'7c. LX_AG-sfaf'!$AB219</f>
        <v>0</v>
      </c>
      <c r="AE219" s="171">
        <f>$AB219*'7c. LX_AG-sfaf'!AE219/'7c. LX_AG-sfaf'!$AB219</f>
        <v>0</v>
      </c>
      <c r="AF219" s="171">
        <f>'7a. LX_AG-i'!P220</f>
        <v>0</v>
      </c>
      <c r="AG219" s="171"/>
      <c r="AH219" s="171">
        <f>'7a. LX_AG-i'!Q220</f>
        <v>0</v>
      </c>
      <c r="AI219" s="62"/>
      <c r="AJ219" s="468">
        <f>'7a. LX_AG-i'!I220</f>
        <v>22171.307089481812</v>
      </c>
      <c r="AK219" s="62">
        <f t="shared" si="15"/>
        <v>22171.307089481808</v>
      </c>
      <c r="AL219" s="62">
        <f t="shared" si="16"/>
        <v>0</v>
      </c>
    </row>
    <row r="220" spans="1:38" x14ac:dyDescent="0.3">
      <c r="A220" s="462"/>
      <c r="B220" s="474" t="s">
        <v>524</v>
      </c>
      <c r="C220" s="62"/>
      <c r="D220" s="171">
        <f>SUM(D215:D219)</f>
        <v>0</v>
      </c>
      <c r="E220" s="171">
        <f>SUM(E215:E219)</f>
        <v>0</v>
      </c>
      <c r="F220" s="622"/>
      <c r="G220" s="622"/>
      <c r="H220" s="622"/>
      <c r="I220" s="171">
        <f>SUM(I215:I219)</f>
        <v>0</v>
      </c>
      <c r="J220" s="171"/>
      <c r="K220" s="171"/>
      <c r="L220" s="171">
        <f t="shared" ref="L220:AA220" si="17">SUM(L215:L219)</f>
        <v>0</v>
      </c>
      <c r="M220" s="171">
        <f t="shared" si="17"/>
        <v>0</v>
      </c>
      <c r="N220" s="171">
        <f t="shared" si="17"/>
        <v>0</v>
      </c>
      <c r="O220" s="171">
        <f t="shared" si="17"/>
        <v>0</v>
      </c>
      <c r="P220" s="171">
        <f t="shared" si="17"/>
        <v>0</v>
      </c>
      <c r="Q220" s="171">
        <f t="shared" si="17"/>
        <v>0</v>
      </c>
      <c r="R220" s="171">
        <f t="shared" si="17"/>
        <v>0</v>
      </c>
      <c r="S220" s="171">
        <f t="shared" si="17"/>
        <v>0</v>
      </c>
      <c r="T220" s="171">
        <f t="shared" si="17"/>
        <v>0</v>
      </c>
      <c r="U220" s="171">
        <f t="shared" si="17"/>
        <v>0</v>
      </c>
      <c r="V220" s="171">
        <f t="shared" si="17"/>
        <v>0</v>
      </c>
      <c r="W220" s="171">
        <f t="shared" si="17"/>
        <v>0</v>
      </c>
      <c r="X220" s="171">
        <f t="shared" si="17"/>
        <v>5849140.3265698766</v>
      </c>
      <c r="Y220" s="171">
        <f>SUM(Y215:Y219)</f>
        <v>0</v>
      </c>
      <c r="Z220" s="171">
        <f>SUM(Z215:Z219)</f>
        <v>5849140.3265698766</v>
      </c>
      <c r="AA220" s="171">
        <f t="shared" si="17"/>
        <v>3040117.3498382638</v>
      </c>
      <c r="AB220" s="171">
        <f>SUM(AB215:AB219)</f>
        <v>14089249.023636159</v>
      </c>
      <c r="AC220" s="171">
        <f>SUM(AC215:AC219)</f>
        <v>14089249.023636159</v>
      </c>
      <c r="AD220" s="171">
        <f>SUM(AD215:AD219)</f>
        <v>0</v>
      </c>
      <c r="AE220" s="171">
        <f>SUM(AE215:AE219)</f>
        <v>0</v>
      </c>
      <c r="AF220" s="171">
        <f>SUM(AF215:AF219)</f>
        <v>0</v>
      </c>
      <c r="AG220" s="171"/>
      <c r="AH220" s="171">
        <f>SUM(AH215:AH219)</f>
        <v>0</v>
      </c>
      <c r="AI220" s="62"/>
      <c r="AJ220" s="171">
        <f>SUM(AJ215:AJ219)</f>
        <v>22978506.7000443</v>
      </c>
      <c r="AK220" s="62">
        <f t="shared" si="15"/>
        <v>22978506.700044297</v>
      </c>
      <c r="AL220" s="62">
        <f t="shared" si="16"/>
        <v>0</v>
      </c>
    </row>
    <row r="221" spans="1:38" x14ac:dyDescent="0.3">
      <c r="A221" s="462"/>
      <c r="B221" s="461" t="s">
        <v>941</v>
      </c>
      <c r="C221" s="62"/>
      <c r="D221" s="171">
        <f>SUM(D216:D219)</f>
        <v>0</v>
      </c>
      <c r="E221" s="171">
        <f>SUM(E216:E219)</f>
        <v>0</v>
      </c>
      <c r="F221" s="622"/>
      <c r="G221" s="622"/>
      <c r="H221" s="622"/>
      <c r="I221" s="171">
        <f>SUM(I216:I219)</f>
        <v>0</v>
      </c>
      <c r="J221" s="171"/>
      <c r="K221" s="171"/>
      <c r="L221" s="171">
        <f t="shared" ref="L221:AA221" si="18">SUM(L216:L219)</f>
        <v>0</v>
      </c>
      <c r="M221" s="171">
        <f t="shared" si="18"/>
        <v>0</v>
      </c>
      <c r="N221" s="171">
        <f t="shared" si="18"/>
        <v>0</v>
      </c>
      <c r="O221" s="171">
        <f t="shared" si="18"/>
        <v>0</v>
      </c>
      <c r="P221" s="171">
        <f t="shared" si="18"/>
        <v>0</v>
      </c>
      <c r="Q221" s="171">
        <f t="shared" si="18"/>
        <v>0</v>
      </c>
      <c r="R221" s="171">
        <f t="shared" si="18"/>
        <v>0</v>
      </c>
      <c r="S221" s="171">
        <f t="shared" si="18"/>
        <v>0</v>
      </c>
      <c r="T221" s="171">
        <f t="shared" si="18"/>
        <v>0</v>
      </c>
      <c r="U221" s="171">
        <f t="shared" si="18"/>
        <v>0</v>
      </c>
      <c r="V221" s="171">
        <f t="shared" si="18"/>
        <v>0</v>
      </c>
      <c r="W221" s="171">
        <f>SUM(W216:W219)</f>
        <v>0</v>
      </c>
      <c r="X221" s="171">
        <f t="shared" si="18"/>
        <v>5787157.2631374476</v>
      </c>
      <c r="Y221" s="171">
        <f>SUM(Y216:Y219)</f>
        <v>0</v>
      </c>
      <c r="Z221" s="171">
        <f>SUM(Z216:Z219)</f>
        <v>5787157.2631374476</v>
      </c>
      <c r="AA221" s="171">
        <f t="shared" si="18"/>
        <v>3007901.3700504173</v>
      </c>
      <c r="AB221" s="171">
        <f>SUM(AB216:AB219)</f>
        <v>13939945.918019019</v>
      </c>
      <c r="AC221" s="171">
        <f>SUM(AC216:AC219)</f>
        <v>13939945.918019019</v>
      </c>
      <c r="AD221" s="171">
        <f>SUM(AD216:AD219)</f>
        <v>0</v>
      </c>
      <c r="AE221" s="171">
        <f>SUM(AE216:AE219)</f>
        <v>0</v>
      </c>
      <c r="AF221" s="171">
        <f>SUM(AF216:AF219)</f>
        <v>0</v>
      </c>
      <c r="AG221" s="171"/>
      <c r="AH221" s="171">
        <f>SUM(AH216:AH219)</f>
        <v>0</v>
      </c>
      <c r="AI221" s="62"/>
      <c r="AJ221" s="171">
        <f>SUM(AJ216:AJ219)</f>
        <v>22735004.551206887</v>
      </c>
      <c r="AK221" s="62">
        <f t="shared" si="15"/>
        <v>22735004.551206883</v>
      </c>
      <c r="AL221" s="62"/>
    </row>
    <row r="222" spans="1:38" x14ac:dyDescent="0.3">
      <c r="A222" s="462"/>
      <c r="B222" s="464" t="s">
        <v>708</v>
      </c>
      <c r="C222" s="62"/>
      <c r="D222" s="171"/>
      <c r="E222" s="481"/>
      <c r="F222" s="619"/>
      <c r="G222" s="619"/>
      <c r="H222" s="619"/>
      <c r="I222" s="481"/>
      <c r="J222" s="481"/>
      <c r="K222" s="481"/>
      <c r="L222" s="171"/>
      <c r="M222" s="171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171"/>
      <c r="Z222" s="171"/>
      <c r="AA222" s="171"/>
      <c r="AB222" s="171"/>
      <c r="AC222" s="171"/>
      <c r="AD222" s="171"/>
      <c r="AE222" s="171"/>
      <c r="AF222" s="171"/>
      <c r="AG222" s="171"/>
      <c r="AH222" s="171"/>
      <c r="AI222" s="62"/>
      <c r="AJ222" s="62"/>
      <c r="AK222" s="62"/>
      <c r="AL222" s="62"/>
    </row>
    <row r="223" spans="1:38" x14ac:dyDescent="0.3">
      <c r="A223" s="462" t="s">
        <v>709</v>
      </c>
      <c r="B223" s="461" t="s">
        <v>710</v>
      </c>
      <c r="C223" s="62"/>
      <c r="D223" s="468">
        <f>'7a. LX_AG-i'!J224</f>
        <v>0</v>
      </c>
      <c r="E223" s="482"/>
      <c r="F223" s="623"/>
      <c r="G223" s="623"/>
      <c r="H223" s="623"/>
      <c r="I223" s="482"/>
      <c r="J223" s="482"/>
      <c r="K223" s="482"/>
      <c r="L223" s="468">
        <f>'7a. LX_AG-i'!K224</f>
        <v>0</v>
      </c>
      <c r="M223" s="468">
        <f>'7a. LX_AG-i'!L224</f>
        <v>0</v>
      </c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468">
        <f>'7a. LX_AG-i'!M224</f>
        <v>0</v>
      </c>
      <c r="Y223" s="171"/>
      <c r="Z223" s="171"/>
      <c r="AA223" s="171">
        <f>'7a. LX_AG-i'!N224</f>
        <v>0</v>
      </c>
      <c r="AB223" s="171">
        <f>'7a. LX_AG-i'!O224</f>
        <v>0</v>
      </c>
      <c r="AC223" s="171"/>
      <c r="AD223" s="171"/>
      <c r="AE223" s="171"/>
      <c r="AF223" s="171">
        <f>'7a. LX_AG-i'!P224</f>
        <v>0</v>
      </c>
      <c r="AG223" s="171"/>
      <c r="AH223" s="171">
        <f>'7a. LX_AG-i'!Q224</f>
        <v>0</v>
      </c>
      <c r="AI223" s="62"/>
      <c r="AJ223" s="468">
        <f>'7a. LX_AG-i'!I224</f>
        <v>0</v>
      </c>
      <c r="AK223" s="62">
        <f t="shared" ref="AK223:AK229" si="19">SUM(F223:K223,L223,N223:W223,Y223:Z223,AA223:AA223,AC223:AE223,AG223:AH223)</f>
        <v>0</v>
      </c>
      <c r="AL223" s="62">
        <f t="shared" ref="AL223:AL228" si="20">AJ223-AK223</f>
        <v>0</v>
      </c>
    </row>
    <row r="224" spans="1:38" x14ac:dyDescent="0.3">
      <c r="A224" s="462" t="s">
        <v>711</v>
      </c>
      <c r="B224" s="461" t="s">
        <v>699</v>
      </c>
      <c r="C224" s="62"/>
      <c r="D224" s="468" t="str">
        <f>'7a. LX_AG-i'!J225</f>
        <v xml:space="preserve"> </v>
      </c>
      <c r="E224" s="482"/>
      <c r="F224" s="623"/>
      <c r="G224" s="623"/>
      <c r="H224" s="623"/>
      <c r="I224" s="482"/>
      <c r="J224" s="482"/>
      <c r="K224" s="482"/>
      <c r="L224" s="468">
        <f>'7a. LX_AG-i'!K225</f>
        <v>0</v>
      </c>
      <c r="M224" s="468">
        <f>'7a. LX_AG-i'!L225</f>
        <v>0</v>
      </c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468" t="str">
        <f>'7a. LX_AG-i'!M225</f>
        <v xml:space="preserve"> </v>
      </c>
      <c r="Y224" s="171"/>
      <c r="Z224" s="171"/>
      <c r="AA224" s="171" t="str">
        <f>'7a. LX_AG-i'!N225</f>
        <v xml:space="preserve"> </v>
      </c>
      <c r="AB224" s="171" t="str">
        <f>'7a. LX_AG-i'!O225</f>
        <v xml:space="preserve"> </v>
      </c>
      <c r="AC224" s="171" t="s">
        <v>546</v>
      </c>
      <c r="AD224" s="171" t="s">
        <v>546</v>
      </c>
      <c r="AE224" s="171" t="s">
        <v>546</v>
      </c>
      <c r="AF224" s="171" t="str">
        <f>'7a. LX_AG-i'!P225</f>
        <v xml:space="preserve"> </v>
      </c>
      <c r="AG224" s="171" t="s">
        <v>546</v>
      </c>
      <c r="AH224" s="171" t="str">
        <f>'7a. LX_AG-i'!Q225</f>
        <v xml:space="preserve"> </v>
      </c>
      <c r="AI224" s="62"/>
      <c r="AJ224" s="468">
        <f>'7a. LX_AG-i'!I225</f>
        <v>0</v>
      </c>
      <c r="AK224" s="62">
        <f t="shared" si="19"/>
        <v>0</v>
      </c>
      <c r="AL224" s="62">
        <f t="shared" si="20"/>
        <v>0</v>
      </c>
    </row>
    <row r="225" spans="1:38" x14ac:dyDescent="0.3">
      <c r="A225" s="462" t="s">
        <v>712</v>
      </c>
      <c r="B225" s="466" t="s">
        <v>713</v>
      </c>
      <c r="C225" s="62"/>
      <c r="D225" s="468">
        <f>'7a. LX_AG-i'!J226</f>
        <v>0</v>
      </c>
      <c r="E225" s="482"/>
      <c r="F225" s="623"/>
      <c r="G225" s="623"/>
      <c r="H225" s="623"/>
      <c r="I225" s="482"/>
      <c r="J225" s="482"/>
      <c r="K225" s="482"/>
      <c r="L225" s="468">
        <f>'7a. LX_AG-i'!K226</f>
        <v>0</v>
      </c>
      <c r="M225" s="468">
        <f>'7a. LX_AG-i'!L226</f>
        <v>0</v>
      </c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468">
        <f>'7a. LX_AG-i'!M226</f>
        <v>0</v>
      </c>
      <c r="Y225" s="171"/>
      <c r="Z225" s="171"/>
      <c r="AA225" s="171">
        <f>'7a. LX_AG-i'!N226</f>
        <v>0</v>
      </c>
      <c r="AB225" s="171">
        <f>'7a. LX_AG-i'!O226</f>
        <v>0</v>
      </c>
      <c r="AC225" s="171" t="s">
        <v>546</v>
      </c>
      <c r="AD225" s="171" t="s">
        <v>546</v>
      </c>
      <c r="AE225" s="171" t="s">
        <v>546</v>
      </c>
      <c r="AF225" s="171" t="str">
        <f>'7a. LX_AG-i'!P226</f>
        <v xml:space="preserve"> </v>
      </c>
      <c r="AG225" s="171" t="s">
        <v>546</v>
      </c>
      <c r="AH225" s="171">
        <f>'7a. LX_AG-i'!Q226</f>
        <v>0</v>
      </c>
      <c r="AI225" s="62"/>
      <c r="AJ225" s="468">
        <f>'7a. LX_AG-i'!I226</f>
        <v>0</v>
      </c>
      <c r="AK225" s="62">
        <f t="shared" si="19"/>
        <v>0</v>
      </c>
      <c r="AL225" s="62">
        <f t="shared" si="20"/>
        <v>0</v>
      </c>
    </row>
    <row r="226" spans="1:38" x14ac:dyDescent="0.3">
      <c r="A226" s="462" t="s">
        <v>714</v>
      </c>
      <c r="B226" s="461" t="s">
        <v>715</v>
      </c>
      <c r="C226" s="62"/>
      <c r="D226" s="468">
        <f>'7a. LX_AG-i'!J227</f>
        <v>0</v>
      </c>
      <c r="E226" s="482"/>
      <c r="F226" s="623"/>
      <c r="G226" s="623"/>
      <c r="H226" s="623"/>
      <c r="I226" s="482"/>
      <c r="J226" s="482"/>
      <c r="K226" s="482"/>
      <c r="L226" s="468">
        <f>'7a. LX_AG-i'!K227</f>
        <v>0</v>
      </c>
      <c r="M226" s="468">
        <f>'7a. LX_AG-i'!L227</f>
        <v>0</v>
      </c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468">
        <f>'7a. LX_AG-i'!M227</f>
        <v>0</v>
      </c>
      <c r="Y226" s="171"/>
      <c r="Z226" s="171"/>
      <c r="AA226" s="171">
        <f>'7a. LX_AG-i'!N227</f>
        <v>0</v>
      </c>
      <c r="AB226" s="171">
        <f>'7a. LX_AG-i'!O227</f>
        <v>0</v>
      </c>
      <c r="AC226" s="171"/>
      <c r="AD226" s="171"/>
      <c r="AE226" s="171"/>
      <c r="AF226" s="171">
        <f>'7a. LX_AG-i'!P227</f>
        <v>0</v>
      </c>
      <c r="AG226" s="171"/>
      <c r="AH226" s="171">
        <f>'7a. LX_AG-i'!Q227</f>
        <v>0</v>
      </c>
      <c r="AI226" s="62"/>
      <c r="AJ226" s="468">
        <f>'7a. LX_AG-i'!I227</f>
        <v>0</v>
      </c>
      <c r="AK226" s="62">
        <f t="shared" si="19"/>
        <v>0</v>
      </c>
      <c r="AL226" s="62">
        <f t="shared" si="20"/>
        <v>0</v>
      </c>
    </row>
    <row r="227" spans="1:38" x14ac:dyDescent="0.3">
      <c r="A227" s="462" t="s">
        <v>716</v>
      </c>
      <c r="B227" s="461" t="s">
        <v>717</v>
      </c>
      <c r="C227" s="62"/>
      <c r="D227" s="468" t="str">
        <f>'7a. LX_AG-i'!J228</f>
        <v xml:space="preserve"> </v>
      </c>
      <c r="E227" s="482"/>
      <c r="F227" s="623"/>
      <c r="G227" s="623"/>
      <c r="H227" s="623"/>
      <c r="I227" s="482"/>
      <c r="J227" s="482"/>
      <c r="K227" s="482"/>
      <c r="L227" s="468" t="str">
        <f>'7a. LX_AG-i'!K228</f>
        <v xml:space="preserve"> </v>
      </c>
      <c r="M227" s="468">
        <f>'7a. LX_AG-i'!L228</f>
        <v>0</v>
      </c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468" t="str">
        <f>'7a. LX_AG-i'!M228</f>
        <v xml:space="preserve"> </v>
      </c>
      <c r="Y227" s="171"/>
      <c r="Z227" s="171"/>
      <c r="AA227" s="171" t="str">
        <f>'7a. LX_AG-i'!N228</f>
        <v xml:space="preserve"> </v>
      </c>
      <c r="AB227" s="171">
        <f>'7a. LX_AG-i'!O228</f>
        <v>1437633.9699377615</v>
      </c>
      <c r="AC227" s="171">
        <f>$AB227*'7c. LX_AG-sfaf'!AC227/'7c. LX_AG-sfaf'!$AB227</f>
        <v>0</v>
      </c>
      <c r="AD227" s="171">
        <f>$AB227*'7c. LX_AG-sfaf'!AD227/'7c. LX_AG-sfaf'!$AB227</f>
        <v>1437633.9699377615</v>
      </c>
      <c r="AE227" s="171">
        <f>$AB227*'7c. LX_AG-sfaf'!AE227/'7c. LX_AG-sfaf'!$AB227</f>
        <v>0</v>
      </c>
      <c r="AF227" s="171">
        <f>'7a. LX_AG-i'!P228</f>
        <v>0</v>
      </c>
      <c r="AG227" s="171" t="s">
        <v>546</v>
      </c>
      <c r="AH227" s="171" t="str">
        <f>'7a. LX_AG-i'!Q228</f>
        <v xml:space="preserve"> </v>
      </c>
      <c r="AI227" s="62"/>
      <c r="AJ227" s="468">
        <f>'7a. LX_AG-i'!I228</f>
        <v>1437633.9699377615</v>
      </c>
      <c r="AK227" s="62">
        <f t="shared" si="19"/>
        <v>1437633.9699377615</v>
      </c>
      <c r="AL227" s="62">
        <f>AJ227-AK227</f>
        <v>0</v>
      </c>
    </row>
    <row r="228" spans="1:38" x14ac:dyDescent="0.3">
      <c r="A228" s="462"/>
      <c r="B228" s="474" t="s">
        <v>524</v>
      </c>
      <c r="C228" s="62"/>
      <c r="D228" s="171">
        <f>SUM(D223:D227)</f>
        <v>0</v>
      </c>
      <c r="E228" s="171">
        <f>SUM(E223:E227)</f>
        <v>0</v>
      </c>
      <c r="F228" s="622"/>
      <c r="G228" s="622"/>
      <c r="H228" s="622"/>
      <c r="I228" s="171">
        <f>SUM(I223:I227)</f>
        <v>0</v>
      </c>
      <c r="J228" s="171"/>
      <c r="K228" s="171"/>
      <c r="L228" s="171">
        <f t="shared" ref="L228:AA228" si="21">SUM(L223:L227)</f>
        <v>0</v>
      </c>
      <c r="M228" s="171">
        <f t="shared" si="21"/>
        <v>0</v>
      </c>
      <c r="N228" s="171">
        <f t="shared" si="21"/>
        <v>0</v>
      </c>
      <c r="O228" s="171">
        <f t="shared" si="21"/>
        <v>0</v>
      </c>
      <c r="P228" s="171">
        <f t="shared" si="21"/>
        <v>0</v>
      </c>
      <c r="Q228" s="171">
        <f t="shared" si="21"/>
        <v>0</v>
      </c>
      <c r="R228" s="171">
        <f t="shared" si="21"/>
        <v>0</v>
      </c>
      <c r="S228" s="171">
        <f t="shared" si="21"/>
        <v>0</v>
      </c>
      <c r="T228" s="171">
        <f t="shared" si="21"/>
        <v>0</v>
      </c>
      <c r="U228" s="171">
        <f t="shared" si="21"/>
        <v>0</v>
      </c>
      <c r="V228" s="171">
        <f t="shared" si="21"/>
        <v>0</v>
      </c>
      <c r="W228" s="171">
        <f t="shared" si="21"/>
        <v>0</v>
      </c>
      <c r="X228" s="171">
        <f t="shared" si="21"/>
        <v>0</v>
      </c>
      <c r="Y228" s="171">
        <f>SUM(Y223:Y227)</f>
        <v>0</v>
      </c>
      <c r="Z228" s="171">
        <f>SUM(Z223:Z227)</f>
        <v>0</v>
      </c>
      <c r="AA228" s="171">
        <f t="shared" si="21"/>
        <v>0</v>
      </c>
      <c r="AB228" s="171">
        <f t="shared" ref="AB228:AH228" si="22">SUM(AB223:AB227)</f>
        <v>1437633.9699377615</v>
      </c>
      <c r="AC228" s="171">
        <f t="shared" si="22"/>
        <v>0</v>
      </c>
      <c r="AD228" s="171">
        <f t="shared" si="22"/>
        <v>1437633.9699377615</v>
      </c>
      <c r="AE228" s="171">
        <f t="shared" si="22"/>
        <v>0</v>
      </c>
      <c r="AF228" s="171">
        <f t="shared" si="22"/>
        <v>0</v>
      </c>
      <c r="AG228" s="171">
        <f t="shared" si="22"/>
        <v>0</v>
      </c>
      <c r="AH228" s="171">
        <f t="shared" si="22"/>
        <v>0</v>
      </c>
      <c r="AI228" s="62"/>
      <c r="AJ228" s="171">
        <f>SUM(AJ223:AJ227)</f>
        <v>1437633.9699377615</v>
      </c>
      <c r="AK228" s="62">
        <f t="shared" si="19"/>
        <v>1437633.9699377615</v>
      </c>
      <c r="AL228" s="62">
        <f t="shared" si="20"/>
        <v>0</v>
      </c>
    </row>
    <row r="229" spans="1:38" x14ac:dyDescent="0.3">
      <c r="A229" s="462"/>
      <c r="B229" s="461" t="s">
        <v>942</v>
      </c>
      <c r="C229" s="62"/>
      <c r="D229" s="171">
        <f>SUM(D223,D225:D227)</f>
        <v>0</v>
      </c>
      <c r="E229" s="171">
        <f>SUM(E223,E225:E227)</f>
        <v>0</v>
      </c>
      <c r="F229" s="622"/>
      <c r="G229" s="622"/>
      <c r="H229" s="622"/>
      <c r="I229" s="171">
        <f>SUM(I223,I225:I227)</f>
        <v>0</v>
      </c>
      <c r="J229" s="171"/>
      <c r="K229" s="171"/>
      <c r="L229" s="171">
        <f t="shared" ref="L229:AA229" si="23">SUM(L223,L225:L227)</f>
        <v>0</v>
      </c>
      <c r="M229" s="171">
        <f t="shared" si="23"/>
        <v>0</v>
      </c>
      <c r="N229" s="171">
        <f t="shared" si="23"/>
        <v>0</v>
      </c>
      <c r="O229" s="171">
        <f t="shared" si="23"/>
        <v>0</v>
      </c>
      <c r="P229" s="171">
        <f t="shared" si="23"/>
        <v>0</v>
      </c>
      <c r="Q229" s="171">
        <f t="shared" si="23"/>
        <v>0</v>
      </c>
      <c r="R229" s="171">
        <f t="shared" si="23"/>
        <v>0</v>
      </c>
      <c r="S229" s="171">
        <f t="shared" si="23"/>
        <v>0</v>
      </c>
      <c r="T229" s="171">
        <f t="shared" si="23"/>
        <v>0</v>
      </c>
      <c r="U229" s="171">
        <f t="shared" si="23"/>
        <v>0</v>
      </c>
      <c r="V229" s="171">
        <f t="shared" si="23"/>
        <v>0</v>
      </c>
      <c r="W229" s="171">
        <f>SUM(W223,W225:W227)</f>
        <v>0</v>
      </c>
      <c r="X229" s="171">
        <f t="shared" si="23"/>
        <v>0</v>
      </c>
      <c r="Y229" s="171"/>
      <c r="Z229" s="171"/>
      <c r="AA229" s="171">
        <f t="shared" si="23"/>
        <v>0</v>
      </c>
      <c r="AB229" s="171">
        <f t="shared" ref="AB229:AH229" si="24">SUM(AB223,AB225:AB227)</f>
        <v>1437633.9699377615</v>
      </c>
      <c r="AC229" s="171">
        <f t="shared" si="24"/>
        <v>0</v>
      </c>
      <c r="AD229" s="171">
        <f t="shared" si="24"/>
        <v>1437633.9699377615</v>
      </c>
      <c r="AE229" s="171">
        <f t="shared" si="24"/>
        <v>0</v>
      </c>
      <c r="AF229" s="171">
        <f t="shared" si="24"/>
        <v>0</v>
      </c>
      <c r="AG229" s="171">
        <f t="shared" si="24"/>
        <v>0</v>
      </c>
      <c r="AH229" s="171">
        <f t="shared" si="24"/>
        <v>0</v>
      </c>
      <c r="AI229" s="62"/>
      <c r="AJ229" s="171">
        <f>SUM(AJ223,AJ225:AJ227)</f>
        <v>1437633.9699377615</v>
      </c>
      <c r="AK229" s="62">
        <f t="shared" si="19"/>
        <v>1437633.9699377615</v>
      </c>
      <c r="AL229" s="62">
        <f>AJ229-AK229</f>
        <v>0</v>
      </c>
    </row>
    <row r="230" spans="1:38" x14ac:dyDescent="0.3">
      <c r="A230" s="462"/>
      <c r="B230" s="483" t="s">
        <v>718</v>
      </c>
      <c r="C230" s="62"/>
      <c r="D230" s="171"/>
      <c r="E230" s="481"/>
      <c r="F230" s="619"/>
      <c r="G230" s="619"/>
      <c r="H230" s="619"/>
      <c r="I230" s="481"/>
      <c r="J230" s="481"/>
      <c r="K230" s="481"/>
      <c r="L230" s="171"/>
      <c r="M230" s="171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171"/>
      <c r="Z230" s="171"/>
      <c r="AA230" s="171"/>
      <c r="AB230" s="171"/>
      <c r="AC230" s="171"/>
      <c r="AD230" s="171"/>
      <c r="AE230" s="171"/>
      <c r="AF230" s="171"/>
      <c r="AG230" s="171"/>
      <c r="AH230" s="171"/>
      <c r="AI230" s="62"/>
      <c r="AJ230" s="62"/>
      <c r="AK230" s="62"/>
      <c r="AL230" s="62"/>
    </row>
    <row r="231" spans="1:38" x14ac:dyDescent="0.3">
      <c r="A231" s="462" t="s">
        <v>1067</v>
      </c>
      <c r="B231" s="484" t="s">
        <v>1068</v>
      </c>
      <c r="C231" s="62"/>
      <c r="D231" s="468">
        <f>'7a. LX_AG-i'!J232</f>
        <v>0</v>
      </c>
      <c r="E231" s="482"/>
      <c r="F231" s="623"/>
      <c r="G231" s="623"/>
      <c r="H231" s="623"/>
      <c r="I231" s="482"/>
      <c r="J231" s="482"/>
      <c r="K231" s="482"/>
      <c r="L231" s="468">
        <f>'7a. LX_AG-i'!K232</f>
        <v>0</v>
      </c>
      <c r="M231" s="468">
        <f>'7a. LX_AG-i'!L232</f>
        <v>0</v>
      </c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468">
        <f>'7a. LX_AG-i'!M232</f>
        <v>0</v>
      </c>
      <c r="Y231" s="171"/>
      <c r="Z231" s="171"/>
      <c r="AA231" s="171">
        <f>'7a. LX_AG-i'!N232</f>
        <v>0</v>
      </c>
      <c r="AB231" s="171">
        <f>'7a. LX_AG-i'!O232</f>
        <v>0</v>
      </c>
      <c r="AC231" s="171"/>
      <c r="AD231" s="171"/>
      <c r="AE231" s="171"/>
      <c r="AF231" s="171">
        <f>'7a. LX_AG-i'!P232</f>
        <v>0</v>
      </c>
      <c r="AG231" s="171"/>
      <c r="AH231" s="171">
        <f>'7a. LX_AG-i'!Q232</f>
        <v>0</v>
      </c>
      <c r="AI231" s="62"/>
      <c r="AJ231" s="468">
        <f>'7a. LX_AG-i'!I232</f>
        <v>0</v>
      </c>
      <c r="AK231" s="62">
        <f t="shared" ref="AK231:AK240" si="25">SUM(F231:K231,L231,N231:W231,Y231:Z231,AA231:AA231,AC231:AE231,AG231:AH231)</f>
        <v>0</v>
      </c>
      <c r="AL231" s="62">
        <f t="shared" ref="AL231" si="26">AJ231-AK231</f>
        <v>0</v>
      </c>
    </row>
    <row r="232" spans="1:38" x14ac:dyDescent="0.3">
      <c r="A232" s="465" t="s">
        <v>1197</v>
      </c>
      <c r="B232" s="485" t="s">
        <v>719</v>
      </c>
      <c r="C232" s="62"/>
      <c r="D232" s="468"/>
      <c r="E232" s="482"/>
      <c r="F232" s="623"/>
      <c r="G232" s="623"/>
      <c r="H232" s="623"/>
      <c r="I232" s="482"/>
      <c r="J232" s="482"/>
      <c r="K232" s="482"/>
      <c r="L232" s="468"/>
      <c r="M232" s="468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468"/>
      <c r="Y232" s="171"/>
      <c r="Z232" s="171"/>
      <c r="AA232" s="171"/>
      <c r="AB232" s="171"/>
      <c r="AC232" s="171"/>
      <c r="AD232" s="171"/>
      <c r="AE232" s="171"/>
      <c r="AF232" s="171"/>
      <c r="AG232" s="171"/>
      <c r="AH232" s="171"/>
      <c r="AI232" s="62"/>
      <c r="AJ232" s="468"/>
      <c r="AK232" s="62"/>
      <c r="AL232" s="62"/>
    </row>
    <row r="233" spans="1:38" x14ac:dyDescent="0.3">
      <c r="A233" s="462" t="s">
        <v>720</v>
      </c>
      <c r="B233" s="243" t="s">
        <v>1331</v>
      </c>
      <c r="C233" s="62"/>
      <c r="D233" s="468">
        <f>'7a. LX_AG-i'!J234</f>
        <v>0</v>
      </c>
      <c r="E233" s="482"/>
      <c r="F233" s="623"/>
      <c r="G233" s="623"/>
      <c r="H233" s="623"/>
      <c r="I233" s="482"/>
      <c r="J233" s="482"/>
      <c r="K233" s="482"/>
      <c r="L233" s="468">
        <f>'7a. LX_AG-i'!K234</f>
        <v>0</v>
      </c>
      <c r="M233" s="468">
        <f>'7a. LX_AG-i'!L234</f>
        <v>0</v>
      </c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468">
        <f>'7a. LX_AG-i'!M234</f>
        <v>0</v>
      </c>
      <c r="Y233" s="171"/>
      <c r="Z233" s="171"/>
      <c r="AA233" s="171">
        <f>'7a. LX_AG-i'!N234</f>
        <v>0</v>
      </c>
      <c r="AB233" s="171">
        <f>'7a. LX_AG-i'!O234</f>
        <v>0</v>
      </c>
      <c r="AC233" s="171"/>
      <c r="AD233" s="171"/>
      <c r="AE233" s="171"/>
      <c r="AF233" s="171">
        <f>'7a. LX_AG-i'!P234</f>
        <v>0</v>
      </c>
      <c r="AG233" s="171"/>
      <c r="AH233" s="171">
        <f>'7a. LX_AG-i'!Q234</f>
        <v>0</v>
      </c>
      <c r="AI233" s="62"/>
      <c r="AJ233" s="468">
        <f>'7a. LX_AG-i'!I234</f>
        <v>0</v>
      </c>
      <c r="AK233" s="62">
        <f t="shared" si="25"/>
        <v>0</v>
      </c>
      <c r="AL233" s="62">
        <f t="shared" ref="AL233:AL239" si="27">AJ233-AK233</f>
        <v>0</v>
      </c>
    </row>
    <row r="234" spans="1:38" x14ac:dyDescent="0.3">
      <c r="A234" s="462" t="s">
        <v>889</v>
      </c>
      <c r="B234" s="243" t="s">
        <v>892</v>
      </c>
      <c r="C234" s="62"/>
      <c r="D234" s="468">
        <f>'7a. LX_AG-i'!J235</f>
        <v>0</v>
      </c>
      <c r="E234" s="482"/>
      <c r="F234" s="623"/>
      <c r="G234" s="623"/>
      <c r="H234" s="623"/>
      <c r="I234" s="482"/>
      <c r="J234" s="482"/>
      <c r="K234" s="482"/>
      <c r="L234" s="468">
        <f>'7a. LX_AG-i'!K235</f>
        <v>0</v>
      </c>
      <c r="M234" s="468">
        <f>'7a. LX_AG-i'!L235</f>
        <v>0</v>
      </c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468">
        <f>'7a. LX_AG-i'!M235</f>
        <v>0</v>
      </c>
      <c r="Y234" s="171"/>
      <c r="Z234" s="171"/>
      <c r="AA234" s="171">
        <f>'7a. LX_AG-i'!N235</f>
        <v>0</v>
      </c>
      <c r="AB234" s="171">
        <f>'7a. LX_AG-i'!O235</f>
        <v>0</v>
      </c>
      <c r="AC234" s="171"/>
      <c r="AD234" s="171"/>
      <c r="AE234" s="171"/>
      <c r="AF234" s="171">
        <f>'7a. LX_AG-i'!P235</f>
        <v>139061.93</v>
      </c>
      <c r="AG234" s="171">
        <f>$AF234*'7c. LX_AG-sfaf'!AG234/'7c. LX_AG-sfaf'!$AF234</f>
        <v>139061.93</v>
      </c>
      <c r="AH234" s="171">
        <f>'7a. LX_AG-i'!Q235</f>
        <v>0</v>
      </c>
      <c r="AI234" s="62"/>
      <c r="AJ234" s="468">
        <f>'7a. LX_AG-i'!I235</f>
        <v>139061.93</v>
      </c>
      <c r="AK234" s="62">
        <f t="shared" si="25"/>
        <v>139061.93</v>
      </c>
      <c r="AL234" s="62"/>
    </row>
    <row r="235" spans="1:38" x14ac:dyDescent="0.3">
      <c r="A235" s="462" t="s">
        <v>721</v>
      </c>
      <c r="B235" s="243" t="s">
        <v>719</v>
      </c>
      <c r="C235" s="62"/>
      <c r="D235" s="468">
        <f>'7a. LX_AG-i'!J236</f>
        <v>0</v>
      </c>
      <c r="E235" s="482"/>
      <c r="F235" s="623"/>
      <c r="G235" s="623"/>
      <c r="H235" s="623"/>
      <c r="I235" s="482"/>
      <c r="J235" s="482"/>
      <c r="K235" s="482"/>
      <c r="L235" s="468">
        <f>'7a. LX_AG-i'!K236</f>
        <v>0</v>
      </c>
      <c r="M235" s="468">
        <f>'7a. LX_AG-i'!L236</f>
        <v>0</v>
      </c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468">
        <f>'7a. LX_AG-i'!M236</f>
        <v>0</v>
      </c>
      <c r="Y235" s="171"/>
      <c r="Z235" s="171"/>
      <c r="AA235" s="171">
        <f>'7a. LX_AG-i'!N236</f>
        <v>0</v>
      </c>
      <c r="AB235" s="171">
        <f>'7a. LX_AG-i'!O236</f>
        <v>0</v>
      </c>
      <c r="AC235" s="171"/>
      <c r="AD235" s="171"/>
      <c r="AE235" s="171"/>
      <c r="AF235" s="171">
        <f>'7a. LX_AG-i'!P236</f>
        <v>1232646.56</v>
      </c>
      <c r="AG235" s="171">
        <f>$AF235*'7c. LX_AG-sfaf'!AG235/'7c. LX_AG-sfaf'!$AF235</f>
        <v>1232646.56</v>
      </c>
      <c r="AH235" s="171">
        <f>'7a. LX_AG-i'!Q236</f>
        <v>0</v>
      </c>
      <c r="AI235" s="62"/>
      <c r="AJ235" s="468">
        <f>'7a. LX_AG-i'!I236</f>
        <v>1232646.56</v>
      </c>
      <c r="AK235" s="62">
        <f t="shared" si="25"/>
        <v>1232646.56</v>
      </c>
      <c r="AL235" s="62">
        <f t="shared" si="27"/>
        <v>0</v>
      </c>
    </row>
    <row r="236" spans="1:38" x14ac:dyDescent="0.3">
      <c r="A236" s="462" t="s">
        <v>723</v>
      </c>
      <c r="B236" s="243" t="s">
        <v>1009</v>
      </c>
      <c r="C236" s="62"/>
      <c r="D236" s="468">
        <f>'7a. LX_AG-i'!J237</f>
        <v>0</v>
      </c>
      <c r="E236" s="482"/>
      <c r="F236" s="623"/>
      <c r="G236" s="623"/>
      <c r="H236" s="623"/>
      <c r="I236" s="482"/>
      <c r="J236" s="482"/>
      <c r="K236" s="482"/>
      <c r="L236" s="468">
        <f>'7a. LX_AG-i'!K237</f>
        <v>0</v>
      </c>
      <c r="M236" s="468">
        <f>'7a. LX_AG-i'!L237</f>
        <v>0</v>
      </c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468">
        <f>'7a. LX_AG-i'!M237</f>
        <v>0</v>
      </c>
      <c r="Y236" s="171"/>
      <c r="Z236" s="171"/>
      <c r="AA236" s="171">
        <f>'7a. LX_AG-i'!N237</f>
        <v>0</v>
      </c>
      <c r="AB236" s="171">
        <f>'7a. LX_AG-i'!O237</f>
        <v>0</v>
      </c>
      <c r="AC236" s="171"/>
      <c r="AD236" s="171"/>
      <c r="AE236" s="171"/>
      <c r="AF236" s="171">
        <f>'7a. LX_AG-i'!P237</f>
        <v>398541.41</v>
      </c>
      <c r="AG236" s="171">
        <f>$AF236*'7c. LX_AG-sfaf'!AG236/'7c. LX_AG-sfaf'!$AF236</f>
        <v>398541.41</v>
      </c>
      <c r="AH236" s="171">
        <f>'7a. LX_AG-i'!Q237</f>
        <v>0</v>
      </c>
      <c r="AI236" s="62"/>
      <c r="AJ236" s="468">
        <f>'7a. LX_AG-i'!I237</f>
        <v>398541.41</v>
      </c>
      <c r="AK236" s="62">
        <f t="shared" si="25"/>
        <v>398541.41</v>
      </c>
      <c r="AL236" s="62">
        <f t="shared" si="27"/>
        <v>0</v>
      </c>
    </row>
    <row r="237" spans="1:38" x14ac:dyDescent="0.3">
      <c r="A237" s="462" t="s">
        <v>890</v>
      </c>
      <c r="B237" s="243" t="s">
        <v>722</v>
      </c>
      <c r="C237" s="62"/>
      <c r="D237" s="468">
        <f>'7a. LX_AG-i'!J238</f>
        <v>0</v>
      </c>
      <c r="E237" s="482"/>
      <c r="F237" s="623"/>
      <c r="G237" s="623"/>
      <c r="H237" s="623"/>
      <c r="I237" s="482"/>
      <c r="J237" s="482"/>
      <c r="K237" s="482"/>
      <c r="L237" s="468">
        <f>'7a. LX_AG-i'!K238</f>
        <v>0</v>
      </c>
      <c r="M237" s="468">
        <f>'7a. LX_AG-i'!L238</f>
        <v>0</v>
      </c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468">
        <f>'7a. LX_AG-i'!M238</f>
        <v>0</v>
      </c>
      <c r="Y237" s="171"/>
      <c r="Z237" s="171"/>
      <c r="AA237" s="171">
        <f>'7a. LX_AG-i'!N238</f>
        <v>0</v>
      </c>
      <c r="AB237" s="171">
        <f>'7a. LX_AG-i'!O238</f>
        <v>0</v>
      </c>
      <c r="AC237" s="171"/>
      <c r="AD237" s="171"/>
      <c r="AE237" s="171"/>
      <c r="AF237" s="171">
        <f>'7a. LX_AG-i'!P238</f>
        <v>433279.77</v>
      </c>
      <c r="AG237" s="171">
        <f>$AF237*'7c. LX_AG-sfaf'!AG237/'7c. LX_AG-sfaf'!$AF237</f>
        <v>433279.77</v>
      </c>
      <c r="AH237" s="171">
        <f>'7a. LX_AG-i'!Q238</f>
        <v>0</v>
      </c>
      <c r="AI237" s="62"/>
      <c r="AJ237" s="468">
        <f>'7a. LX_AG-i'!I238</f>
        <v>433279.77</v>
      </c>
      <c r="AK237" s="62">
        <f t="shared" si="25"/>
        <v>433279.77</v>
      </c>
      <c r="AL237" s="62">
        <f t="shared" si="27"/>
        <v>0</v>
      </c>
    </row>
    <row r="238" spans="1:38" x14ac:dyDescent="0.3">
      <c r="A238" s="462"/>
      <c r="B238" s="486" t="s">
        <v>524</v>
      </c>
      <c r="C238" s="62"/>
      <c r="D238" s="171">
        <f>SUM(D231:D237)</f>
        <v>0</v>
      </c>
      <c r="E238" s="171">
        <f t="shared" ref="E238:J238" si="28">SUM(E231:E237)</f>
        <v>0</v>
      </c>
      <c r="F238" s="622"/>
      <c r="G238" s="622"/>
      <c r="H238" s="622"/>
      <c r="I238" s="171">
        <f t="shared" si="28"/>
        <v>0</v>
      </c>
      <c r="J238" s="171">
        <f t="shared" si="28"/>
        <v>0</v>
      </c>
      <c r="K238" s="171"/>
      <c r="L238" s="171">
        <f t="shared" ref="L238" si="29">SUM(L231:L237)</f>
        <v>0</v>
      </c>
      <c r="M238" s="171">
        <f t="shared" ref="M238" si="30">SUM(M231:M237)</f>
        <v>0</v>
      </c>
      <c r="N238" s="171">
        <f t="shared" ref="N238" si="31">SUM(N231:N237)</f>
        <v>0</v>
      </c>
      <c r="O238" s="171">
        <f t="shared" ref="O238" si="32">SUM(O231:O237)</f>
        <v>0</v>
      </c>
      <c r="P238" s="171">
        <f t="shared" ref="P238" si="33">SUM(P231:P237)</f>
        <v>0</v>
      </c>
      <c r="Q238" s="171">
        <f t="shared" ref="Q238" si="34">SUM(Q231:Q237)</f>
        <v>0</v>
      </c>
      <c r="R238" s="171">
        <f t="shared" ref="R238" si="35">SUM(R231:R237)</f>
        <v>0</v>
      </c>
      <c r="S238" s="171">
        <f t="shared" ref="S238" si="36">SUM(S231:S237)</f>
        <v>0</v>
      </c>
      <c r="T238" s="171">
        <f t="shared" ref="T238" si="37">SUM(T231:T237)</f>
        <v>0</v>
      </c>
      <c r="U238" s="171">
        <f t="shared" ref="U238" si="38">SUM(U231:U237)</f>
        <v>0</v>
      </c>
      <c r="V238" s="171">
        <f t="shared" ref="V238" si="39">SUM(V231:V237)</f>
        <v>0</v>
      </c>
      <c r="W238" s="171">
        <f t="shared" ref="W238" si="40">SUM(W231:W237)</f>
        <v>0</v>
      </c>
      <c r="X238" s="171">
        <f t="shared" ref="X238" si="41">SUM(X231:X237)</f>
        <v>0</v>
      </c>
      <c r="Y238" s="171"/>
      <c r="Z238" s="171"/>
      <c r="AA238" s="171">
        <f t="shared" ref="AA238" si="42">SUM(AA231:AA237)</f>
        <v>0</v>
      </c>
      <c r="AB238" s="171">
        <f t="shared" ref="AB238" si="43">SUM(AB231:AB237)</f>
        <v>0</v>
      </c>
      <c r="AC238" s="171"/>
      <c r="AD238" s="171"/>
      <c r="AE238" s="171"/>
      <c r="AF238" s="171">
        <f t="shared" ref="AF238" si="44">SUM(AF231:AF237)</f>
        <v>2203529.67</v>
      </c>
      <c r="AG238" s="171">
        <f t="shared" ref="AG238" si="45">SUM(AG231:AG237)</f>
        <v>2203529.67</v>
      </c>
      <c r="AH238" s="171">
        <f>SUM(AH233:AH237)</f>
        <v>0</v>
      </c>
      <c r="AI238" s="62"/>
      <c r="AJ238" s="171">
        <f t="shared" ref="AJ238" si="46">SUM(AJ231:AJ237)</f>
        <v>2203529.67</v>
      </c>
      <c r="AK238" s="62">
        <f t="shared" si="25"/>
        <v>2203529.67</v>
      </c>
      <c r="AL238" s="62">
        <f t="shared" si="27"/>
        <v>0</v>
      </c>
    </row>
    <row r="239" spans="1:38" x14ac:dyDescent="0.3">
      <c r="A239" s="462"/>
      <c r="B239" s="461" t="s">
        <v>943</v>
      </c>
      <c r="C239" s="62"/>
      <c r="D239" s="171">
        <f>SUM(D233:D236)</f>
        <v>0</v>
      </c>
      <c r="E239" s="171">
        <f>SUM(E233:E236)</f>
        <v>0</v>
      </c>
      <c r="F239" s="622"/>
      <c r="G239" s="622"/>
      <c r="H239" s="622"/>
      <c r="I239" s="171">
        <f>SUM(I233:I236)</f>
        <v>0</v>
      </c>
      <c r="J239" s="171"/>
      <c r="K239" s="171"/>
      <c r="L239" s="171">
        <f t="shared" ref="L239:W239" si="47">SUM(L233:L236)</f>
        <v>0</v>
      </c>
      <c r="M239" s="171">
        <f t="shared" si="47"/>
        <v>0</v>
      </c>
      <c r="N239" s="171">
        <f t="shared" si="47"/>
        <v>0</v>
      </c>
      <c r="O239" s="171">
        <f t="shared" si="47"/>
        <v>0</v>
      </c>
      <c r="P239" s="171">
        <f t="shared" si="47"/>
        <v>0</v>
      </c>
      <c r="Q239" s="171">
        <f t="shared" si="47"/>
        <v>0</v>
      </c>
      <c r="R239" s="171">
        <f t="shared" si="47"/>
        <v>0</v>
      </c>
      <c r="S239" s="171">
        <f t="shared" si="47"/>
        <v>0</v>
      </c>
      <c r="T239" s="171">
        <f t="shared" si="47"/>
        <v>0</v>
      </c>
      <c r="U239" s="171">
        <f t="shared" si="47"/>
        <v>0</v>
      </c>
      <c r="V239" s="171">
        <f t="shared" si="47"/>
        <v>0</v>
      </c>
      <c r="W239" s="171">
        <f t="shared" si="47"/>
        <v>0</v>
      </c>
      <c r="X239" s="171">
        <f t="shared" ref="X239:AG239" si="48">SUM(X233:X236)</f>
        <v>0</v>
      </c>
      <c r="Y239" s="171">
        <f t="shared" si="48"/>
        <v>0</v>
      </c>
      <c r="Z239" s="171">
        <f t="shared" si="48"/>
        <v>0</v>
      </c>
      <c r="AA239" s="171">
        <f t="shared" si="48"/>
        <v>0</v>
      </c>
      <c r="AB239" s="171">
        <f t="shared" si="48"/>
        <v>0</v>
      </c>
      <c r="AC239" s="171"/>
      <c r="AD239" s="171"/>
      <c r="AE239" s="171"/>
      <c r="AF239" s="171">
        <f t="shared" si="48"/>
        <v>1770249.9</v>
      </c>
      <c r="AG239" s="171">
        <f t="shared" si="48"/>
        <v>1770249.9</v>
      </c>
      <c r="AH239" s="171">
        <f>SUM(AH233:AH236)</f>
        <v>0</v>
      </c>
      <c r="AI239" s="62"/>
      <c r="AJ239" s="171">
        <f>SUM(AJ233:AJ236)</f>
        <v>1770249.9</v>
      </c>
      <c r="AK239" s="62">
        <f t="shared" si="25"/>
        <v>1770249.9</v>
      </c>
      <c r="AL239" s="62">
        <f t="shared" si="27"/>
        <v>0</v>
      </c>
    </row>
    <row r="240" spans="1:38" x14ac:dyDescent="0.3">
      <c r="A240" s="462"/>
      <c r="B240" s="487" t="s">
        <v>940</v>
      </c>
      <c r="C240" s="62"/>
      <c r="D240" s="171">
        <f t="shared" ref="D240:W240" si="49">D238+D228</f>
        <v>0</v>
      </c>
      <c r="E240" s="171">
        <f t="shared" si="49"/>
        <v>0</v>
      </c>
      <c r="F240" s="622"/>
      <c r="G240" s="622"/>
      <c r="H240" s="622"/>
      <c r="I240" s="171">
        <f t="shared" si="49"/>
        <v>0</v>
      </c>
      <c r="J240" s="171">
        <f t="shared" si="49"/>
        <v>0</v>
      </c>
      <c r="K240" s="171"/>
      <c r="L240" s="171">
        <f t="shared" si="49"/>
        <v>0</v>
      </c>
      <c r="M240" s="171">
        <f t="shared" si="49"/>
        <v>0</v>
      </c>
      <c r="N240" s="171">
        <f t="shared" si="49"/>
        <v>0</v>
      </c>
      <c r="O240" s="171">
        <f t="shared" si="49"/>
        <v>0</v>
      </c>
      <c r="P240" s="171">
        <f t="shared" si="49"/>
        <v>0</v>
      </c>
      <c r="Q240" s="171">
        <f t="shared" si="49"/>
        <v>0</v>
      </c>
      <c r="R240" s="171">
        <f t="shared" si="49"/>
        <v>0</v>
      </c>
      <c r="S240" s="171">
        <f t="shared" si="49"/>
        <v>0</v>
      </c>
      <c r="T240" s="171">
        <f t="shared" si="49"/>
        <v>0</v>
      </c>
      <c r="U240" s="171">
        <f t="shared" si="49"/>
        <v>0</v>
      </c>
      <c r="V240" s="171">
        <f t="shared" si="49"/>
        <v>0</v>
      </c>
      <c r="W240" s="171">
        <f t="shared" si="49"/>
        <v>0</v>
      </c>
      <c r="X240" s="171">
        <f>X238+X228</f>
        <v>0</v>
      </c>
      <c r="Y240" s="171"/>
      <c r="Z240" s="171"/>
      <c r="AA240" s="171">
        <f t="shared" ref="AA240:AH240" si="50">AA238+AA228</f>
        <v>0</v>
      </c>
      <c r="AB240" s="171">
        <f t="shared" si="50"/>
        <v>1437633.9699377615</v>
      </c>
      <c r="AC240" s="171">
        <f t="shared" si="50"/>
        <v>0</v>
      </c>
      <c r="AD240" s="171">
        <f t="shared" si="50"/>
        <v>1437633.9699377615</v>
      </c>
      <c r="AE240" s="171">
        <f t="shared" si="50"/>
        <v>0</v>
      </c>
      <c r="AF240" s="171">
        <f t="shared" si="50"/>
        <v>2203529.67</v>
      </c>
      <c r="AG240" s="171">
        <f t="shared" si="50"/>
        <v>2203529.67</v>
      </c>
      <c r="AH240" s="171">
        <f t="shared" si="50"/>
        <v>0</v>
      </c>
      <c r="AI240" s="62"/>
      <c r="AJ240" s="171">
        <f>AJ238+AJ228</f>
        <v>3641163.6399377612</v>
      </c>
      <c r="AK240" s="62">
        <f t="shared" si="25"/>
        <v>3641163.6399377612</v>
      </c>
      <c r="AL240" s="62">
        <f>AJ240-AK240</f>
        <v>0</v>
      </c>
    </row>
    <row r="241" spans="1:78" x14ac:dyDescent="0.3">
      <c r="A241" s="462" t="s">
        <v>944</v>
      </c>
      <c r="B241" s="461"/>
      <c r="C241" s="62"/>
      <c r="D241" s="62">
        <f t="shared" ref="D241:AH241" si="51">SUM(D152,D209,D220,D228,D238)</f>
        <v>66192416.160000004</v>
      </c>
      <c r="E241" s="62">
        <f>SUM(E152,E209,E220,E228,E238)</f>
        <v>43515962.003324836</v>
      </c>
      <c r="F241" s="624"/>
      <c r="G241" s="624"/>
      <c r="H241" s="624"/>
      <c r="I241" s="62">
        <f t="shared" si="51"/>
        <v>22676454.15667516</v>
      </c>
      <c r="J241" s="171">
        <f t="shared" si="51"/>
        <v>0</v>
      </c>
      <c r="K241" s="171">
        <f t="shared" si="51"/>
        <v>0</v>
      </c>
      <c r="L241" s="171">
        <f t="shared" si="51"/>
        <v>9772049.1699999999</v>
      </c>
      <c r="M241" s="171">
        <f t="shared" si="51"/>
        <v>51544435.908528537</v>
      </c>
      <c r="N241" s="171">
        <f t="shared" si="51"/>
        <v>16188678.588415425</v>
      </c>
      <c r="O241" s="171">
        <f t="shared" si="51"/>
        <v>14742342.935831249</v>
      </c>
      <c r="P241" s="171">
        <f t="shared" si="51"/>
        <v>4057801.875254239</v>
      </c>
      <c r="Q241" s="62">
        <f t="shared" si="51"/>
        <v>794748.9146647033</v>
      </c>
      <c r="R241" s="62">
        <f t="shared" si="51"/>
        <v>10477592.271150392</v>
      </c>
      <c r="S241" s="62">
        <f t="shared" si="51"/>
        <v>2788537.9736045781</v>
      </c>
      <c r="T241" s="62">
        <f t="shared" si="51"/>
        <v>868778.21527854819</v>
      </c>
      <c r="U241" s="62">
        <f t="shared" si="51"/>
        <v>0</v>
      </c>
      <c r="V241" s="62">
        <f t="shared" si="51"/>
        <v>1463901.2818474146</v>
      </c>
      <c r="W241" s="62">
        <f t="shared" si="51"/>
        <v>162053.85248199227</v>
      </c>
      <c r="X241" s="62">
        <f t="shared" si="51"/>
        <v>11382286.798041336</v>
      </c>
      <c r="Y241" s="171">
        <f t="shared" si="51"/>
        <v>5533146.4714714596</v>
      </c>
      <c r="Z241" s="171">
        <f t="shared" si="51"/>
        <v>5849140.3265698766</v>
      </c>
      <c r="AA241" s="171">
        <f t="shared" si="51"/>
        <v>3040117.3498382638</v>
      </c>
      <c r="AB241" s="171">
        <f t="shared" si="51"/>
        <v>15526882.993573921</v>
      </c>
      <c r="AC241" s="171">
        <f t="shared" si="51"/>
        <v>14089249.023636159</v>
      </c>
      <c r="AD241" s="171">
        <f t="shared" si="51"/>
        <v>1437633.9699377615</v>
      </c>
      <c r="AE241" s="171">
        <f t="shared" si="51"/>
        <v>0</v>
      </c>
      <c r="AF241" s="171">
        <f t="shared" si="51"/>
        <v>2203529.67</v>
      </c>
      <c r="AG241" s="171">
        <f t="shared" si="51"/>
        <v>2203529.67</v>
      </c>
      <c r="AH241" s="171">
        <f t="shared" si="51"/>
        <v>0</v>
      </c>
      <c r="AI241" s="62"/>
      <c r="AJ241" s="62">
        <f>SUM(AJ152,AJ220,AJ228,AJ238)</f>
        <v>159661718.04998207</v>
      </c>
      <c r="AK241" s="62">
        <f>SUM(I241:K241,L241,N241:W241,Y241:Z241,AA241:AA241,AC241:AE241,AG241:AH241,E241)</f>
        <v>159661718.04998207</v>
      </c>
      <c r="AL241" s="62">
        <f>AJ241-AK241</f>
        <v>0</v>
      </c>
    </row>
    <row r="242" spans="1:78" x14ac:dyDescent="0.3">
      <c r="A242" s="462"/>
      <c r="B242" s="461"/>
      <c r="C242" s="62"/>
      <c r="D242" s="62"/>
      <c r="E242" s="62"/>
      <c r="F242" s="624"/>
      <c r="G242" s="624"/>
      <c r="H242" s="624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171"/>
      <c r="Z242" s="171"/>
      <c r="AA242" s="171"/>
      <c r="AB242" s="171"/>
      <c r="AC242" s="171"/>
      <c r="AD242" s="171"/>
      <c r="AE242" s="171"/>
      <c r="AF242" s="171"/>
      <c r="AG242" s="171"/>
      <c r="AH242" s="171"/>
      <c r="AI242" s="62"/>
      <c r="AJ242" s="62"/>
      <c r="AK242" s="62"/>
      <c r="AL242" s="62"/>
    </row>
    <row r="243" spans="1:78" x14ac:dyDescent="0.3">
      <c r="A243" s="462"/>
      <c r="B243" s="461"/>
      <c r="C243" s="62"/>
      <c r="D243" s="62"/>
      <c r="E243" s="62"/>
      <c r="F243" s="624"/>
      <c r="G243" s="624"/>
      <c r="H243" s="624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171"/>
      <c r="Z243" s="171"/>
      <c r="AA243" s="171"/>
      <c r="AB243" s="171"/>
      <c r="AC243" s="171"/>
      <c r="AD243" s="171"/>
      <c r="AE243" s="171"/>
      <c r="AF243" s="171"/>
      <c r="AG243" s="171"/>
      <c r="AH243" s="171"/>
      <c r="AI243" s="62"/>
      <c r="AJ243" s="62"/>
      <c r="AK243" s="62"/>
      <c r="AL243" s="62"/>
    </row>
    <row r="244" spans="1:78" x14ac:dyDescent="0.3">
      <c r="A244" s="462"/>
      <c r="B244" s="461"/>
      <c r="C244" s="62"/>
      <c r="D244" s="62"/>
      <c r="E244" s="62"/>
      <c r="F244" s="624"/>
      <c r="G244" s="624"/>
      <c r="H244" s="624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171"/>
      <c r="Z244" s="171"/>
      <c r="AA244" s="171"/>
      <c r="AB244" s="171"/>
      <c r="AC244" s="171"/>
      <c r="AD244" s="171"/>
      <c r="AE244" s="171"/>
      <c r="AF244" s="171"/>
      <c r="AG244" s="171"/>
      <c r="AH244" s="171"/>
      <c r="AI244" s="62"/>
      <c r="AJ244" s="62"/>
      <c r="AK244" s="62"/>
      <c r="AL244" s="62"/>
    </row>
    <row r="245" spans="1:78" x14ac:dyDescent="0.3">
      <c r="A245" s="462"/>
      <c r="B245" s="461"/>
      <c r="C245" s="62"/>
      <c r="D245" s="62"/>
      <c r="E245" s="62"/>
      <c r="F245" s="624"/>
      <c r="G245" s="624"/>
      <c r="H245" s="624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171"/>
      <c r="Z245" s="171"/>
      <c r="AA245" s="171"/>
      <c r="AB245" s="171"/>
      <c r="AC245" s="171"/>
      <c r="AD245" s="171"/>
      <c r="AE245" s="171"/>
      <c r="AF245" s="171"/>
      <c r="AG245" s="171"/>
      <c r="AH245" s="171"/>
      <c r="AI245" s="62"/>
      <c r="AJ245" s="62"/>
      <c r="AK245" s="62"/>
      <c r="AL245" s="62"/>
    </row>
    <row r="246" spans="1:78" x14ac:dyDescent="0.3">
      <c r="A246" s="460" t="s">
        <v>1332</v>
      </c>
      <c r="B246" s="461"/>
      <c r="C246" s="62"/>
      <c r="D246" s="171"/>
      <c r="E246" s="481"/>
      <c r="F246" s="619"/>
      <c r="G246" s="619"/>
      <c r="H246" s="619"/>
      <c r="I246" s="481"/>
      <c r="J246" s="481"/>
      <c r="K246" s="481"/>
      <c r="L246" s="171"/>
      <c r="M246" s="171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171"/>
      <c r="Z246" s="171"/>
      <c r="AA246" s="171"/>
      <c r="AB246" s="171"/>
      <c r="AC246" s="171"/>
      <c r="AD246" s="171"/>
      <c r="AE246" s="171"/>
      <c r="AF246" s="171"/>
      <c r="AG246" s="171"/>
      <c r="AH246" s="171"/>
      <c r="AI246" s="62"/>
      <c r="AJ246" s="62"/>
      <c r="AK246" s="62"/>
      <c r="AL246" s="62"/>
    </row>
    <row r="247" spans="1:78" x14ac:dyDescent="0.3">
      <c r="A247" s="462" t="s">
        <v>724</v>
      </c>
      <c r="B247" s="461" t="s">
        <v>725</v>
      </c>
      <c r="C247" s="62"/>
      <c r="D247" s="468">
        <f>'7a. LX_AG-i'!J248</f>
        <v>183747.08134541532</v>
      </c>
      <c r="E247" s="468">
        <f>$D247*'7c. LX_AG-sfaf'!E247/'7c. LX_AG-sfaf'!$D247</f>
        <v>120798.29493942637</v>
      </c>
      <c r="F247" s="620"/>
      <c r="G247" s="620"/>
      <c r="H247" s="620"/>
      <c r="I247" s="468">
        <f>$D247*'7c. LX_AG-sfaf'!I247/'7c. LX_AG-sfaf'!$D247</f>
        <v>62948.786405988962</v>
      </c>
      <c r="J247" s="468">
        <f>$D247*'7c. LX_AG-sfaf'!J247/'7c. LX_AG-sfaf'!$D247</f>
        <v>0</v>
      </c>
      <c r="K247" s="468"/>
      <c r="L247" s="468">
        <f>'7a. LX_AG-i'!K248</f>
        <v>62612.230112292236</v>
      </c>
      <c r="M247" s="468">
        <f>'7a. LX_AG-i'!L248</f>
        <v>258031.38221272887</v>
      </c>
      <c r="N247" s="468">
        <f>$M247*'7c. LX_AG-sfaf'!N247/'7c. LX_AG-sfaf'!$M247</f>
        <v>81040.504930140945</v>
      </c>
      <c r="O247" s="468">
        <f>$M247*'7c. LX_AG-sfaf'!O247/'7c. LX_AG-sfaf'!$M247</f>
        <v>73800.150447609994</v>
      </c>
      <c r="P247" s="468">
        <f>$M247*'7c. LX_AG-sfaf'!P247/'7c. LX_AG-sfaf'!$M247</f>
        <v>20313.351153465846</v>
      </c>
      <c r="Q247" s="468">
        <f>$M247*'7c. LX_AG-sfaf'!Q247/'7c. LX_AG-sfaf'!$M247</f>
        <v>3978.5120808562119</v>
      </c>
      <c r="R247" s="468">
        <f>$M247*'7c. LX_AG-sfaf'!R247/'7c. LX_AG-sfaf'!$M247</f>
        <v>52450.813911012498</v>
      </c>
      <c r="S247" s="468">
        <f>$M247*'7c. LX_AG-sfaf'!S247/'7c. LX_AG-sfaf'!$M247</f>
        <v>13959.417636440134</v>
      </c>
      <c r="T247" s="468">
        <f>$M247*'7c. LX_AG-sfaf'!T247/'7c. LX_AG-sfaf'!$M247</f>
        <v>4349.1026678893195</v>
      </c>
      <c r="U247" s="468">
        <f>$M247*'7c. LX_AG-sfaf'!U247/'7c. LX_AG-sfaf'!$M247</f>
        <v>0</v>
      </c>
      <c r="V247" s="468">
        <f>$M247*'7c. LX_AG-sfaf'!V247/'7c. LX_AG-sfaf'!$M247</f>
        <v>7328.2880008310349</v>
      </c>
      <c r="W247" s="468">
        <f>$M247*'7c. LX_AG-sfaf'!W247/'7c. LX_AG-sfaf'!$M247</f>
        <v>811.24138448292592</v>
      </c>
      <c r="X247" s="468">
        <f>'7a. LX_AG-i'!M248</f>
        <v>22453.188627878695</v>
      </c>
      <c r="Y247" s="171">
        <f>$X247*'7c. LX_AG-sfaf'!Y247/'7c. LX_AG-sfaf'!$X247</f>
        <v>10914.922777293643</v>
      </c>
      <c r="Z247" s="171">
        <f>$X247*'7c. LX_AG-sfaf'!Z247/'7c. LX_AG-sfaf'!$X247</f>
        <v>11538.265850585052</v>
      </c>
      <c r="AA247" s="171">
        <f>'7a. LX_AG-i'!N248</f>
        <v>8534.5005558187677</v>
      </c>
      <c r="AB247" s="171">
        <f>'7a. LX_AG-i'!O248</f>
        <v>25452.254980725036</v>
      </c>
      <c r="AC247" s="171">
        <f>$AB247*'7c. LX_AG-sfaf'!AC247/'7c. LX_AG-sfaf'!$AB247</f>
        <v>23095.630899320433</v>
      </c>
      <c r="AD247" s="171">
        <f>$AB247*'7c. LX_AG-sfaf'!AD247/'7c. LX_AG-sfaf'!$AB247</f>
        <v>2356.6240814046032</v>
      </c>
      <c r="AE247" s="171">
        <f>$AB247*'7c. LX_AG-sfaf'!AE247/'7c. LX_AG-sfaf'!$AB247</f>
        <v>0</v>
      </c>
      <c r="AF247" s="171">
        <f>'7a. LX_AG-i'!P248</f>
        <v>14115.752165141041</v>
      </c>
      <c r="AG247" s="171">
        <f>$AF247*'7c. LX_AG-sfaf'!AG247/'7c. LX_AG-sfaf'!$AF247</f>
        <v>14115.752165141041</v>
      </c>
      <c r="AH247" s="171">
        <f>'7a. LX_AG-i'!Q248</f>
        <v>0</v>
      </c>
      <c r="AI247" s="62"/>
      <c r="AJ247" s="468">
        <f>'7a. LX_AG-i'!I248</f>
        <v>574946.3899999999</v>
      </c>
      <c r="AK247" s="62">
        <f t="shared" ref="AK247:AK261" si="52">SUM(I247:K247,L247,N247:W247,Y247:Z247,AA247:AA247,AC247:AE247,AG247:AH247,E247)</f>
        <v>574946.39</v>
      </c>
      <c r="AL247" s="62">
        <f>AJ247-AK247</f>
        <v>0</v>
      </c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</row>
    <row r="248" spans="1:78" x14ac:dyDescent="0.3">
      <c r="A248" s="462" t="s">
        <v>57</v>
      </c>
      <c r="B248" s="461"/>
      <c r="C248" s="62"/>
      <c r="D248" s="468"/>
      <c r="E248" s="468"/>
      <c r="F248" s="620"/>
      <c r="G248" s="620"/>
      <c r="H248" s="620"/>
      <c r="I248" s="468"/>
      <c r="J248" s="468"/>
      <c r="K248" s="468"/>
      <c r="L248" s="468"/>
      <c r="M248" s="468"/>
      <c r="N248" s="468"/>
      <c r="O248" s="468"/>
      <c r="P248" s="468"/>
      <c r="Q248" s="468"/>
      <c r="R248" s="468"/>
      <c r="S248" s="468"/>
      <c r="T248" s="468"/>
      <c r="U248" s="468"/>
      <c r="V248" s="468"/>
      <c r="W248" s="468"/>
      <c r="X248" s="468"/>
      <c r="Y248" s="171"/>
      <c r="Z248" s="171"/>
      <c r="AA248" s="171"/>
      <c r="AB248" s="171"/>
      <c r="AC248" s="171"/>
      <c r="AD248" s="171"/>
      <c r="AE248" s="171"/>
      <c r="AF248" s="171"/>
      <c r="AG248" s="171"/>
      <c r="AH248" s="171"/>
      <c r="AI248" s="62"/>
      <c r="AJ248" s="468"/>
      <c r="AK248" s="62">
        <f t="shared" si="52"/>
        <v>0</v>
      </c>
      <c r="AL248" s="62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</row>
    <row r="249" spans="1:78" x14ac:dyDescent="0.3">
      <c r="A249" s="462" t="s">
        <v>726</v>
      </c>
      <c r="B249" s="461" t="s">
        <v>727</v>
      </c>
      <c r="C249" s="62"/>
      <c r="D249" s="468">
        <f>'7a. LX_AG-i'!J250</f>
        <v>0</v>
      </c>
      <c r="E249" s="468">
        <f>$D249*'7c. LX_AG-sfaf'!E249/'7c. LX_AG-sfaf'!$D249</f>
        <v>0</v>
      </c>
      <c r="F249" s="620"/>
      <c r="G249" s="620"/>
      <c r="H249" s="620"/>
      <c r="I249" s="468">
        <f>$D249*'7c. LX_AG-sfaf'!I249/'7c. LX_AG-sfaf'!$D249</f>
        <v>0</v>
      </c>
      <c r="J249" s="468">
        <f>$D249*'7c. LX_AG-sfaf'!J249/'7c. LX_AG-sfaf'!$D249</f>
        <v>0</v>
      </c>
      <c r="K249" s="468"/>
      <c r="L249" s="468">
        <f>'7a. LX_AG-i'!K250</f>
        <v>0</v>
      </c>
      <c r="M249" s="468">
        <f>'7a. LX_AG-i'!L250</f>
        <v>0</v>
      </c>
      <c r="N249" s="468">
        <f>$M249*'7c. LX_AG-sfaf'!N249/'7c. LX_AG-sfaf'!$M249</f>
        <v>0</v>
      </c>
      <c r="O249" s="468">
        <f>$M249*'7c. LX_AG-sfaf'!O249/'7c. LX_AG-sfaf'!$M249</f>
        <v>0</v>
      </c>
      <c r="P249" s="468">
        <f>$M249*'7c. LX_AG-sfaf'!P249/'7c. LX_AG-sfaf'!$M249</f>
        <v>0</v>
      </c>
      <c r="Q249" s="468">
        <f>$M249*'7c. LX_AG-sfaf'!Q249/'7c. LX_AG-sfaf'!$M249</f>
        <v>0</v>
      </c>
      <c r="R249" s="468">
        <f>$M249*'7c. LX_AG-sfaf'!R249/'7c. LX_AG-sfaf'!$M249</f>
        <v>0</v>
      </c>
      <c r="S249" s="468">
        <f>$M249*'7c. LX_AG-sfaf'!S249/'7c. LX_AG-sfaf'!$M249</f>
        <v>0</v>
      </c>
      <c r="T249" s="468">
        <f>$M249*'7c. LX_AG-sfaf'!T249/'7c. LX_AG-sfaf'!$M249</f>
        <v>0</v>
      </c>
      <c r="U249" s="468">
        <f>$M249*'7c. LX_AG-sfaf'!U249/'7c. LX_AG-sfaf'!$M249</f>
        <v>0</v>
      </c>
      <c r="V249" s="468">
        <f>$M249*'7c. LX_AG-sfaf'!V249/'7c. LX_AG-sfaf'!$M249</f>
        <v>0</v>
      </c>
      <c r="W249" s="468">
        <f>$M249*'7c. LX_AG-sfaf'!W249/'7c. LX_AG-sfaf'!$M249</f>
        <v>0</v>
      </c>
      <c r="X249" s="468">
        <f>'7a. LX_AG-i'!M250</f>
        <v>0</v>
      </c>
      <c r="Y249" s="171">
        <f>$X249*'7c. LX_AG-sfaf'!Y249/'7c. LX_AG-sfaf'!$X249</f>
        <v>0</v>
      </c>
      <c r="Z249" s="171">
        <f>$X249*'7c. LX_AG-sfaf'!Z249/'7c. LX_AG-sfaf'!$X249</f>
        <v>0</v>
      </c>
      <c r="AA249" s="171">
        <f>'7a. LX_AG-i'!N250</f>
        <v>0</v>
      </c>
      <c r="AB249" s="171">
        <f>'7a. LX_AG-i'!O250</f>
        <v>0</v>
      </c>
      <c r="AC249" s="171">
        <f>$AB249*'7c. LX_AG-sfaf'!AC249/'7c. LX_AG-sfaf'!$AB249</f>
        <v>0</v>
      </c>
      <c r="AD249" s="171">
        <f>$AB249*'7c. LX_AG-sfaf'!AD249/'7c. LX_AG-sfaf'!$AB249</f>
        <v>0</v>
      </c>
      <c r="AE249" s="171">
        <f>$AB249*'7c. LX_AG-sfaf'!AE249/'7c. LX_AG-sfaf'!$AB249</f>
        <v>0</v>
      </c>
      <c r="AF249" s="171">
        <f>'7a. LX_AG-i'!P250</f>
        <v>0</v>
      </c>
      <c r="AG249" s="171">
        <f>$AF249*'7c. LX_AG-sfaf'!AG249/'7c. LX_AG-sfaf'!$AF249</f>
        <v>0</v>
      </c>
      <c r="AH249" s="171">
        <f>'7a. LX_AG-i'!Q250</f>
        <v>0</v>
      </c>
      <c r="AI249" s="62"/>
      <c r="AJ249" s="468">
        <f>'7a. LX_AG-i'!I250</f>
        <v>0</v>
      </c>
      <c r="AK249" s="62">
        <f t="shared" si="52"/>
        <v>0</v>
      </c>
      <c r="AL249" s="62">
        <f>AJ249-AK249</f>
        <v>0</v>
      </c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</row>
    <row r="250" spans="1:78" x14ac:dyDescent="0.3">
      <c r="A250" s="462" t="s">
        <v>59</v>
      </c>
      <c r="B250" s="461"/>
      <c r="C250" s="62"/>
      <c r="D250" s="468"/>
      <c r="E250" s="468"/>
      <c r="F250" s="620"/>
      <c r="G250" s="620"/>
      <c r="H250" s="620"/>
      <c r="I250" s="468"/>
      <c r="J250" s="468"/>
      <c r="K250" s="468"/>
      <c r="L250" s="468"/>
      <c r="M250" s="468"/>
      <c r="N250" s="468"/>
      <c r="O250" s="468"/>
      <c r="P250" s="468"/>
      <c r="Q250" s="468"/>
      <c r="R250" s="468"/>
      <c r="S250" s="468"/>
      <c r="T250" s="468"/>
      <c r="U250" s="468"/>
      <c r="V250" s="468"/>
      <c r="W250" s="468"/>
      <c r="X250" s="468"/>
      <c r="Y250" s="171"/>
      <c r="Z250" s="171"/>
      <c r="AA250" s="171"/>
      <c r="AB250" s="171"/>
      <c r="AC250" s="171"/>
      <c r="AD250" s="171"/>
      <c r="AE250" s="171"/>
      <c r="AF250" s="171"/>
      <c r="AG250" s="171"/>
      <c r="AH250" s="171"/>
      <c r="AI250" s="62"/>
      <c r="AJ250" s="468"/>
      <c r="AK250" s="62">
        <f t="shared" si="52"/>
        <v>0</v>
      </c>
      <c r="AL250" s="62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</row>
    <row r="251" spans="1:78" x14ac:dyDescent="0.3">
      <c r="A251" s="462" t="s">
        <v>728</v>
      </c>
      <c r="B251" s="461" t="s">
        <v>729</v>
      </c>
      <c r="C251" s="62"/>
      <c r="D251" s="468">
        <f>'7a. LX_AG-i'!J252</f>
        <v>0</v>
      </c>
      <c r="E251" s="468">
        <f>$D251*'7c. LX_AG-sfaf'!E251/'7c. LX_AG-sfaf'!$D251</f>
        <v>0</v>
      </c>
      <c r="F251" s="620"/>
      <c r="G251" s="620"/>
      <c r="H251" s="620"/>
      <c r="I251" s="468">
        <f>$D251*'7c. LX_AG-sfaf'!I251/'7c. LX_AG-sfaf'!$D251</f>
        <v>0</v>
      </c>
      <c r="J251" s="468">
        <f>$D251*'7c. LX_AG-sfaf'!J251/'7c. LX_AG-sfaf'!$D251</f>
        <v>0</v>
      </c>
      <c r="K251" s="468"/>
      <c r="L251" s="468">
        <f>'7a. LX_AG-i'!K252</f>
        <v>0</v>
      </c>
      <c r="M251" s="468">
        <f>'7a. LX_AG-i'!L252</f>
        <v>0</v>
      </c>
      <c r="N251" s="468">
        <f>$M251*'7c. LX_AG-sfaf'!N251/'7c. LX_AG-sfaf'!$M251</f>
        <v>0</v>
      </c>
      <c r="O251" s="468">
        <f>$M251*'7c. LX_AG-sfaf'!O251/'7c. LX_AG-sfaf'!$M251</f>
        <v>0</v>
      </c>
      <c r="P251" s="468">
        <f>$M251*'7c. LX_AG-sfaf'!P251/'7c. LX_AG-sfaf'!$M251</f>
        <v>0</v>
      </c>
      <c r="Q251" s="468">
        <f>$M251*'7c. LX_AG-sfaf'!Q251/'7c. LX_AG-sfaf'!$M251</f>
        <v>0</v>
      </c>
      <c r="R251" s="468">
        <f>$M251*'7c. LX_AG-sfaf'!R251/'7c. LX_AG-sfaf'!$M251</f>
        <v>0</v>
      </c>
      <c r="S251" s="468">
        <f>$M251*'7c. LX_AG-sfaf'!S251/'7c. LX_AG-sfaf'!$M251</f>
        <v>0</v>
      </c>
      <c r="T251" s="468">
        <f>$M251*'7c. LX_AG-sfaf'!T251/'7c. LX_AG-sfaf'!$M251</f>
        <v>0</v>
      </c>
      <c r="U251" s="468">
        <f>$M251*'7c. LX_AG-sfaf'!U251/'7c. LX_AG-sfaf'!$M251</f>
        <v>0</v>
      </c>
      <c r="V251" s="468">
        <f>$M251*'7c. LX_AG-sfaf'!V251/'7c. LX_AG-sfaf'!$M251</f>
        <v>0</v>
      </c>
      <c r="W251" s="468">
        <f>$M251*'7c. LX_AG-sfaf'!W251/'7c. LX_AG-sfaf'!$M251</f>
        <v>0</v>
      </c>
      <c r="X251" s="468">
        <f>'7a. LX_AG-i'!M252</f>
        <v>0</v>
      </c>
      <c r="Y251" s="171">
        <f>$X251*'7c. LX_AG-sfaf'!Y251/'7c. LX_AG-sfaf'!$X251</f>
        <v>0</v>
      </c>
      <c r="Z251" s="171">
        <f>$X251*'7c. LX_AG-sfaf'!Z251/'7c. LX_AG-sfaf'!$X251</f>
        <v>0</v>
      </c>
      <c r="AA251" s="171">
        <f>'7a. LX_AG-i'!N252</f>
        <v>0</v>
      </c>
      <c r="AB251" s="171">
        <f>'7a. LX_AG-i'!O252</f>
        <v>0</v>
      </c>
      <c r="AC251" s="171">
        <f>$AB251*'7c. LX_AG-sfaf'!AC251/'7c. LX_AG-sfaf'!$AB251</f>
        <v>0</v>
      </c>
      <c r="AD251" s="171">
        <f>$AB251*'7c. LX_AG-sfaf'!AD251/'7c. LX_AG-sfaf'!$AB251</f>
        <v>0</v>
      </c>
      <c r="AE251" s="171">
        <f>$AB251*'7c. LX_AG-sfaf'!AE251/'7c. LX_AG-sfaf'!$AB251</f>
        <v>0</v>
      </c>
      <c r="AF251" s="171">
        <f>'7a. LX_AG-i'!P252</f>
        <v>0</v>
      </c>
      <c r="AG251" s="171">
        <f>$AF251*'7c. LX_AG-sfaf'!AG251/'7c. LX_AG-sfaf'!$AF251</f>
        <v>0</v>
      </c>
      <c r="AH251" s="171">
        <f>'7a. LX_AG-i'!Q252</f>
        <v>0</v>
      </c>
      <c r="AI251" s="62"/>
      <c r="AJ251" s="468">
        <f>'7a. LX_AG-i'!I252</f>
        <v>0</v>
      </c>
      <c r="AK251" s="62">
        <f t="shared" si="52"/>
        <v>0</v>
      </c>
      <c r="AL251" s="62">
        <f>AJ251-AK251</f>
        <v>0</v>
      </c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</row>
    <row r="252" spans="1:78" x14ac:dyDescent="0.3">
      <c r="A252" s="462" t="s">
        <v>730</v>
      </c>
      <c r="B252" s="466" t="s">
        <v>731</v>
      </c>
      <c r="C252" s="62"/>
      <c r="D252" s="468">
        <f>'7a. LX_AG-i'!J253</f>
        <v>0</v>
      </c>
      <c r="E252" s="468">
        <f>$D252*'7c. LX_AG-sfaf'!E252/'7c. LX_AG-sfaf'!$D252</f>
        <v>0</v>
      </c>
      <c r="F252" s="620"/>
      <c r="G252" s="620"/>
      <c r="H252" s="620"/>
      <c r="I252" s="468">
        <f>$D252*'7c. LX_AG-sfaf'!I252/'7c. LX_AG-sfaf'!$D252</f>
        <v>0</v>
      </c>
      <c r="J252" s="468">
        <f>$D252*'7c. LX_AG-sfaf'!J252/'7c. LX_AG-sfaf'!$D252</f>
        <v>0</v>
      </c>
      <c r="K252" s="468"/>
      <c r="L252" s="468">
        <f>'7a. LX_AG-i'!K253</f>
        <v>0</v>
      </c>
      <c r="M252" s="468">
        <f>'7a. LX_AG-i'!L253</f>
        <v>0</v>
      </c>
      <c r="N252" s="468">
        <f>$M252*'7c. LX_AG-sfaf'!N252/'7c. LX_AG-sfaf'!$M252</f>
        <v>0</v>
      </c>
      <c r="O252" s="468">
        <f>$M252*'7c. LX_AG-sfaf'!O252/'7c. LX_AG-sfaf'!$M252</f>
        <v>0</v>
      </c>
      <c r="P252" s="468">
        <f>$M252*'7c. LX_AG-sfaf'!P252/'7c. LX_AG-sfaf'!$M252</f>
        <v>0</v>
      </c>
      <c r="Q252" s="468">
        <f>$M252*'7c. LX_AG-sfaf'!Q252/'7c. LX_AG-sfaf'!$M252</f>
        <v>0</v>
      </c>
      <c r="R252" s="468">
        <f>$M252*'7c. LX_AG-sfaf'!R252/'7c. LX_AG-sfaf'!$M252</f>
        <v>0</v>
      </c>
      <c r="S252" s="468">
        <f>$M252*'7c. LX_AG-sfaf'!S252/'7c. LX_AG-sfaf'!$M252</f>
        <v>0</v>
      </c>
      <c r="T252" s="468">
        <f>$M252*'7c. LX_AG-sfaf'!T252/'7c. LX_AG-sfaf'!$M252</f>
        <v>0</v>
      </c>
      <c r="U252" s="468">
        <f>$M252*'7c. LX_AG-sfaf'!U252/'7c. LX_AG-sfaf'!$M252</f>
        <v>0</v>
      </c>
      <c r="V252" s="468">
        <f>$M252*'7c. LX_AG-sfaf'!V252/'7c. LX_AG-sfaf'!$M252</f>
        <v>0</v>
      </c>
      <c r="W252" s="468">
        <f>$M252*'7c. LX_AG-sfaf'!W252/'7c. LX_AG-sfaf'!$M252</f>
        <v>0</v>
      </c>
      <c r="X252" s="468">
        <f>'7a. LX_AG-i'!M253</f>
        <v>0</v>
      </c>
      <c r="Y252" s="171">
        <f>$X252*'7c. LX_AG-sfaf'!Y252/'7c. LX_AG-sfaf'!$X252</f>
        <v>0</v>
      </c>
      <c r="Z252" s="171">
        <f>$X252*'7c. LX_AG-sfaf'!Z252/'7c. LX_AG-sfaf'!$X252</f>
        <v>0</v>
      </c>
      <c r="AA252" s="171">
        <f>'7a. LX_AG-i'!N253</f>
        <v>0</v>
      </c>
      <c r="AB252" s="171">
        <f>'7a. LX_AG-i'!O253</f>
        <v>0</v>
      </c>
      <c r="AC252" s="171">
        <f>$AB252*'7c. LX_AG-sfaf'!AC252/'7c. LX_AG-sfaf'!$AB252</f>
        <v>0</v>
      </c>
      <c r="AD252" s="171">
        <f>$AB252*'7c. LX_AG-sfaf'!AD252/'7c. LX_AG-sfaf'!$AB252</f>
        <v>0</v>
      </c>
      <c r="AE252" s="171">
        <f>$AB252*'7c. LX_AG-sfaf'!AE252/'7c. LX_AG-sfaf'!$AB252</f>
        <v>0</v>
      </c>
      <c r="AF252" s="171">
        <f>'7a. LX_AG-i'!P253</f>
        <v>0</v>
      </c>
      <c r="AG252" s="171">
        <f>$AF252*'7c. LX_AG-sfaf'!AG252/'7c. LX_AG-sfaf'!$AF252</f>
        <v>0</v>
      </c>
      <c r="AH252" s="171">
        <f>'7a. LX_AG-i'!Q253</f>
        <v>0</v>
      </c>
      <c r="AI252" s="62"/>
      <c r="AJ252" s="468">
        <f>'7a. LX_AG-i'!I253</f>
        <v>0</v>
      </c>
      <c r="AK252" s="62">
        <f t="shared" si="52"/>
        <v>0</v>
      </c>
      <c r="AL252" s="62">
        <f>AJ252-AK252</f>
        <v>0</v>
      </c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</row>
    <row r="253" spans="1:78" x14ac:dyDescent="0.3">
      <c r="A253" s="462" t="s">
        <v>61</v>
      </c>
      <c r="B253" s="466"/>
      <c r="C253" s="62"/>
      <c r="D253" s="468"/>
      <c r="E253" s="468"/>
      <c r="F253" s="620"/>
      <c r="G253" s="620"/>
      <c r="H253" s="620"/>
      <c r="I253" s="468"/>
      <c r="J253" s="468"/>
      <c r="K253" s="468"/>
      <c r="L253" s="468"/>
      <c r="M253" s="468"/>
      <c r="N253" s="468"/>
      <c r="O253" s="468"/>
      <c r="P253" s="468"/>
      <c r="Q253" s="468"/>
      <c r="R253" s="468"/>
      <c r="S253" s="468"/>
      <c r="T253" s="468"/>
      <c r="U253" s="468"/>
      <c r="V253" s="468"/>
      <c r="W253" s="468"/>
      <c r="X253" s="468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  <c r="AI253" s="62"/>
      <c r="AJ253" s="468"/>
      <c r="AK253" s="62">
        <f t="shared" si="52"/>
        <v>0</v>
      </c>
      <c r="AL253" s="62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</row>
    <row r="254" spans="1:78" x14ac:dyDescent="0.3">
      <c r="A254" s="462" t="s">
        <v>732</v>
      </c>
      <c r="B254" s="461" t="s">
        <v>733</v>
      </c>
      <c r="C254" s="62"/>
      <c r="D254" s="468"/>
      <c r="E254" s="468"/>
      <c r="F254" s="620"/>
      <c r="G254" s="620"/>
      <c r="H254" s="620"/>
      <c r="I254" s="468"/>
      <c r="J254" s="468"/>
      <c r="K254" s="468"/>
      <c r="L254" s="468"/>
      <c r="M254" s="468"/>
      <c r="N254" s="468"/>
      <c r="O254" s="468"/>
      <c r="P254" s="468"/>
      <c r="Q254" s="468"/>
      <c r="R254" s="468"/>
      <c r="S254" s="468"/>
      <c r="T254" s="468"/>
      <c r="U254" s="468"/>
      <c r="V254" s="468"/>
      <c r="W254" s="468"/>
      <c r="X254" s="468"/>
      <c r="Y254" s="171"/>
      <c r="Z254" s="171"/>
      <c r="AA254" s="171"/>
      <c r="AB254" s="171"/>
      <c r="AC254" s="171"/>
      <c r="AD254" s="171"/>
      <c r="AE254" s="171"/>
      <c r="AF254" s="171"/>
      <c r="AG254" s="171"/>
      <c r="AH254" s="171"/>
      <c r="AI254" s="62"/>
      <c r="AJ254" s="468">
        <f>'7a. LX_AG-i'!I255</f>
        <v>0</v>
      </c>
      <c r="AK254" s="62">
        <f t="shared" si="52"/>
        <v>0</v>
      </c>
      <c r="AL254" s="62">
        <f>AJ254-AK254</f>
        <v>0</v>
      </c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</row>
    <row r="255" spans="1:78" x14ac:dyDescent="0.3">
      <c r="A255" s="462"/>
      <c r="B255" s="461" t="s">
        <v>734</v>
      </c>
      <c r="C255" s="62"/>
      <c r="D255" s="669"/>
      <c r="E255" s="669"/>
      <c r="F255" s="669"/>
      <c r="G255" s="669"/>
      <c r="H255" s="669"/>
      <c r="I255" s="669"/>
      <c r="J255" s="669"/>
      <c r="K255" s="669"/>
      <c r="L255" s="669"/>
      <c r="M255" s="669"/>
      <c r="N255" s="669"/>
      <c r="O255" s="669"/>
      <c r="P255" s="669"/>
      <c r="Q255" s="669"/>
      <c r="R255" s="669"/>
      <c r="S255" s="669"/>
      <c r="T255" s="669"/>
      <c r="U255" s="669"/>
      <c r="V255" s="669"/>
      <c r="W255" s="669"/>
      <c r="X255" s="669"/>
      <c r="Y255" s="678"/>
      <c r="Z255" s="678"/>
      <c r="AA255" s="678"/>
      <c r="AB255" s="678"/>
      <c r="AC255" s="678"/>
      <c r="AD255" s="678"/>
      <c r="AE255" s="678"/>
      <c r="AF255" s="678"/>
      <c r="AG255" s="678"/>
      <c r="AH255" s="678"/>
      <c r="AI255" s="62"/>
      <c r="AJ255" s="468">
        <f>'7a. LX_AG-i'!I256</f>
        <v>0</v>
      </c>
      <c r="AK255" s="62">
        <f t="shared" si="52"/>
        <v>0</v>
      </c>
      <c r="AL255" s="62">
        <f t="shared" ref="AL255:AL271" si="53">AJ255-AK255</f>
        <v>0</v>
      </c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</row>
    <row r="256" spans="1:78" x14ac:dyDescent="0.3">
      <c r="A256" s="462"/>
      <c r="B256" s="461" t="s">
        <v>735</v>
      </c>
      <c r="C256" s="62"/>
      <c r="D256" s="669"/>
      <c r="E256" s="669"/>
      <c r="F256" s="669"/>
      <c r="G256" s="669"/>
      <c r="H256" s="669"/>
      <c r="I256" s="669"/>
      <c r="J256" s="669"/>
      <c r="K256" s="669"/>
      <c r="L256" s="669"/>
      <c r="M256" s="669"/>
      <c r="N256" s="669"/>
      <c r="O256" s="669"/>
      <c r="P256" s="669"/>
      <c r="Q256" s="669"/>
      <c r="R256" s="669"/>
      <c r="S256" s="669"/>
      <c r="T256" s="669"/>
      <c r="U256" s="669"/>
      <c r="V256" s="669"/>
      <c r="W256" s="669"/>
      <c r="X256" s="669"/>
      <c r="Y256" s="678"/>
      <c r="Z256" s="678"/>
      <c r="AA256" s="678"/>
      <c r="AB256" s="678"/>
      <c r="AC256" s="678"/>
      <c r="AD256" s="678"/>
      <c r="AE256" s="678"/>
      <c r="AF256" s="678"/>
      <c r="AG256" s="678"/>
      <c r="AH256" s="678"/>
      <c r="AI256" s="62"/>
      <c r="AJ256" s="468">
        <f>'7a. LX_AG-i'!I257</f>
        <v>0</v>
      </c>
      <c r="AK256" s="62">
        <f t="shared" si="52"/>
        <v>0</v>
      </c>
      <c r="AL256" s="62">
        <f t="shared" si="53"/>
        <v>0</v>
      </c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</row>
    <row r="257" spans="1:78" x14ac:dyDescent="0.3">
      <c r="A257" s="462"/>
      <c r="B257" s="461" t="s">
        <v>736</v>
      </c>
      <c r="C257" s="62"/>
      <c r="D257" s="669"/>
      <c r="E257" s="669"/>
      <c r="F257" s="669"/>
      <c r="G257" s="669"/>
      <c r="H257" s="669"/>
      <c r="I257" s="669"/>
      <c r="J257" s="669"/>
      <c r="K257" s="669"/>
      <c r="L257" s="669"/>
      <c r="M257" s="669"/>
      <c r="N257" s="669"/>
      <c r="O257" s="669"/>
      <c r="P257" s="669"/>
      <c r="Q257" s="669"/>
      <c r="R257" s="669"/>
      <c r="S257" s="669"/>
      <c r="T257" s="669"/>
      <c r="U257" s="669"/>
      <c r="V257" s="669"/>
      <c r="W257" s="669"/>
      <c r="X257" s="669"/>
      <c r="Y257" s="678"/>
      <c r="Z257" s="678"/>
      <c r="AA257" s="678"/>
      <c r="AB257" s="678"/>
      <c r="AC257" s="678"/>
      <c r="AD257" s="678"/>
      <c r="AE257" s="678"/>
      <c r="AF257" s="678"/>
      <c r="AG257" s="678"/>
      <c r="AH257" s="678"/>
      <c r="AI257" s="62"/>
      <c r="AJ257" s="468">
        <f>'7a. LX_AG-i'!I258</f>
        <v>0</v>
      </c>
      <c r="AK257" s="62">
        <f t="shared" si="52"/>
        <v>0</v>
      </c>
      <c r="AL257" s="62">
        <f t="shared" si="53"/>
        <v>0</v>
      </c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</row>
    <row r="258" spans="1:78" x14ac:dyDescent="0.3">
      <c r="A258" s="462"/>
      <c r="B258" s="461" t="s">
        <v>156</v>
      </c>
      <c r="C258" s="62"/>
      <c r="D258" s="669"/>
      <c r="E258" s="669"/>
      <c r="F258" s="669"/>
      <c r="G258" s="669"/>
      <c r="H258" s="669"/>
      <c r="I258" s="669"/>
      <c r="J258" s="669"/>
      <c r="K258" s="669"/>
      <c r="L258" s="669"/>
      <c r="M258" s="669"/>
      <c r="N258" s="669"/>
      <c r="O258" s="669"/>
      <c r="P258" s="669"/>
      <c r="Q258" s="669"/>
      <c r="R258" s="669"/>
      <c r="S258" s="669"/>
      <c r="T258" s="669"/>
      <c r="U258" s="669"/>
      <c r="V258" s="669"/>
      <c r="W258" s="669"/>
      <c r="X258" s="669"/>
      <c r="Y258" s="678"/>
      <c r="Z258" s="678"/>
      <c r="AA258" s="678"/>
      <c r="AB258" s="678"/>
      <c r="AC258" s="678"/>
      <c r="AD258" s="678"/>
      <c r="AE258" s="678"/>
      <c r="AF258" s="678"/>
      <c r="AG258" s="678"/>
      <c r="AH258" s="678"/>
      <c r="AI258" s="62"/>
      <c r="AJ258" s="468">
        <f>'7a. LX_AG-i'!I259</f>
        <v>0</v>
      </c>
      <c r="AK258" s="62">
        <f t="shared" si="52"/>
        <v>0</v>
      </c>
      <c r="AL258" s="62">
        <f t="shared" si="53"/>
        <v>0</v>
      </c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</row>
    <row r="259" spans="1:78" x14ac:dyDescent="0.3">
      <c r="A259" s="462"/>
      <c r="B259" s="461" t="s">
        <v>737</v>
      </c>
      <c r="C259" s="62"/>
      <c r="D259" s="669"/>
      <c r="E259" s="669"/>
      <c r="F259" s="669"/>
      <c r="G259" s="669"/>
      <c r="H259" s="669"/>
      <c r="I259" s="669"/>
      <c r="J259" s="669"/>
      <c r="K259" s="669"/>
      <c r="L259" s="669"/>
      <c r="M259" s="669"/>
      <c r="N259" s="669"/>
      <c r="O259" s="669"/>
      <c r="P259" s="669"/>
      <c r="Q259" s="669"/>
      <c r="R259" s="669"/>
      <c r="S259" s="669"/>
      <c r="T259" s="669"/>
      <c r="U259" s="669"/>
      <c r="V259" s="669"/>
      <c r="W259" s="669"/>
      <c r="X259" s="669"/>
      <c r="Y259" s="678"/>
      <c r="Z259" s="678"/>
      <c r="AA259" s="678"/>
      <c r="AB259" s="678"/>
      <c r="AC259" s="678"/>
      <c r="AD259" s="678"/>
      <c r="AE259" s="678"/>
      <c r="AF259" s="678"/>
      <c r="AG259" s="678"/>
      <c r="AH259" s="678"/>
      <c r="AI259" s="62"/>
      <c r="AJ259" s="468">
        <f>'7a. LX_AG-i'!I260</f>
        <v>0</v>
      </c>
      <c r="AK259" s="62">
        <f t="shared" si="52"/>
        <v>0</v>
      </c>
      <c r="AL259" s="62">
        <f t="shared" si="53"/>
        <v>0</v>
      </c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</row>
    <row r="260" spans="1:78" x14ac:dyDescent="0.3">
      <c r="A260" s="462" t="s">
        <v>546</v>
      </c>
      <c r="B260" s="474" t="s">
        <v>738</v>
      </c>
      <c r="C260" s="62"/>
      <c r="D260" s="695">
        <v>0</v>
      </c>
      <c r="E260" s="695">
        <v>0</v>
      </c>
      <c r="F260" s="695"/>
      <c r="G260" s="695"/>
      <c r="H260" s="695"/>
      <c r="I260" s="695">
        <v>0</v>
      </c>
      <c r="J260" s="695">
        <v>0</v>
      </c>
      <c r="K260" s="695">
        <v>0</v>
      </c>
      <c r="L260" s="695">
        <v>0</v>
      </c>
      <c r="M260" s="695">
        <v>0</v>
      </c>
      <c r="N260" s="695">
        <v>0</v>
      </c>
      <c r="O260" s="695">
        <v>0</v>
      </c>
      <c r="P260" s="695">
        <v>0</v>
      </c>
      <c r="Q260" s="695">
        <v>0</v>
      </c>
      <c r="R260" s="695">
        <v>0</v>
      </c>
      <c r="S260" s="695">
        <v>0</v>
      </c>
      <c r="T260" s="695">
        <v>0</v>
      </c>
      <c r="U260" s="695">
        <v>0</v>
      </c>
      <c r="V260" s="695">
        <v>0</v>
      </c>
      <c r="W260" s="695">
        <v>0</v>
      </c>
      <c r="X260" s="695">
        <v>0</v>
      </c>
      <c r="Y260" s="680">
        <v>0</v>
      </c>
      <c r="Z260" s="680">
        <v>0</v>
      </c>
      <c r="AA260" s="680">
        <v>0</v>
      </c>
      <c r="AB260" s="680">
        <v>0</v>
      </c>
      <c r="AC260" s="680">
        <v>0</v>
      </c>
      <c r="AD260" s="680">
        <v>0</v>
      </c>
      <c r="AE260" s="680">
        <v>0</v>
      </c>
      <c r="AF260" s="680">
        <v>0</v>
      </c>
      <c r="AG260" s="680">
        <v>0</v>
      </c>
      <c r="AH260" s="680">
        <v>0</v>
      </c>
      <c r="AI260" s="62"/>
      <c r="AJ260" s="468">
        <f>'7a. LX_AG-i'!I261</f>
        <v>0</v>
      </c>
      <c r="AK260" s="62">
        <f t="shared" si="52"/>
        <v>0</v>
      </c>
      <c r="AL260" s="62">
        <f t="shared" si="53"/>
        <v>0</v>
      </c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</row>
    <row r="261" spans="1:78" x14ac:dyDescent="0.3">
      <c r="A261" s="462" t="s">
        <v>739</v>
      </c>
      <c r="B261" s="461" t="s">
        <v>740</v>
      </c>
      <c r="C261" s="62"/>
      <c r="D261" s="468">
        <f>'7a. LX_AG-i'!J262</f>
        <v>0</v>
      </c>
      <c r="E261" s="468">
        <f>$D261*'7c. LX_AG-sfaf'!E261/'7c. LX_AG-sfaf'!$D261</f>
        <v>0</v>
      </c>
      <c r="F261" s="620"/>
      <c r="G261" s="620"/>
      <c r="H261" s="620"/>
      <c r="I261" s="468">
        <f>$D261*'7c. LX_AG-sfaf'!I261/'7c. LX_AG-sfaf'!$D261</f>
        <v>0</v>
      </c>
      <c r="J261" s="468">
        <f>$D261*'7c. LX_AG-sfaf'!J261/'7c. LX_AG-sfaf'!$D261</f>
        <v>0</v>
      </c>
      <c r="K261" s="468"/>
      <c r="L261" s="468">
        <f>'7a. LX_AG-i'!K262</f>
        <v>0</v>
      </c>
      <c r="M261" s="468">
        <f>'7a. LX_AG-i'!L262</f>
        <v>0</v>
      </c>
      <c r="N261" s="468">
        <f>$M261*'7c. LX_AG-sfaf'!N261/'7c. LX_AG-sfaf'!$M261</f>
        <v>0</v>
      </c>
      <c r="O261" s="468">
        <f>$M261*'7c. LX_AG-sfaf'!O261/'7c. LX_AG-sfaf'!$M261</f>
        <v>0</v>
      </c>
      <c r="P261" s="468">
        <f>$M261*'7c. LX_AG-sfaf'!P261/'7c. LX_AG-sfaf'!$M261</f>
        <v>0</v>
      </c>
      <c r="Q261" s="468">
        <f>$M261*'7c. LX_AG-sfaf'!Q261/'7c. LX_AG-sfaf'!$M261</f>
        <v>0</v>
      </c>
      <c r="R261" s="468">
        <f>$M261*'7c. LX_AG-sfaf'!R261/'7c. LX_AG-sfaf'!$M261</f>
        <v>0</v>
      </c>
      <c r="S261" s="468">
        <f>$M261*'7c. LX_AG-sfaf'!S261/'7c. LX_AG-sfaf'!$M261</f>
        <v>0</v>
      </c>
      <c r="T261" s="468">
        <f>$M261*'7c. LX_AG-sfaf'!T261/'7c. LX_AG-sfaf'!$M261</f>
        <v>0</v>
      </c>
      <c r="U261" s="468">
        <f>$M261*'7c. LX_AG-sfaf'!U261/'7c. LX_AG-sfaf'!$M261</f>
        <v>0</v>
      </c>
      <c r="V261" s="468">
        <f>$M261*'7c. LX_AG-sfaf'!V261/'7c. LX_AG-sfaf'!$M261</f>
        <v>0</v>
      </c>
      <c r="W261" s="468">
        <f>$M261*'7c. LX_AG-sfaf'!W261/'7c. LX_AG-sfaf'!$M261</f>
        <v>0</v>
      </c>
      <c r="X261" s="468">
        <f>'7a. LX_AG-i'!M262</f>
        <v>0</v>
      </c>
      <c r="Y261" s="171">
        <f>$X261*'7c. LX_AG-sfaf'!Y261/'7c. LX_AG-sfaf'!$X261</f>
        <v>0</v>
      </c>
      <c r="Z261" s="171">
        <f>$X261*'7c. LX_AG-sfaf'!Z261/'7c. LX_AG-sfaf'!$X261</f>
        <v>0</v>
      </c>
      <c r="AA261" s="171">
        <f>'7a. LX_AG-i'!N262</f>
        <v>0</v>
      </c>
      <c r="AB261" s="171">
        <f>'7a. LX_AG-i'!O262</f>
        <v>0</v>
      </c>
      <c r="AC261" s="171">
        <f>$AB261*'7c. LX_AG-sfaf'!AC261/'7c. LX_AG-sfaf'!$AB261</f>
        <v>0</v>
      </c>
      <c r="AD261" s="171">
        <f>$AB261*'7c. LX_AG-sfaf'!AD261/'7c. LX_AG-sfaf'!$AB261</f>
        <v>0</v>
      </c>
      <c r="AE261" s="171">
        <f>$AB261*'7c. LX_AG-sfaf'!AE261/'7c. LX_AG-sfaf'!$AB261</f>
        <v>0</v>
      </c>
      <c r="AF261" s="171">
        <f>'7a. LX_AG-i'!P262</f>
        <v>0</v>
      </c>
      <c r="AG261" s="171">
        <f>$AF261*'7c. LX_AG-sfaf'!AG261/'7c. LX_AG-sfaf'!$AF261</f>
        <v>0</v>
      </c>
      <c r="AH261" s="171">
        <f>'7a. LX_AG-i'!Q262</f>
        <v>0</v>
      </c>
      <c r="AI261" s="62"/>
      <c r="AJ261" s="468">
        <f>'7a. LX_AG-i'!I262</f>
        <v>0</v>
      </c>
      <c r="AK261" s="62">
        <f t="shared" si="52"/>
        <v>0</v>
      </c>
      <c r="AL261" s="62">
        <f t="shared" si="53"/>
        <v>0</v>
      </c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</row>
    <row r="262" spans="1:78" x14ac:dyDescent="0.3">
      <c r="A262" s="462" t="s">
        <v>63</v>
      </c>
      <c r="B262" s="461"/>
      <c r="C262" s="62"/>
      <c r="D262" s="468"/>
      <c r="E262" s="468"/>
      <c r="F262" s="620"/>
      <c r="G262" s="620"/>
      <c r="H262" s="620"/>
      <c r="I262" s="468"/>
      <c r="J262" s="468"/>
      <c r="K262" s="468"/>
      <c r="L262" s="468"/>
      <c r="M262" s="468"/>
      <c r="N262" s="468"/>
      <c r="O262" s="468"/>
      <c r="P262" s="468"/>
      <c r="Q262" s="468"/>
      <c r="R262" s="468"/>
      <c r="S262" s="468"/>
      <c r="T262" s="468"/>
      <c r="U262" s="468"/>
      <c r="V262" s="468"/>
      <c r="W262" s="468"/>
      <c r="X262" s="468"/>
      <c r="Y262" s="171"/>
      <c r="Z262" s="171"/>
      <c r="AA262" s="171"/>
      <c r="AB262" s="171"/>
      <c r="AC262" s="171"/>
      <c r="AD262" s="171"/>
      <c r="AE262" s="171"/>
      <c r="AF262" s="171"/>
      <c r="AG262" s="171"/>
      <c r="AH262" s="171"/>
      <c r="AI262" s="62"/>
      <c r="AJ262" s="468"/>
      <c r="AK262" s="62"/>
      <c r="AL262" s="62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</row>
    <row r="263" spans="1:78" x14ac:dyDescent="0.3">
      <c r="A263" s="462" t="s">
        <v>741</v>
      </c>
      <c r="B263" s="461" t="s">
        <v>742</v>
      </c>
      <c r="C263" s="62"/>
      <c r="D263" s="468">
        <f>'7a. LX_AG-i'!J264</f>
        <v>1634693.0972650987</v>
      </c>
      <c r="E263" s="468">
        <f>$D263*'7c. LX_AG-sfaf'!E263/'7c. LX_AG-sfaf'!$D263</f>
        <v>1074673.6081628695</v>
      </c>
      <c r="F263" s="620"/>
      <c r="G263" s="620"/>
      <c r="H263" s="620"/>
      <c r="I263" s="468">
        <f>$D263*'7c. LX_AG-sfaf'!I263/'7c. LX_AG-sfaf'!$D263</f>
        <v>560019.48910222913</v>
      </c>
      <c r="J263" s="468">
        <f>$D263*'7c. LX_AG-sfaf'!J263/'7c. LX_AG-sfaf'!$D263</f>
        <v>0</v>
      </c>
      <c r="K263" s="468"/>
      <c r="L263" s="468">
        <f>'7a. LX_AG-i'!K264</f>
        <v>557025.33950203529</v>
      </c>
      <c r="M263" s="468">
        <f>'7a. LX_AG-i'!L264</f>
        <v>2295558.2003939389</v>
      </c>
      <c r="N263" s="468">
        <f>$M263*'7c. LX_AG-sfaf'!N263/'7c. LX_AG-sfaf'!$M263</f>
        <v>720971.20149160421</v>
      </c>
      <c r="O263" s="468">
        <f>$M263*'7c. LX_AG-sfaf'!O263/'7c. LX_AG-sfaf'!$M263</f>
        <v>656557.89267775463</v>
      </c>
      <c r="P263" s="468">
        <f>$M263*'7c. LX_AG-sfaf'!P263/'7c. LX_AG-sfaf'!$M263</f>
        <v>180716.31217080652</v>
      </c>
      <c r="Q263" s="468">
        <f>$M263*'7c. LX_AG-sfaf'!Q263/'7c. LX_AG-sfaf'!$M263</f>
        <v>35394.555322136694</v>
      </c>
      <c r="R263" s="468">
        <f>$M263*'7c. LX_AG-sfaf'!R263/'7c. LX_AG-sfaf'!$M263</f>
        <v>466625.00878089556</v>
      </c>
      <c r="S263" s="468">
        <f>$M263*'7c. LX_AG-sfaf'!S263/'7c. LX_AG-sfaf'!$M263</f>
        <v>124188.98567010483</v>
      </c>
      <c r="T263" s="468">
        <f>$M263*'7c. LX_AG-sfaf'!T263/'7c. LX_AG-sfaf'!$M263</f>
        <v>38691.488639927098</v>
      </c>
      <c r="U263" s="468">
        <f>$M263*'7c. LX_AG-sfaf'!U263/'7c. LX_AG-sfaf'!$M263</f>
        <v>0</v>
      </c>
      <c r="V263" s="468">
        <f>$M263*'7c. LX_AG-sfaf'!V263/'7c. LX_AG-sfaf'!$M263</f>
        <v>65195.60322816547</v>
      </c>
      <c r="W263" s="468">
        <f>$M263*'7c. LX_AG-sfaf'!W263/'7c. LX_AG-sfaf'!$M263</f>
        <v>7217.1524125442083</v>
      </c>
      <c r="X263" s="468">
        <f>'7a. LX_AG-i'!M264</f>
        <v>199753.22705989919</v>
      </c>
      <c r="Y263" s="171">
        <f>$X263*'7c. LX_AG-sfaf'!Y263/'7c. LX_AG-sfaf'!$X263</f>
        <v>97103.849435748911</v>
      </c>
      <c r="Z263" s="171">
        <f>$X263*'7c. LX_AG-sfaf'!Z263/'7c. LX_AG-sfaf'!$X263</f>
        <v>102649.37762415028</v>
      </c>
      <c r="AA263" s="171">
        <f>'7a. LX_AG-i'!N264</f>
        <v>75926.589119398748</v>
      </c>
      <c r="AB263" s="171">
        <f>'7a. LX_AG-i'!O264</f>
        <v>226434.21175549776</v>
      </c>
      <c r="AC263" s="171">
        <f>$AB263*'7c. LX_AG-sfaf'!AC263/'7c. LX_AG-sfaf'!$AB263</f>
        <v>205468.66993293684</v>
      </c>
      <c r="AD263" s="171">
        <f>$AB263*'7c. LX_AG-sfaf'!AD263/'7c. LX_AG-sfaf'!$AB263</f>
        <v>20965.541822560925</v>
      </c>
      <c r="AE263" s="171">
        <f>$AB263*'7c. LX_AG-sfaf'!AE263/'7c. LX_AG-sfaf'!$AB263</f>
        <v>0</v>
      </c>
      <c r="AF263" s="171">
        <f>'7a. LX_AG-i'!P264</f>
        <v>125579.804904132</v>
      </c>
      <c r="AG263" s="171">
        <f>$AF263*'7c. LX_AG-sfaf'!AG263/'7c. LX_AG-sfaf'!$AF263</f>
        <v>125579.80490413199</v>
      </c>
      <c r="AH263" s="171">
        <f>'7a. LX_AG-i'!Q264</f>
        <v>0</v>
      </c>
      <c r="AI263" s="62"/>
      <c r="AJ263" s="468">
        <f>'7a. LX_AG-i'!I264</f>
        <v>5114970.47</v>
      </c>
      <c r="AK263" s="62">
        <f t="shared" ref="AK263:AK268" si="54">SUM(I263:K263,L263,N263:W263,Y263:Z263,AA263:AA263,AC263:AE263,AG263:AH263,E263)</f>
        <v>5114970.4700000007</v>
      </c>
      <c r="AL263" s="62">
        <f t="shared" si="53"/>
        <v>0</v>
      </c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</row>
    <row r="264" spans="1:78" x14ac:dyDescent="0.3">
      <c r="A264" s="462" t="s">
        <v>65</v>
      </c>
      <c r="B264" s="461"/>
      <c r="C264" s="62"/>
      <c r="D264" s="468"/>
      <c r="E264" s="468"/>
      <c r="F264" s="620"/>
      <c r="G264" s="620"/>
      <c r="H264" s="620"/>
      <c r="I264" s="468"/>
      <c r="J264" s="468"/>
      <c r="K264" s="468"/>
      <c r="L264" s="468"/>
      <c r="M264" s="468"/>
      <c r="N264" s="468"/>
      <c r="O264" s="468"/>
      <c r="P264" s="468"/>
      <c r="Q264" s="468"/>
      <c r="R264" s="468"/>
      <c r="S264" s="468"/>
      <c r="T264" s="468"/>
      <c r="U264" s="468"/>
      <c r="V264" s="468"/>
      <c r="W264" s="468"/>
      <c r="X264" s="468"/>
      <c r="Y264" s="171"/>
      <c r="Z264" s="171"/>
      <c r="AA264" s="171"/>
      <c r="AB264" s="171"/>
      <c r="AC264" s="171"/>
      <c r="AD264" s="171"/>
      <c r="AE264" s="171"/>
      <c r="AF264" s="171"/>
      <c r="AG264" s="171"/>
      <c r="AH264" s="171"/>
      <c r="AI264" s="62"/>
      <c r="AJ264" s="468"/>
      <c r="AK264" s="62">
        <f t="shared" si="54"/>
        <v>0</v>
      </c>
      <c r="AL264" s="62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</row>
    <row r="265" spans="1:78" x14ac:dyDescent="0.3">
      <c r="A265" s="462" t="s">
        <v>743</v>
      </c>
      <c r="B265" s="461" t="s">
        <v>744</v>
      </c>
      <c r="C265" s="62"/>
      <c r="D265" s="468">
        <f>'7a. LX_AG-i'!J266</f>
        <v>0</v>
      </c>
      <c r="E265" s="468"/>
      <c r="F265" s="620"/>
      <c r="G265" s="620"/>
      <c r="H265" s="620"/>
      <c r="I265" s="468"/>
      <c r="J265" s="468"/>
      <c r="K265" s="468"/>
      <c r="L265" s="468">
        <f>'7a. LX_AG-i'!K266</f>
        <v>0</v>
      </c>
      <c r="M265" s="468">
        <f>'7a. LX_AG-i'!L266</f>
        <v>0</v>
      </c>
      <c r="N265" s="468"/>
      <c r="O265" s="468"/>
      <c r="P265" s="468"/>
      <c r="Q265" s="468"/>
      <c r="R265" s="468"/>
      <c r="S265" s="468"/>
      <c r="T265" s="468"/>
      <c r="U265" s="468"/>
      <c r="V265" s="468"/>
      <c r="W265" s="468"/>
      <c r="X265" s="468">
        <f>'7a. LX_AG-i'!M266</f>
        <v>0</v>
      </c>
      <c r="Y265" s="171">
        <f>$X265*'7c. LX_AG-sfaf'!Y265/'7c. LX_AG-sfaf'!$X265</f>
        <v>0</v>
      </c>
      <c r="Z265" s="171">
        <f>$X265*'7c. LX_AG-sfaf'!Z265/'7c. LX_AG-sfaf'!$X265</f>
        <v>0</v>
      </c>
      <c r="AA265" s="171">
        <f>'7a. LX_AG-i'!N266</f>
        <v>0</v>
      </c>
      <c r="AB265" s="171">
        <f>'7a. LX_AG-i'!O266</f>
        <v>0</v>
      </c>
      <c r="AC265" s="171">
        <f>$AB265*'7c. LX_AG-sfaf'!AC265/'7c. LX_AG-sfaf'!$AB265</f>
        <v>0</v>
      </c>
      <c r="AD265" s="171">
        <f>$AB265*'7c. LX_AG-sfaf'!AD265/'7c. LX_AG-sfaf'!$AB265</f>
        <v>0</v>
      </c>
      <c r="AE265" s="171">
        <f>$AB265*'7c. LX_AG-sfaf'!AE265/'7c. LX_AG-sfaf'!$AB265</f>
        <v>0</v>
      </c>
      <c r="AF265" s="171">
        <f>'7a. LX_AG-i'!P266</f>
        <v>0</v>
      </c>
      <c r="AG265" s="171"/>
      <c r="AH265" s="171">
        <f>'7a. LX_AG-i'!Q266</f>
        <v>0</v>
      </c>
      <c r="AI265" s="62"/>
      <c r="AJ265" s="468">
        <f>'7a. LX_AG-i'!I266</f>
        <v>0</v>
      </c>
      <c r="AK265" s="62">
        <f t="shared" si="54"/>
        <v>0</v>
      </c>
      <c r="AL265" s="62">
        <f t="shared" si="53"/>
        <v>0</v>
      </c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</row>
    <row r="266" spans="1:78" x14ac:dyDescent="0.3">
      <c r="A266" s="462" t="s">
        <v>745</v>
      </c>
      <c r="B266" s="466" t="s">
        <v>746</v>
      </c>
      <c r="C266" s="62"/>
      <c r="D266" s="468">
        <f>'7a. LX_AG-i'!J267</f>
        <v>0</v>
      </c>
      <c r="E266" s="468">
        <f>$D266*'7c. LX_AG-sfaf'!E266/'7c. LX_AG-sfaf'!$D266</f>
        <v>0</v>
      </c>
      <c r="F266" s="620"/>
      <c r="G266" s="620"/>
      <c r="H266" s="620"/>
      <c r="I266" s="468">
        <f>$D266*'7c. LX_AG-sfaf'!I266/'7c. LX_AG-sfaf'!$D266</f>
        <v>0</v>
      </c>
      <c r="J266" s="468">
        <f>$D266*'7c. LX_AG-sfaf'!J266/'7c. LX_AG-sfaf'!$D266</f>
        <v>0</v>
      </c>
      <c r="K266" s="468"/>
      <c r="L266" s="468">
        <f>'7a. LX_AG-i'!K267</f>
        <v>0</v>
      </c>
      <c r="M266" s="468">
        <f>'7a. LX_AG-i'!L267</f>
        <v>0</v>
      </c>
      <c r="N266" s="468"/>
      <c r="O266" s="468"/>
      <c r="P266" s="468"/>
      <c r="Q266" s="468"/>
      <c r="R266" s="468"/>
      <c r="S266" s="468"/>
      <c r="T266" s="468"/>
      <c r="U266" s="468"/>
      <c r="V266" s="468"/>
      <c r="W266" s="468"/>
      <c r="X266" s="468">
        <f>'7a. LX_AG-i'!M267</f>
        <v>0</v>
      </c>
      <c r="Y266" s="171">
        <f>$X266*'7c. LX_AG-sfaf'!Y266/'7c. LX_AG-sfaf'!$X266</f>
        <v>0</v>
      </c>
      <c r="Z266" s="171">
        <f>$X266*'7c. LX_AG-sfaf'!Z266/'7c. LX_AG-sfaf'!$X266</f>
        <v>0</v>
      </c>
      <c r="AA266" s="171">
        <f>'7a. LX_AG-i'!N267</f>
        <v>0</v>
      </c>
      <c r="AB266" s="171">
        <f>'7a. LX_AG-i'!O267</f>
        <v>0</v>
      </c>
      <c r="AC266" s="171">
        <f>$AB266*'7c. LX_AG-sfaf'!AC266/'7c. LX_AG-sfaf'!$AB266</f>
        <v>0</v>
      </c>
      <c r="AD266" s="171">
        <f>$AB266*'7c. LX_AG-sfaf'!AD266/'7c. LX_AG-sfaf'!$AB266</f>
        <v>0</v>
      </c>
      <c r="AE266" s="171">
        <f>$AB266*'7c. LX_AG-sfaf'!AE266/'7c. LX_AG-sfaf'!$AB266</f>
        <v>0</v>
      </c>
      <c r="AF266" s="171">
        <f>'7a. LX_AG-i'!P267</f>
        <v>0</v>
      </c>
      <c r="AG266" s="171"/>
      <c r="AH266" s="171">
        <f>'7a. LX_AG-i'!Q267</f>
        <v>0</v>
      </c>
      <c r="AI266" s="62"/>
      <c r="AJ266" s="468">
        <f>'7a. LX_AG-i'!I267</f>
        <v>0</v>
      </c>
      <c r="AK266" s="62">
        <f t="shared" si="54"/>
        <v>0</v>
      </c>
      <c r="AL266" s="62">
        <f t="shared" si="53"/>
        <v>0</v>
      </c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</row>
    <row r="267" spans="1:78" x14ac:dyDescent="0.3">
      <c r="A267" s="462" t="s">
        <v>747</v>
      </c>
      <c r="B267" s="484" t="s">
        <v>748</v>
      </c>
      <c r="C267" s="62"/>
      <c r="D267" s="468">
        <f>'7a. LX_AG-i'!J268</f>
        <v>0</v>
      </c>
      <c r="E267" s="468">
        <f>$D267*'7c. LX_AG-sfaf'!E267/'7c. LX_AG-sfaf'!$D267</f>
        <v>0</v>
      </c>
      <c r="F267" s="620"/>
      <c r="G267" s="620"/>
      <c r="H267" s="620"/>
      <c r="I267" s="468">
        <f>$D267*'7c. LX_AG-sfaf'!I267/'7c. LX_AG-sfaf'!$D267</f>
        <v>0</v>
      </c>
      <c r="J267" s="468">
        <f>$D267*'7c. LX_AG-sfaf'!J267/'7c. LX_AG-sfaf'!$D267</f>
        <v>0</v>
      </c>
      <c r="K267" s="468"/>
      <c r="L267" s="468">
        <f>'7a. LX_AG-i'!K268</f>
        <v>0</v>
      </c>
      <c r="M267" s="468">
        <f>'7a. LX_AG-i'!L268</f>
        <v>0</v>
      </c>
      <c r="N267" s="468">
        <f>$M267*'7c. LX_AG-sfaf'!N267/'7c. LX_AG-sfaf'!$M267</f>
        <v>0</v>
      </c>
      <c r="O267" s="468">
        <f>$M267*'7c. LX_AG-sfaf'!O267/'7c. LX_AG-sfaf'!$M267</f>
        <v>0</v>
      </c>
      <c r="P267" s="468">
        <f>$M267*'7c. LX_AG-sfaf'!P267/'7c. LX_AG-sfaf'!$M267</f>
        <v>0</v>
      </c>
      <c r="Q267" s="468">
        <f>$M267*'7c. LX_AG-sfaf'!Q267/'7c. LX_AG-sfaf'!$M267</f>
        <v>0</v>
      </c>
      <c r="R267" s="468">
        <f>$M267*'7c. LX_AG-sfaf'!R267/'7c. LX_AG-sfaf'!$M267</f>
        <v>0</v>
      </c>
      <c r="S267" s="468">
        <f>$M267*'7c. LX_AG-sfaf'!S267/'7c. LX_AG-sfaf'!$M267</f>
        <v>0</v>
      </c>
      <c r="T267" s="468">
        <f>$M267*'7c. LX_AG-sfaf'!T267/'7c. LX_AG-sfaf'!$M267</f>
        <v>0</v>
      </c>
      <c r="U267" s="468">
        <f>$M267*'7c. LX_AG-sfaf'!U267/'7c. LX_AG-sfaf'!$M267</f>
        <v>0</v>
      </c>
      <c r="V267" s="468">
        <f>$M267*'7c. LX_AG-sfaf'!V267/'7c. LX_AG-sfaf'!$M267</f>
        <v>0</v>
      </c>
      <c r="W267" s="468">
        <f>$M267*'7c. LX_AG-sfaf'!W267/'7c. LX_AG-sfaf'!$M267</f>
        <v>0</v>
      </c>
      <c r="X267" s="468">
        <f>'7a. LX_AG-i'!M268</f>
        <v>0</v>
      </c>
      <c r="Y267" s="171">
        <f>$X267*'7c. LX_AG-sfaf'!Y267/'7c. LX_AG-sfaf'!$X267</f>
        <v>0</v>
      </c>
      <c r="Z267" s="171">
        <f>$X267*'7c. LX_AG-sfaf'!Z267/'7c. LX_AG-sfaf'!$X267</f>
        <v>0</v>
      </c>
      <c r="AA267" s="171">
        <f>'7a. LX_AG-i'!N268</f>
        <v>0</v>
      </c>
      <c r="AB267" s="171">
        <f>'7a. LX_AG-i'!O268</f>
        <v>0</v>
      </c>
      <c r="AC267" s="171">
        <f>$AB267*'7c. LX_AG-sfaf'!AC267/'7c. LX_AG-sfaf'!$AB267</f>
        <v>0</v>
      </c>
      <c r="AD267" s="171">
        <f>$AB267*'7c. LX_AG-sfaf'!AD267/'7c. LX_AG-sfaf'!$AB267</f>
        <v>0</v>
      </c>
      <c r="AE267" s="171">
        <f>$AB267*'7c. LX_AG-sfaf'!AE267/'7c. LX_AG-sfaf'!$AB267</f>
        <v>0</v>
      </c>
      <c r="AF267" s="171">
        <f>'7a. LX_AG-i'!P268</f>
        <v>0</v>
      </c>
      <c r="AG267" s="171">
        <f>$AF267*'7c. LX_AG-sfaf'!AG267/'7c. LX_AG-sfaf'!$AF267</f>
        <v>0</v>
      </c>
      <c r="AH267" s="171">
        <f>'7a. LX_AG-i'!Q268</f>
        <v>0</v>
      </c>
      <c r="AI267" s="62"/>
      <c r="AJ267" s="468">
        <f>'7a. LX_AG-i'!I268</f>
        <v>0</v>
      </c>
      <c r="AK267" s="62">
        <f t="shared" si="54"/>
        <v>0</v>
      </c>
      <c r="AL267" s="62">
        <f t="shared" si="53"/>
        <v>0</v>
      </c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</row>
    <row r="268" spans="1:78" x14ac:dyDescent="0.3">
      <c r="A268" s="556" t="s">
        <v>749</v>
      </c>
      <c r="B268" s="461" t="s">
        <v>750</v>
      </c>
      <c r="C268" s="62"/>
      <c r="D268" s="468">
        <f>'7a. LX_AG-i'!J269</f>
        <v>2022418.2330613898</v>
      </c>
      <c r="E268" s="468">
        <f>$D268*'7c. LX_AG-sfaf'!E268/'7c. LX_AG-sfaf'!$D268</f>
        <v>1329570.3660673082</v>
      </c>
      <c r="F268" s="620"/>
      <c r="G268" s="620"/>
      <c r="H268" s="620"/>
      <c r="I268" s="468">
        <f>$D268*'7c. LX_AG-sfaf'!I268/'7c. LX_AG-sfaf'!$D268</f>
        <v>692847.86699408176</v>
      </c>
      <c r="J268" s="468">
        <f>$D268*'7c. LX_AG-sfaf'!J268/'7c. LX_AG-sfaf'!$D268</f>
        <v>0</v>
      </c>
      <c r="K268" s="468"/>
      <c r="L268" s="468">
        <f>'7a. LX_AG-i'!K269</f>
        <v>689143.54919028329</v>
      </c>
      <c r="M268" s="468">
        <f>'7a. LX_AG-i'!L269</f>
        <v>2840030.8090231111</v>
      </c>
      <c r="N268" s="468">
        <f>$M268*'7c. LX_AG-sfaf'!N268/'7c. LX_AG-sfaf'!$M268</f>
        <v>891974.95594020723</v>
      </c>
      <c r="O268" s="468">
        <f>$M268*'7c. LX_AG-sfaf'!O268/'7c. LX_AG-sfaf'!$M268</f>
        <v>812283.75860482303</v>
      </c>
      <c r="P268" s="468">
        <f>$M268*'7c. LX_AG-sfaf'!P268/'7c. LX_AG-sfaf'!$M268</f>
        <v>223579.56081011231</v>
      </c>
      <c r="Q268" s="468">
        <f>$M268*'7c. LX_AG-sfaf'!Q268/'7c. LX_AG-sfaf'!$M268</f>
        <v>43789.622745914574</v>
      </c>
      <c r="R268" s="468">
        <f>$M268*'7c. LX_AG-sfaf'!R268/'7c. LX_AG-sfaf'!$M268</f>
        <v>577301.59094681265</v>
      </c>
      <c r="S268" s="468">
        <f>$M268*'7c. LX_AG-sfaf'!S268/'7c. LX_AG-sfaf'!$M268</f>
        <v>153644.78469066942</v>
      </c>
      <c r="T268" s="468">
        <f>$M268*'7c. LX_AG-sfaf'!T268/'7c. LX_AG-sfaf'!$M268</f>
        <v>47868.540107370565</v>
      </c>
      <c r="U268" s="468">
        <f>$M268*'7c. LX_AG-sfaf'!U268/'7c. LX_AG-sfaf'!$M268</f>
        <v>0</v>
      </c>
      <c r="V268" s="468">
        <f>$M268*'7c. LX_AG-sfaf'!V268/'7c. LX_AG-sfaf'!$M268</f>
        <v>80659.040467395593</v>
      </c>
      <c r="W268" s="468">
        <f>$M268*'7c. LX_AG-sfaf'!W268/'7c. LX_AG-sfaf'!$M268</f>
        <v>8928.9547098059047</v>
      </c>
      <c r="X268" s="468">
        <f>'7a. LX_AG-i'!M269</f>
        <v>247131.7516386855</v>
      </c>
      <c r="Y268" s="171">
        <f>$X268*'7c. LX_AG-sfaf'!Y268/'7c. LX_AG-sfaf'!$X268</f>
        <v>120135.45290419662</v>
      </c>
      <c r="Z268" s="171">
        <f>$X268*'7c. LX_AG-sfaf'!Z268/'7c. LX_AG-sfaf'!$X268</f>
        <v>126996.29873448888</v>
      </c>
      <c r="AA268" s="171">
        <f>'7a. LX_AG-i'!N269</f>
        <v>93935.258224394682</v>
      </c>
      <c r="AB268" s="171">
        <f>'7a. LX_AG-i'!O269</f>
        <v>280141.07309155492</v>
      </c>
      <c r="AC268" s="171">
        <f>$AB268*'7c. LX_AG-sfaf'!AC268/'7c. LX_AG-sfaf'!$AB268</f>
        <v>254202.81341522979</v>
      </c>
      <c r="AD268" s="171">
        <f>$AB268*'7c. LX_AG-sfaf'!AD268/'7c. LX_AG-sfaf'!$AB268</f>
        <v>25938.259676325124</v>
      </c>
      <c r="AE268" s="171">
        <f>$AB268*'7c. LX_AG-sfaf'!AE268/'7c. LX_AG-sfaf'!$AB268</f>
        <v>0</v>
      </c>
      <c r="AF268" s="171">
        <f>'7a. LX_AG-i'!P269</f>
        <v>155365.48577058164</v>
      </c>
      <c r="AG268" s="171">
        <f>$AF268*'7c. LX_AG-sfaf'!AG268/'7c. LX_AG-sfaf'!$AF268</f>
        <v>155365.48577058164</v>
      </c>
      <c r="AH268" s="171">
        <f>'7a. LX_AG-i'!Q269</f>
        <v>0</v>
      </c>
      <c r="AI268" s="62"/>
      <c r="AJ268" s="468">
        <f>'7a. LX_AG-i'!I269</f>
        <v>6328166.1600000001</v>
      </c>
      <c r="AK268" s="62">
        <f t="shared" si="54"/>
        <v>6328166.1600000001</v>
      </c>
      <c r="AL268" s="62">
        <f t="shared" si="53"/>
        <v>0</v>
      </c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</row>
    <row r="269" spans="1:78" x14ac:dyDescent="0.3">
      <c r="A269" s="555" t="s">
        <v>67</v>
      </c>
      <c r="B269" s="461"/>
      <c r="C269" s="62"/>
      <c r="D269" s="468"/>
      <c r="E269" s="468"/>
      <c r="F269" s="620"/>
      <c r="G269" s="620"/>
      <c r="H269" s="620"/>
      <c r="I269" s="468"/>
      <c r="J269" s="468"/>
      <c r="K269" s="468"/>
      <c r="L269" s="468"/>
      <c r="M269" s="468"/>
      <c r="N269" s="468"/>
      <c r="O269" s="468"/>
      <c r="P269" s="468"/>
      <c r="Q269" s="468"/>
      <c r="R269" s="468"/>
      <c r="S269" s="468"/>
      <c r="T269" s="468"/>
      <c r="U269" s="468"/>
      <c r="V269" s="468"/>
      <c r="W269" s="468"/>
      <c r="X269" s="468"/>
      <c r="Y269" s="171"/>
      <c r="Z269" s="171"/>
      <c r="AA269" s="171"/>
      <c r="AB269" s="171"/>
      <c r="AC269" s="171"/>
      <c r="AD269" s="171"/>
      <c r="AE269" s="171"/>
      <c r="AF269" s="171"/>
      <c r="AG269" s="171"/>
      <c r="AH269" s="171"/>
      <c r="AI269" s="62"/>
      <c r="AJ269" s="468"/>
      <c r="AK269" s="62"/>
      <c r="AL269" s="62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</row>
    <row r="270" spans="1:78" x14ac:dyDescent="0.3">
      <c r="A270" s="462" t="s">
        <v>751</v>
      </c>
      <c r="B270" s="461" t="s">
        <v>564</v>
      </c>
      <c r="C270" s="62"/>
      <c r="D270" s="468">
        <f>'7a. LX_AG-i'!J271</f>
        <v>0</v>
      </c>
      <c r="E270" s="468">
        <f>$D270*'7c. LX_AG-sfaf'!E270/'7c. LX_AG-sfaf'!$D270</f>
        <v>0</v>
      </c>
      <c r="F270" s="620"/>
      <c r="G270" s="620"/>
      <c r="H270" s="620"/>
      <c r="I270" s="468">
        <f>$D270*'7c. LX_AG-sfaf'!I270/'7c. LX_AG-sfaf'!$D270</f>
        <v>0</v>
      </c>
      <c r="J270" s="468">
        <f>$D270*'7c. LX_AG-sfaf'!J270/'7c. LX_AG-sfaf'!$D270</f>
        <v>0</v>
      </c>
      <c r="K270" s="468"/>
      <c r="L270" s="468">
        <f>'7a. LX_AG-i'!K271</f>
        <v>0</v>
      </c>
      <c r="M270" s="468">
        <f>'7a. LX_AG-i'!L271</f>
        <v>0</v>
      </c>
      <c r="N270" s="468">
        <f>$M270*'7c. LX_AG-sfaf'!N270/'7c. LX_AG-sfaf'!$M270</f>
        <v>0</v>
      </c>
      <c r="O270" s="468">
        <f>$M270*'7c. LX_AG-sfaf'!O270/'7c. LX_AG-sfaf'!$M270</f>
        <v>0</v>
      </c>
      <c r="P270" s="468">
        <f>$M270*'7c. LX_AG-sfaf'!P270/'7c. LX_AG-sfaf'!$M270</f>
        <v>0</v>
      </c>
      <c r="Q270" s="468">
        <f>$M270*'7c. LX_AG-sfaf'!Q270/'7c. LX_AG-sfaf'!$M270</f>
        <v>0</v>
      </c>
      <c r="R270" s="468">
        <f>$M270*'7c. LX_AG-sfaf'!R270/'7c. LX_AG-sfaf'!$M270</f>
        <v>0</v>
      </c>
      <c r="S270" s="468">
        <f>$M270*'7c. LX_AG-sfaf'!S270/'7c. LX_AG-sfaf'!$M270</f>
        <v>0</v>
      </c>
      <c r="T270" s="468">
        <f>$M270*'7c. LX_AG-sfaf'!T270/'7c. LX_AG-sfaf'!$M270</f>
        <v>0</v>
      </c>
      <c r="U270" s="468">
        <f>$M270*'7c. LX_AG-sfaf'!U270/'7c. LX_AG-sfaf'!$M270</f>
        <v>0</v>
      </c>
      <c r="V270" s="468">
        <f>$M270*'7c. LX_AG-sfaf'!V270/'7c. LX_AG-sfaf'!$M270</f>
        <v>0</v>
      </c>
      <c r="W270" s="468">
        <f>$M270*'7c. LX_AG-sfaf'!W270/'7c. LX_AG-sfaf'!$M270</f>
        <v>0</v>
      </c>
      <c r="X270" s="468">
        <f>'7a. LX_AG-i'!M271</f>
        <v>0</v>
      </c>
      <c r="Y270" s="171">
        <f>$X270*'7c. LX_AG-sfaf'!Y270/'7c. LX_AG-sfaf'!$X270</f>
        <v>0</v>
      </c>
      <c r="Z270" s="171">
        <f>$X270*'7c. LX_AG-sfaf'!Z270/'7c. LX_AG-sfaf'!$X270</f>
        <v>0</v>
      </c>
      <c r="AA270" s="171">
        <f>'7a. LX_AG-i'!N271</f>
        <v>0</v>
      </c>
      <c r="AB270" s="171">
        <f>'7a. LX_AG-i'!O271</f>
        <v>0</v>
      </c>
      <c r="AC270" s="171">
        <f>$AB270*'7c. LX_AG-sfaf'!AC270/'7c. LX_AG-sfaf'!$AB270</f>
        <v>0</v>
      </c>
      <c r="AD270" s="171">
        <f>$AB270*'7c. LX_AG-sfaf'!AD270/'7c. LX_AG-sfaf'!$AB270</f>
        <v>0</v>
      </c>
      <c r="AE270" s="171">
        <f>$AB270*'7c. LX_AG-sfaf'!AE270/'7c. LX_AG-sfaf'!$AB270</f>
        <v>0</v>
      </c>
      <c r="AF270" s="171">
        <f>'7a. LX_AG-i'!P271</f>
        <v>0</v>
      </c>
      <c r="AG270" s="171">
        <f>$AF270*'7c. LX_AG-sfaf'!AG270/'7c. LX_AG-sfaf'!$AF270</f>
        <v>0</v>
      </c>
      <c r="AH270" s="171">
        <f>'7a. LX_AG-i'!Q271</f>
        <v>0</v>
      </c>
      <c r="AI270" s="62"/>
      <c r="AJ270" s="468">
        <f>'7a. LX_AG-i'!I271</f>
        <v>0</v>
      </c>
      <c r="AK270" s="62">
        <f t="shared" ref="AK270:AK273" si="55">SUM(I270:K270,L270,N270:W270,Y270:Z270,AA270:AA270,AC270:AE270,AG270:AH270,E270)</f>
        <v>0</v>
      </c>
      <c r="AL270" s="62">
        <f t="shared" si="53"/>
        <v>0</v>
      </c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</row>
    <row r="271" spans="1:78" x14ac:dyDescent="0.3">
      <c r="A271" s="462" t="s">
        <v>752</v>
      </c>
      <c r="B271" s="461" t="s">
        <v>753</v>
      </c>
      <c r="C271" s="62"/>
      <c r="D271" s="468">
        <f>'7a. LX_AG-i'!J272</f>
        <v>0</v>
      </c>
      <c r="E271" s="468">
        <f>$D271*'7c. LX_AG-sfaf'!E271/'7c. LX_AG-sfaf'!$D271</f>
        <v>0</v>
      </c>
      <c r="F271" s="620"/>
      <c r="G271" s="620"/>
      <c r="H271" s="620"/>
      <c r="I271" s="468">
        <f>$D271*'7c. LX_AG-sfaf'!I271/'7c. LX_AG-sfaf'!$D271</f>
        <v>0</v>
      </c>
      <c r="J271" s="468">
        <f>$D271*'7c. LX_AG-sfaf'!J271/'7c. LX_AG-sfaf'!$D271</f>
        <v>0</v>
      </c>
      <c r="K271" s="468"/>
      <c r="L271" s="468">
        <f>'7a. LX_AG-i'!K272</f>
        <v>0</v>
      </c>
      <c r="M271" s="468">
        <f>'7a. LX_AG-i'!L272</f>
        <v>0</v>
      </c>
      <c r="N271" s="468">
        <f>$M271*'7c. LX_AG-sfaf'!N271/'7c. LX_AG-sfaf'!$M271</f>
        <v>0</v>
      </c>
      <c r="O271" s="468">
        <f>$M271*'7c. LX_AG-sfaf'!O271/'7c. LX_AG-sfaf'!$M271</f>
        <v>0</v>
      </c>
      <c r="P271" s="468">
        <f>$M271*'7c. LX_AG-sfaf'!P271/'7c. LX_AG-sfaf'!$M271</f>
        <v>0</v>
      </c>
      <c r="Q271" s="468">
        <f>$M271*'7c. LX_AG-sfaf'!Q271/'7c. LX_AG-sfaf'!$M271</f>
        <v>0</v>
      </c>
      <c r="R271" s="468">
        <f>$M271*'7c. LX_AG-sfaf'!R271/'7c. LX_AG-sfaf'!$M271</f>
        <v>0</v>
      </c>
      <c r="S271" s="468">
        <f>$M271*'7c. LX_AG-sfaf'!S271/'7c. LX_AG-sfaf'!$M271</f>
        <v>0</v>
      </c>
      <c r="T271" s="468">
        <f>$M271*'7c. LX_AG-sfaf'!T271/'7c. LX_AG-sfaf'!$M271</f>
        <v>0</v>
      </c>
      <c r="U271" s="468">
        <f>$M271*'7c. LX_AG-sfaf'!U271/'7c. LX_AG-sfaf'!$M271</f>
        <v>0</v>
      </c>
      <c r="V271" s="468">
        <f>$M271*'7c. LX_AG-sfaf'!V271/'7c. LX_AG-sfaf'!$M271</f>
        <v>0</v>
      </c>
      <c r="W271" s="468">
        <f>$M271*'7c. LX_AG-sfaf'!W271/'7c. LX_AG-sfaf'!$M271</f>
        <v>0</v>
      </c>
      <c r="X271" s="468">
        <f>'7a. LX_AG-i'!M272</f>
        <v>0</v>
      </c>
      <c r="Y271" s="171">
        <f>$X271*'7c. LX_AG-sfaf'!Y271/'7c. LX_AG-sfaf'!$X271</f>
        <v>0</v>
      </c>
      <c r="Z271" s="171">
        <f>$X271*'7c. LX_AG-sfaf'!Z271/'7c. LX_AG-sfaf'!$X271</f>
        <v>0</v>
      </c>
      <c r="AA271" s="171">
        <f>'7a. LX_AG-i'!N272</f>
        <v>0</v>
      </c>
      <c r="AB271" s="171">
        <f>'7a. LX_AG-i'!O272</f>
        <v>0</v>
      </c>
      <c r="AC271" s="171">
        <f>$AB271*'7c. LX_AG-sfaf'!AC271/'7c. LX_AG-sfaf'!$AB271</f>
        <v>0</v>
      </c>
      <c r="AD271" s="171">
        <f>$AB271*'7c. LX_AG-sfaf'!AD271/'7c. LX_AG-sfaf'!$AB271</f>
        <v>0</v>
      </c>
      <c r="AE271" s="171">
        <f>$AB271*'7c. LX_AG-sfaf'!AE271/'7c. LX_AG-sfaf'!$AB271</f>
        <v>0</v>
      </c>
      <c r="AF271" s="171">
        <f>'7a. LX_AG-i'!P272</f>
        <v>0</v>
      </c>
      <c r="AG271" s="171">
        <f>$AF271*'7c. LX_AG-sfaf'!AG271/'7c. LX_AG-sfaf'!$AF271</f>
        <v>0</v>
      </c>
      <c r="AH271" s="171">
        <f>'7a. LX_AG-i'!Q272</f>
        <v>0</v>
      </c>
      <c r="AI271" s="62"/>
      <c r="AJ271" s="468">
        <f>'7a. LX_AG-i'!I272</f>
        <v>0</v>
      </c>
      <c r="AK271" s="62">
        <f t="shared" si="55"/>
        <v>0</v>
      </c>
      <c r="AL271" s="62">
        <f t="shared" si="53"/>
        <v>0</v>
      </c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</row>
    <row r="272" spans="1:78" x14ac:dyDescent="0.3">
      <c r="A272" s="462" t="s">
        <v>69</v>
      </c>
      <c r="B272" s="461"/>
      <c r="C272" s="62"/>
      <c r="D272" s="468"/>
      <c r="E272" s="468"/>
      <c r="F272" s="620"/>
      <c r="G272" s="620"/>
      <c r="H272" s="620"/>
      <c r="I272" s="468"/>
      <c r="J272" s="468"/>
      <c r="K272" s="468"/>
      <c r="L272" s="468"/>
      <c r="M272" s="468"/>
      <c r="N272" s="468"/>
      <c r="O272" s="468"/>
      <c r="P272" s="468"/>
      <c r="Q272" s="468"/>
      <c r="R272" s="468"/>
      <c r="S272" s="468"/>
      <c r="T272" s="468"/>
      <c r="U272" s="468"/>
      <c r="V272" s="468"/>
      <c r="W272" s="468"/>
      <c r="X272" s="468"/>
      <c r="Y272" s="171"/>
      <c r="Z272" s="171"/>
      <c r="AA272" s="171"/>
      <c r="AB272" s="171"/>
      <c r="AC272" s="171"/>
      <c r="AD272" s="171"/>
      <c r="AE272" s="171"/>
      <c r="AF272" s="171"/>
      <c r="AG272" s="171"/>
      <c r="AH272" s="171"/>
      <c r="AI272" s="62"/>
      <c r="AJ272" s="62"/>
      <c r="AK272" s="62">
        <f t="shared" si="55"/>
        <v>0</v>
      </c>
      <c r="AL272" s="62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</row>
    <row r="273" spans="1:78" x14ac:dyDescent="0.3">
      <c r="A273" s="462"/>
      <c r="B273" s="487" t="s">
        <v>754</v>
      </c>
      <c r="C273" s="62"/>
      <c r="D273" s="695">
        <v>3840858.4116719035</v>
      </c>
      <c r="E273" s="695">
        <v>2525042.2691696039</v>
      </c>
      <c r="F273" s="695"/>
      <c r="G273" s="695"/>
      <c r="H273" s="695"/>
      <c r="I273" s="695">
        <v>1315816.1425023</v>
      </c>
      <c r="J273" s="695">
        <v>0</v>
      </c>
      <c r="K273" s="695"/>
      <c r="L273" s="695">
        <v>1308781.1188046108</v>
      </c>
      <c r="M273" s="695">
        <v>5393620.3916297788</v>
      </c>
      <c r="N273" s="695">
        <v>1693986.6623619525</v>
      </c>
      <c r="O273" s="695">
        <v>1542641.8017301878</v>
      </c>
      <c r="P273" s="695">
        <v>424609.22413438471</v>
      </c>
      <c r="Q273" s="695">
        <v>83162.690148907466</v>
      </c>
      <c r="R273" s="695">
        <v>1096377.4136387208</v>
      </c>
      <c r="S273" s="695">
        <v>291793.18799721438</v>
      </c>
      <c r="T273" s="695">
        <v>90909.131415186988</v>
      </c>
      <c r="U273" s="695">
        <v>0</v>
      </c>
      <c r="V273" s="695">
        <v>153182.9316963921</v>
      </c>
      <c r="W273" s="695">
        <v>16957.348506833037</v>
      </c>
      <c r="X273" s="695">
        <v>469338.16732646339</v>
      </c>
      <c r="Y273" s="680">
        <v>228154.22511723917</v>
      </c>
      <c r="Z273" s="680">
        <v>241183.94220922419</v>
      </c>
      <c r="AA273" s="680">
        <v>178396.34789961218</v>
      </c>
      <c r="AB273" s="680">
        <v>532027.53982777765</v>
      </c>
      <c r="AC273" s="680">
        <v>482767.11424748704</v>
      </c>
      <c r="AD273" s="680">
        <v>49260.425580290655</v>
      </c>
      <c r="AE273" s="680">
        <v>0</v>
      </c>
      <c r="AF273" s="680">
        <v>295061.04283985472</v>
      </c>
      <c r="AG273" s="680">
        <v>295061.04283985466</v>
      </c>
      <c r="AH273" s="680">
        <v>0</v>
      </c>
      <c r="AI273" s="62"/>
      <c r="AJ273" s="171">
        <f>SUM(AJ260:AJ271,AJ247:AJ252)</f>
        <v>12018083.02</v>
      </c>
      <c r="AK273" s="62">
        <f t="shared" si="55"/>
        <v>12018083.020000003</v>
      </c>
      <c r="AL273" s="62">
        <f>AJ273-AK273</f>
        <v>0</v>
      </c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</row>
    <row r="274" spans="1:78" x14ac:dyDescent="0.3">
      <c r="A274" s="462"/>
      <c r="B274" s="461"/>
      <c r="C274" s="62"/>
      <c r="D274" s="468"/>
      <c r="E274" s="468"/>
      <c r="F274" s="620"/>
      <c r="G274" s="620"/>
      <c r="H274" s="620"/>
      <c r="I274" s="468"/>
      <c r="J274" s="468"/>
      <c r="K274" s="468"/>
      <c r="L274" s="468"/>
      <c r="M274" s="468"/>
      <c r="N274" s="468"/>
      <c r="O274" s="468"/>
      <c r="P274" s="468"/>
      <c r="Q274" s="468"/>
      <c r="R274" s="468"/>
      <c r="S274" s="468"/>
      <c r="T274" s="468"/>
      <c r="U274" s="468"/>
      <c r="V274" s="468"/>
      <c r="W274" s="468"/>
      <c r="X274" s="468"/>
      <c r="Y274" s="171"/>
      <c r="Z274" s="171"/>
      <c r="AA274" s="171"/>
      <c r="AB274" s="171"/>
      <c r="AC274" s="171"/>
      <c r="AD274" s="171"/>
      <c r="AE274" s="171"/>
      <c r="AF274" s="171"/>
      <c r="AG274" s="171"/>
      <c r="AH274" s="171"/>
      <c r="AI274" s="62"/>
      <c r="AJ274" s="468"/>
      <c r="AK274" s="62"/>
      <c r="AL274" s="62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</row>
    <row r="275" spans="1:78" x14ac:dyDescent="0.3">
      <c r="A275" s="460" t="s">
        <v>55</v>
      </c>
      <c r="B275" s="461"/>
      <c r="C275" s="62"/>
      <c r="D275" s="468">
        <f t="shared" ref="D275:V275" si="56">D273+D240+D220</f>
        <v>3840858.4116719035</v>
      </c>
      <c r="E275" s="468">
        <f t="shared" si="56"/>
        <v>2525042.2691696039</v>
      </c>
      <c r="F275" s="620"/>
      <c r="G275" s="620"/>
      <c r="H275" s="620"/>
      <c r="I275" s="468">
        <f t="shared" si="56"/>
        <v>1315816.1425023</v>
      </c>
      <c r="J275" s="468">
        <f t="shared" si="56"/>
        <v>0</v>
      </c>
      <c r="K275" s="468"/>
      <c r="L275" s="468">
        <f t="shared" si="56"/>
        <v>1308781.1188046108</v>
      </c>
      <c r="M275" s="468">
        <f t="shared" si="56"/>
        <v>5393620.3916297788</v>
      </c>
      <c r="N275" s="468">
        <f t="shared" si="56"/>
        <v>1693986.6623619525</v>
      </c>
      <c r="O275" s="468">
        <f t="shared" si="56"/>
        <v>1542641.8017301878</v>
      </c>
      <c r="P275" s="468">
        <f t="shared" si="56"/>
        <v>424609.22413438471</v>
      </c>
      <c r="Q275" s="468">
        <f t="shared" si="56"/>
        <v>83162.690148907466</v>
      </c>
      <c r="R275" s="468">
        <f t="shared" si="56"/>
        <v>1096377.4136387208</v>
      </c>
      <c r="S275" s="468">
        <f t="shared" si="56"/>
        <v>291793.18799721438</v>
      </c>
      <c r="T275" s="468">
        <f t="shared" si="56"/>
        <v>90909.131415186988</v>
      </c>
      <c r="U275" s="468">
        <f t="shared" si="56"/>
        <v>0</v>
      </c>
      <c r="V275" s="468">
        <f t="shared" si="56"/>
        <v>153182.9316963921</v>
      </c>
      <c r="W275" s="468">
        <f>W273+W240+W220</f>
        <v>16957.348506833037</v>
      </c>
      <c r="X275" s="468">
        <f t="shared" ref="X275:AF275" si="57">X273+X240+X220</f>
        <v>6318478.49389634</v>
      </c>
      <c r="Y275" s="171">
        <f t="shared" si="57"/>
        <v>228154.22511723917</v>
      </c>
      <c r="Z275" s="171">
        <f t="shared" si="57"/>
        <v>6090324.2687791009</v>
      </c>
      <c r="AA275" s="171">
        <f t="shared" si="57"/>
        <v>3218513.6977378759</v>
      </c>
      <c r="AB275" s="171">
        <f t="shared" si="57"/>
        <v>16058910.533401698</v>
      </c>
      <c r="AC275" s="171">
        <f>AC273+AC240+AC220</f>
        <v>14572016.137883646</v>
      </c>
      <c r="AD275" s="171">
        <f>AD273+AD240+AD220</f>
        <v>1486894.3955180522</v>
      </c>
      <c r="AE275" s="171">
        <f>AE273+AE240+AE220</f>
        <v>0</v>
      </c>
      <c r="AF275" s="171">
        <f t="shared" si="57"/>
        <v>2498590.7128398549</v>
      </c>
      <c r="AG275" s="171">
        <f>AG273+AG240+AG220</f>
        <v>2498590.7128398544</v>
      </c>
      <c r="AH275" s="171">
        <f>AH273+AH240+AH220</f>
        <v>0</v>
      </c>
      <c r="AI275" s="62"/>
      <c r="AJ275" s="171">
        <f>AJ273+AJ240+AJ220</f>
        <v>38637753.359982058</v>
      </c>
      <c r="AK275" s="62">
        <f>SUM(I275:K275,L275,N275:W275,Y275:Z275,AA275:AA275,AC275:AE275,AG275:AH275,E275)</f>
        <v>38637753.359982066</v>
      </c>
      <c r="AL275" s="62">
        <f>AJ275-AK275</f>
        <v>0</v>
      </c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</row>
    <row r="276" spans="1:78" x14ac:dyDescent="0.3">
      <c r="A276" s="462"/>
      <c r="B276" s="461"/>
      <c r="C276" s="62"/>
      <c r="D276" s="468"/>
      <c r="E276" s="468"/>
      <c r="F276" s="620"/>
      <c r="G276" s="620"/>
      <c r="H276" s="620"/>
      <c r="I276" s="468"/>
      <c r="J276" s="468"/>
      <c r="K276" s="468"/>
      <c r="L276" s="468"/>
      <c r="M276" s="468"/>
      <c r="N276" s="468"/>
      <c r="O276" s="468"/>
      <c r="P276" s="468"/>
      <c r="Q276" s="468"/>
      <c r="R276" s="468"/>
      <c r="S276" s="468"/>
      <c r="T276" s="468"/>
      <c r="U276" s="468"/>
      <c r="V276" s="468"/>
      <c r="W276" s="468"/>
      <c r="X276" s="468"/>
      <c r="Y276" s="171"/>
      <c r="Z276" s="171"/>
      <c r="AA276" s="171"/>
      <c r="AB276" s="171"/>
      <c r="AC276" s="171"/>
      <c r="AD276" s="171"/>
      <c r="AE276" s="171"/>
      <c r="AF276" s="171"/>
      <c r="AG276" s="171"/>
      <c r="AH276" s="171"/>
      <c r="AI276" s="62"/>
      <c r="AJ276" s="62"/>
      <c r="AK276" s="62"/>
      <c r="AL276" s="62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</row>
    <row r="277" spans="1:78" x14ac:dyDescent="0.3">
      <c r="A277" s="463" t="s">
        <v>56</v>
      </c>
      <c r="B277" s="62"/>
      <c r="C277" s="62"/>
      <c r="D277" s="468">
        <f>D275+D152</f>
        <v>70033274.571671903</v>
      </c>
      <c r="E277" s="468">
        <f>E275+E152</f>
        <v>46041004.272494443</v>
      </c>
      <c r="F277" s="620"/>
      <c r="G277" s="620"/>
      <c r="H277" s="620"/>
      <c r="I277" s="468">
        <f>I275+I152</f>
        <v>23992270.29917746</v>
      </c>
      <c r="J277" s="468">
        <f>J275+J152</f>
        <v>0</v>
      </c>
      <c r="K277" s="468"/>
      <c r="L277" s="468">
        <f t="shared" ref="L277:AH277" si="58">L275+L152</f>
        <v>11080830.288804611</v>
      </c>
      <c r="M277" s="468">
        <f t="shared" si="58"/>
        <v>56938056.300158314</v>
      </c>
      <c r="N277" s="468">
        <f t="shared" si="58"/>
        <v>17882665.250777379</v>
      </c>
      <c r="O277" s="468">
        <f t="shared" si="58"/>
        <v>16284984.737561436</v>
      </c>
      <c r="P277" s="468">
        <f t="shared" si="58"/>
        <v>4482411.0993886236</v>
      </c>
      <c r="Q277" s="468">
        <f t="shared" si="58"/>
        <v>877911.60481361079</v>
      </c>
      <c r="R277" s="468">
        <f t="shared" si="58"/>
        <v>11573969.684789112</v>
      </c>
      <c r="S277" s="468">
        <f t="shared" si="58"/>
        <v>3080331.1616017926</v>
      </c>
      <c r="T277" s="468">
        <f t="shared" si="58"/>
        <v>959687.34669373522</v>
      </c>
      <c r="U277" s="468">
        <f t="shared" si="58"/>
        <v>0</v>
      </c>
      <c r="V277" s="468">
        <f t="shared" si="58"/>
        <v>1617084.2135438067</v>
      </c>
      <c r="W277" s="468">
        <f t="shared" si="58"/>
        <v>179011.20098882532</v>
      </c>
      <c r="X277" s="468">
        <f t="shared" si="58"/>
        <v>11851624.9653678</v>
      </c>
      <c r="Y277" s="468">
        <f t="shared" si="58"/>
        <v>5761300.6965886988</v>
      </c>
      <c r="Z277" s="468">
        <f t="shared" si="58"/>
        <v>6090324.2687791009</v>
      </c>
      <c r="AA277" s="468">
        <f t="shared" si="58"/>
        <v>3218513.6977378759</v>
      </c>
      <c r="AB277" s="468">
        <f t="shared" si="58"/>
        <v>16058910.533401698</v>
      </c>
      <c r="AC277" s="468">
        <f t="shared" si="58"/>
        <v>14572016.137883646</v>
      </c>
      <c r="AD277" s="468">
        <f t="shared" si="58"/>
        <v>1486894.3955180522</v>
      </c>
      <c r="AE277" s="468">
        <f t="shared" si="58"/>
        <v>0</v>
      </c>
      <c r="AF277" s="468">
        <f t="shared" si="58"/>
        <v>2498590.7128398549</v>
      </c>
      <c r="AG277" s="468">
        <f t="shared" si="58"/>
        <v>2498590.7128398544</v>
      </c>
      <c r="AH277" s="171">
        <f t="shared" si="58"/>
        <v>0</v>
      </c>
      <c r="AI277" s="62"/>
      <c r="AJ277" s="171">
        <f>AJ275+AJ152</f>
        <v>171679801.06998205</v>
      </c>
      <c r="AK277" s="62">
        <f>SUM(I277:K277,L277,N277:W277,Y277:Z277,AA277:AA277,AC277:AE277,AG277:AH277,E277)</f>
        <v>171679801.06998205</v>
      </c>
      <c r="AL277" s="62">
        <f>AJ277-AK277</f>
        <v>0</v>
      </c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</row>
    <row r="278" spans="1:78" x14ac:dyDescent="0.3">
      <c r="A278" s="62"/>
      <c r="B278" s="62"/>
      <c r="C278" s="62"/>
      <c r="D278" s="468"/>
      <c r="E278" s="468"/>
      <c r="F278" s="468"/>
      <c r="G278" s="468"/>
      <c r="H278" s="468"/>
      <c r="I278" s="468"/>
      <c r="J278" s="468"/>
      <c r="K278" s="468"/>
      <c r="L278" s="468"/>
      <c r="M278" s="468"/>
      <c r="N278" s="468"/>
      <c r="O278" s="468"/>
      <c r="P278" s="468"/>
      <c r="Q278" s="468"/>
      <c r="R278" s="468"/>
      <c r="S278" s="468"/>
      <c r="T278" s="468"/>
      <c r="U278" s="468"/>
      <c r="V278" s="468"/>
      <c r="W278" s="468"/>
      <c r="X278" s="468"/>
      <c r="Y278" s="468"/>
      <c r="Z278" s="468"/>
      <c r="AA278" s="468"/>
      <c r="AB278" s="468"/>
      <c r="AC278" s="468"/>
      <c r="AD278" s="468"/>
      <c r="AE278" s="468"/>
      <c r="AF278" s="468"/>
      <c r="AG278" s="468"/>
      <c r="AH278" s="62"/>
      <c r="AI278" s="62"/>
      <c r="AJ278" s="62"/>
      <c r="AK278" s="62"/>
      <c r="AL278" s="62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</row>
    <row r="279" spans="1:78" x14ac:dyDescent="0.3">
      <c r="A279" s="62"/>
      <c r="B279" s="62"/>
      <c r="C279" s="62"/>
      <c r="D279" s="468"/>
      <c r="E279" s="468"/>
      <c r="F279" s="468"/>
      <c r="G279" s="468"/>
      <c r="H279" s="468"/>
      <c r="I279" s="468"/>
      <c r="J279" s="468"/>
      <c r="K279" s="468"/>
      <c r="L279" s="468"/>
      <c r="M279" s="468"/>
      <c r="N279" s="468"/>
      <c r="O279" s="468"/>
      <c r="P279" s="468"/>
      <c r="Q279" s="468"/>
      <c r="R279" s="468"/>
      <c r="S279" s="468"/>
      <c r="T279" s="468"/>
      <c r="U279" s="468"/>
      <c r="V279" s="468"/>
      <c r="W279" s="468"/>
      <c r="X279" s="468"/>
      <c r="Y279" s="468"/>
      <c r="Z279" s="468"/>
      <c r="AA279" s="468"/>
      <c r="AB279" s="468"/>
      <c r="AC279" s="468"/>
      <c r="AD279" s="468"/>
      <c r="AE279" s="468"/>
      <c r="AF279" s="468"/>
      <c r="AG279" s="468"/>
      <c r="AH279" s="62"/>
      <c r="AI279" s="62"/>
      <c r="AJ279" s="62"/>
      <c r="AK279" s="62"/>
      <c r="AL279" s="62"/>
    </row>
    <row r="280" spans="1:78" x14ac:dyDescent="0.3">
      <c r="A280" s="62"/>
      <c r="B280" s="62"/>
      <c r="C280" s="62"/>
      <c r="D280" s="171"/>
      <c r="E280" s="481"/>
      <c r="F280" s="481"/>
      <c r="G280" s="481"/>
      <c r="H280" s="481"/>
      <c r="I280" s="481"/>
      <c r="J280" s="481"/>
      <c r="K280" s="481"/>
      <c r="L280" s="171"/>
      <c r="M280" s="171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</row>
    <row r="281" spans="1:78" x14ac:dyDescent="0.3">
      <c r="A281" s="62"/>
      <c r="B281" s="62"/>
      <c r="C281" s="62"/>
      <c r="D281" s="171"/>
      <c r="E281" s="481"/>
      <c r="F281" s="481"/>
      <c r="G281" s="481"/>
      <c r="H281" s="481"/>
      <c r="I281" s="481"/>
      <c r="J281" s="481"/>
      <c r="K281" s="481"/>
      <c r="L281" s="171"/>
      <c r="M281" s="171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</row>
    <row r="282" spans="1:78" x14ac:dyDescent="0.3">
      <c r="A282" s="62"/>
      <c r="B282" s="62"/>
      <c r="C282" s="62"/>
      <c r="D282" s="171"/>
      <c r="E282" s="481"/>
      <c r="F282" s="481"/>
      <c r="G282" s="481"/>
      <c r="H282" s="481"/>
      <c r="I282" s="481"/>
      <c r="J282" s="481"/>
      <c r="K282" s="481"/>
      <c r="L282" s="171"/>
      <c r="M282" s="171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</row>
    <row r="283" spans="1:78" x14ac:dyDescent="0.3">
      <c r="A283" s="62"/>
      <c r="B283" s="62"/>
      <c r="C283" s="62"/>
      <c r="D283" s="171"/>
      <c r="E283" s="481"/>
      <c r="F283" s="481"/>
      <c r="G283" s="481"/>
      <c r="H283" s="481"/>
      <c r="I283" s="481"/>
      <c r="J283" s="481"/>
      <c r="K283" s="481"/>
      <c r="L283" s="171"/>
      <c r="M283" s="171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</row>
    <row r="284" spans="1:78" x14ac:dyDescent="0.3">
      <c r="A284" s="62"/>
      <c r="B284" s="62"/>
      <c r="C284" s="62"/>
      <c r="D284" s="171"/>
      <c r="E284" s="481"/>
      <c r="F284" s="481"/>
      <c r="G284" s="481"/>
      <c r="H284" s="481"/>
      <c r="I284" s="481"/>
      <c r="J284" s="481"/>
      <c r="K284" s="481"/>
      <c r="L284" s="171"/>
      <c r="M284" s="171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</row>
    <row r="285" spans="1:78" x14ac:dyDescent="0.3">
      <c r="A285" s="62"/>
      <c r="B285" s="62"/>
      <c r="C285" s="62"/>
      <c r="D285" s="171"/>
      <c r="E285" s="481"/>
      <c r="F285" s="481"/>
      <c r="G285" s="481"/>
      <c r="H285" s="481"/>
      <c r="I285" s="481"/>
      <c r="J285" s="481"/>
      <c r="K285" s="481"/>
      <c r="L285" s="171"/>
      <c r="M285" s="171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</row>
    <row r="286" spans="1:78" x14ac:dyDescent="0.3">
      <c r="A286" s="62"/>
      <c r="B286" s="62"/>
      <c r="C286" s="62"/>
      <c r="D286" s="171"/>
      <c r="E286" s="481"/>
      <c r="F286" s="481"/>
      <c r="G286" s="481"/>
      <c r="H286" s="481"/>
      <c r="I286" s="481"/>
      <c r="J286" s="481"/>
      <c r="K286" s="481"/>
      <c r="L286" s="171"/>
      <c r="M286" s="171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</row>
    <row r="287" spans="1:78" x14ac:dyDescent="0.3">
      <c r="A287" s="62"/>
      <c r="B287" s="62"/>
      <c r="C287" s="62"/>
      <c r="D287" s="171"/>
      <c r="E287" s="481"/>
      <c r="F287" s="481"/>
      <c r="G287" s="481"/>
      <c r="H287" s="481"/>
      <c r="I287" s="481"/>
      <c r="J287" s="481"/>
      <c r="K287" s="481"/>
      <c r="L287" s="171"/>
      <c r="M287" s="171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</row>
  </sheetData>
  <customSheetViews>
    <customSheetView guid="{121E4431-22F3-11D5-8242-00600818425F}" scale="75" showRuler="0">
      <pane xSplit="2" ySplit="7" topLeftCell="C223" activePane="bottomRight" state="frozen"/>
      <selection pane="bottomRight" activeCell="A251" sqref="A251"/>
      <rowBreaks count="4" manualBreakCount="4">
        <brk id="53" max="16383" man="1"/>
        <brk id="98" max="16383" man="1"/>
        <brk id="152" max="16383" man="1"/>
        <brk id="195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300" verticalDpi="300" r:id="rId1"/>
      <headerFooter alignWithMargins="0">
        <oddFooter xml:space="preserve">&amp;L&amp;8&amp;F&amp;C&amp;8&amp;A
page &amp;P&amp;R&amp;8&amp;D
&amp;T&amp;10
</oddFooter>
      </headerFooter>
    </customSheetView>
    <customSheetView guid="{26EFD302-2526-11D5-9AB1-0060975861A8}" scale="75" showPageBreaks="1" printArea="1" showRuler="0">
      <pane xSplit="2" ySplit="7" topLeftCell="C218" activePane="bottomRight" state="frozen"/>
      <selection pane="bottomRight" activeCell="E226" sqref="E226"/>
      <rowBreaks count="4" manualBreakCount="4">
        <brk id="53" max="16383" man="1"/>
        <brk id="98" max="16383" man="1"/>
        <brk id="152" max="16383" man="1"/>
        <brk id="195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300" verticalDpi="300" r:id="rId2"/>
      <headerFooter alignWithMargins="0">
        <oddFooter xml:space="preserve">&amp;L&amp;8&amp;F&amp;C&amp;8&amp;A
page &amp;P&amp;R&amp;8&amp;D
&amp;T&amp;10
</oddFooter>
      </headerFooter>
    </customSheetView>
    <customSheetView guid="{44D25261-300E-11D5-83AB-006008184210}" scale="75" showPageBreaks="1" printArea="1" showRuler="0">
      <pane xSplit="2" ySplit="7" topLeftCell="C218" activePane="bottomRight" state="frozen"/>
      <selection pane="bottomRight" activeCell="E226" sqref="E226"/>
      <rowBreaks count="4" manualBreakCount="4">
        <brk id="53" max="16383" man="1"/>
        <brk id="98" max="16383" man="1"/>
        <brk id="152" max="16383" man="1"/>
        <brk id="195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300" verticalDpi="300" r:id="rId3"/>
      <headerFooter alignWithMargins="0">
        <oddFooter xml:space="preserve">&amp;L&amp;8&amp;F&amp;C&amp;8&amp;A
page &amp;P&amp;R&amp;8&amp;D
&amp;T&amp;10
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58" fitToHeight="0" orientation="landscape" horizontalDpi="300" verticalDpi="300" r:id="rId4"/>
  <headerFooter alignWithMargins="0">
    <oddFooter xml:space="preserve">&amp;L&amp;8&amp;F&amp;C&amp;8&amp;A
page &amp;P&amp;R&amp;8&amp;D
&amp;T&amp;10
</oddFooter>
  </headerFooter>
  <rowBreaks count="4" manualBreakCount="4">
    <brk id="53" max="16383" man="1"/>
    <brk id="100" max="16383" man="1"/>
    <brk id="154" max="16383" man="1"/>
    <brk id="211" max="16383" man="1"/>
  </rowBreaks>
  <colBreaks count="2" manualBreakCount="2">
    <brk id="12" max="267" man="1"/>
    <brk id="23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L458"/>
  <sheetViews>
    <sheetView zoomScale="75" zoomScaleNormal="75" workbookViewId="0">
      <pane xSplit="2" ySplit="7" topLeftCell="C8" activePane="bottomRight" state="frozen"/>
      <selection activeCell="C368" sqref="C368"/>
      <selection pane="topRight" activeCell="C368" sqref="C368"/>
      <selection pane="bottomLeft" activeCell="C368" sqref="C368"/>
      <selection pane="bottomRight" activeCell="C8" sqref="C8"/>
    </sheetView>
  </sheetViews>
  <sheetFormatPr defaultColWidth="9.1796875" defaultRowHeight="13" x14ac:dyDescent="0.3"/>
  <cols>
    <col min="1" max="1" width="8" style="4" customWidth="1"/>
    <col min="2" max="2" width="31.54296875" style="4" customWidth="1"/>
    <col min="3" max="3" width="23" style="4" customWidth="1"/>
    <col min="4" max="4" width="15" style="3" customWidth="1"/>
    <col min="5" max="9" width="13.54296875" style="3" customWidth="1"/>
    <col min="10" max="10" width="10.453125" style="3" customWidth="1"/>
    <col min="11" max="11" width="8.81640625" style="3" customWidth="1"/>
    <col min="12" max="12" width="11.54296875" style="3" customWidth="1"/>
    <col min="13" max="13" width="15.453125" style="3" customWidth="1"/>
    <col min="14" max="14" width="14.453125" style="4" bestFit="1" customWidth="1"/>
    <col min="15" max="15" width="16.1796875" style="4" customWidth="1"/>
    <col min="16" max="16" width="12.81640625" style="4" customWidth="1"/>
    <col min="17" max="17" width="15.453125" style="4" customWidth="1"/>
    <col min="18" max="18" width="14.453125" style="4" customWidth="1"/>
    <col min="19" max="19" width="13.81640625" style="4" customWidth="1"/>
    <col min="20" max="20" width="12.453125" style="4" bestFit="1" customWidth="1"/>
    <col min="21" max="21" width="13.54296875" style="4" customWidth="1"/>
    <col min="22" max="22" width="12.81640625" style="4" customWidth="1"/>
    <col min="23" max="23" width="10.81640625" style="4" customWidth="1"/>
    <col min="24" max="24" width="12.81640625" style="1" customWidth="1"/>
    <col min="25" max="25" width="12.453125" style="1" customWidth="1"/>
    <col min="26" max="26" width="13.453125" style="1" customWidth="1"/>
    <col min="27" max="27" width="11.54296875" style="1" customWidth="1"/>
    <col min="28" max="28" width="13.54296875" style="1" customWidth="1"/>
    <col min="29" max="29" width="12.54296875" style="1" customWidth="1"/>
    <col min="30" max="30" width="12.1796875" style="1" customWidth="1"/>
    <col min="31" max="31" width="10.453125" style="1" customWidth="1"/>
    <col min="32" max="32" width="12" style="1" bestFit="1" customWidth="1"/>
    <col min="33" max="33" width="12.453125" style="1" customWidth="1"/>
    <col min="34" max="34" width="7.54296875" style="1" customWidth="1"/>
    <col min="35" max="35" width="9.1796875" style="1"/>
    <col min="36" max="16384" width="9.1796875" style="4"/>
  </cols>
  <sheetData>
    <row r="1" spans="1:38" x14ac:dyDescent="0.3">
      <c r="A1" s="343" t="str">
        <f>'1. RB-i'!A1</f>
        <v>CPS Energy</v>
      </c>
      <c r="B1" s="207"/>
      <c r="C1" s="207"/>
      <c r="D1" s="207"/>
      <c r="E1" s="207"/>
      <c r="F1" s="353"/>
      <c r="G1" s="353"/>
      <c r="H1" s="353"/>
      <c r="I1" s="353"/>
      <c r="J1" s="353"/>
      <c r="K1" s="353"/>
      <c r="L1" s="353"/>
      <c r="M1" s="353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345"/>
    </row>
    <row r="2" spans="1:38" x14ac:dyDescent="0.3">
      <c r="A2" s="346" t="s">
        <v>1301</v>
      </c>
      <c r="B2" s="191"/>
      <c r="C2" s="191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347"/>
    </row>
    <row r="3" spans="1:38" x14ac:dyDescent="0.3">
      <c r="A3" s="346" t="str">
        <f>'7b. LX_AG-sf'!A3</f>
        <v>FYE 2017</v>
      </c>
      <c r="B3" s="191"/>
      <c r="C3" s="191"/>
      <c r="D3" s="256"/>
      <c r="E3" s="445"/>
      <c r="F3" s="445"/>
      <c r="G3" s="445"/>
      <c r="H3" s="445"/>
      <c r="I3" s="445"/>
      <c r="J3" s="445"/>
      <c r="K3" s="445"/>
      <c r="L3" s="256"/>
      <c r="M3" s="257" t="s">
        <v>367</v>
      </c>
      <c r="N3" s="258"/>
      <c r="O3" s="258"/>
      <c r="P3" s="258"/>
      <c r="Q3" s="258"/>
      <c r="R3" s="258"/>
      <c r="S3" s="258"/>
      <c r="T3" s="258"/>
      <c r="U3" s="258"/>
      <c r="V3" s="259"/>
      <c r="W3" s="259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347"/>
      <c r="AJ3" s="31"/>
    </row>
    <row r="4" spans="1:38" x14ac:dyDescent="0.3">
      <c r="A4" s="261"/>
      <c r="B4" s="262"/>
      <c r="C4" s="262"/>
      <c r="D4" s="257" t="s">
        <v>544</v>
      </c>
      <c r="E4" s="258"/>
      <c r="F4" s="258"/>
      <c r="G4" s="258"/>
      <c r="H4" s="258"/>
      <c r="I4" s="259"/>
      <c r="J4" s="258"/>
      <c r="K4" s="259"/>
      <c r="L4" s="262"/>
      <c r="M4" s="191"/>
      <c r="N4" s="257" t="s">
        <v>922</v>
      </c>
      <c r="O4" s="258"/>
      <c r="P4" s="258"/>
      <c r="Q4" s="259"/>
      <c r="R4" s="257" t="s">
        <v>923</v>
      </c>
      <c r="S4" s="258"/>
      <c r="T4" s="258"/>
      <c r="U4" s="258"/>
      <c r="V4" s="259"/>
      <c r="W4" s="265"/>
      <c r="X4" s="257" t="s">
        <v>907</v>
      </c>
      <c r="Y4" s="258"/>
      <c r="Z4" s="259"/>
      <c r="AA4" s="191"/>
      <c r="AB4" s="257" t="s">
        <v>85</v>
      </c>
      <c r="AC4" s="258"/>
      <c r="AD4" s="258"/>
      <c r="AE4" s="258"/>
      <c r="AF4" s="257" t="s">
        <v>912</v>
      </c>
      <c r="AG4" s="259"/>
      <c r="AH4" s="347"/>
      <c r="AJ4" s="31"/>
    </row>
    <row r="5" spans="1:38" x14ac:dyDescent="0.3">
      <c r="A5" s="268"/>
      <c r="B5" s="194"/>
      <c r="C5" s="194"/>
      <c r="D5" s="195" t="s">
        <v>357</v>
      </c>
      <c r="E5" s="417" t="s">
        <v>924</v>
      </c>
      <c r="F5" s="417"/>
      <c r="G5" s="417"/>
      <c r="H5" s="417"/>
      <c r="I5" s="417" t="s">
        <v>924</v>
      </c>
      <c r="J5" s="269"/>
      <c r="K5" s="197" t="s">
        <v>79</v>
      </c>
      <c r="L5" s="198" t="s">
        <v>357</v>
      </c>
      <c r="M5" s="199" t="s">
        <v>357</v>
      </c>
      <c r="N5" s="270"/>
      <c r="O5" s="271" t="s">
        <v>925</v>
      </c>
      <c r="P5" s="271" t="s">
        <v>926</v>
      </c>
      <c r="Q5" s="216"/>
      <c r="R5" s="270" t="s">
        <v>925</v>
      </c>
      <c r="S5" s="271" t="s">
        <v>926</v>
      </c>
      <c r="T5" s="271"/>
      <c r="U5" s="263"/>
      <c r="V5" s="263"/>
      <c r="W5" s="216" t="s">
        <v>1010</v>
      </c>
      <c r="X5" s="271" t="s">
        <v>357</v>
      </c>
      <c r="Y5" s="270"/>
      <c r="Z5" s="270" t="s">
        <v>994</v>
      </c>
      <c r="AA5" s="215" t="s">
        <v>357</v>
      </c>
      <c r="AB5" s="215" t="s">
        <v>357</v>
      </c>
      <c r="AC5" s="215" t="s">
        <v>86</v>
      </c>
      <c r="AD5" s="215" t="s">
        <v>1003</v>
      </c>
      <c r="AE5" s="277"/>
      <c r="AF5" s="215" t="s">
        <v>911</v>
      </c>
      <c r="AG5" s="215"/>
      <c r="AH5" s="217" t="s">
        <v>357</v>
      </c>
      <c r="AJ5" s="5"/>
    </row>
    <row r="6" spans="1:38" x14ac:dyDescent="0.3">
      <c r="A6" s="268" t="s">
        <v>539</v>
      </c>
      <c r="B6" s="186" t="s">
        <v>359</v>
      </c>
      <c r="C6" s="194"/>
      <c r="D6" s="200" t="s">
        <v>544</v>
      </c>
      <c r="E6" s="417" t="s">
        <v>928</v>
      </c>
      <c r="F6" s="417" t="s">
        <v>1140</v>
      </c>
      <c r="G6" s="417" t="s">
        <v>1139</v>
      </c>
      <c r="H6" s="417" t="s">
        <v>947</v>
      </c>
      <c r="I6" s="417" t="s">
        <v>927</v>
      </c>
      <c r="J6" s="417" t="s">
        <v>617</v>
      </c>
      <c r="K6" s="187" t="s">
        <v>80</v>
      </c>
      <c r="L6" s="198" t="s">
        <v>366</v>
      </c>
      <c r="M6" s="199" t="s">
        <v>367</v>
      </c>
      <c r="N6" s="200" t="s">
        <v>929</v>
      </c>
      <c r="O6" s="417" t="s">
        <v>930</v>
      </c>
      <c r="P6" s="417" t="s">
        <v>930</v>
      </c>
      <c r="Q6" s="187" t="s">
        <v>931</v>
      </c>
      <c r="R6" s="200" t="s">
        <v>930</v>
      </c>
      <c r="S6" s="417" t="s">
        <v>930</v>
      </c>
      <c r="T6" s="417" t="s">
        <v>931</v>
      </c>
      <c r="U6" s="417" t="s">
        <v>456</v>
      </c>
      <c r="V6" s="417" t="s">
        <v>932</v>
      </c>
      <c r="W6" s="187" t="s">
        <v>1011</v>
      </c>
      <c r="X6" s="417" t="s">
        <v>907</v>
      </c>
      <c r="Y6" s="200" t="s">
        <v>907</v>
      </c>
      <c r="Z6" s="200" t="s">
        <v>995</v>
      </c>
      <c r="AA6" s="186" t="s">
        <v>84</v>
      </c>
      <c r="AB6" s="186" t="s">
        <v>82</v>
      </c>
      <c r="AC6" s="186" t="s">
        <v>87</v>
      </c>
      <c r="AD6" s="186" t="s">
        <v>1004</v>
      </c>
      <c r="AE6" s="186" t="s">
        <v>1005</v>
      </c>
      <c r="AF6" s="186" t="s">
        <v>912</v>
      </c>
      <c r="AG6" s="186" t="s">
        <v>1006</v>
      </c>
      <c r="AH6" s="219" t="s">
        <v>913</v>
      </c>
      <c r="AJ6" s="5"/>
      <c r="AK6" s="6"/>
      <c r="AL6" s="6"/>
    </row>
    <row r="7" spans="1:38" ht="13.5" thickBot="1" x14ac:dyDescent="0.35">
      <c r="A7" s="278" t="s">
        <v>545</v>
      </c>
      <c r="B7" s="279"/>
      <c r="C7" s="279"/>
      <c r="D7" s="281" t="s">
        <v>815</v>
      </c>
      <c r="E7" s="282" t="s">
        <v>816</v>
      </c>
      <c r="F7" s="282"/>
      <c r="G7" s="282"/>
      <c r="H7" s="282"/>
      <c r="I7" s="282" t="s">
        <v>817</v>
      </c>
      <c r="J7" s="282" t="s">
        <v>818</v>
      </c>
      <c r="K7" s="282" t="s">
        <v>819</v>
      </c>
      <c r="L7" s="234" t="s">
        <v>820</v>
      </c>
      <c r="M7" s="282" t="s">
        <v>821</v>
      </c>
      <c r="N7" s="281" t="s">
        <v>822</v>
      </c>
      <c r="O7" s="282" t="s">
        <v>823</v>
      </c>
      <c r="P7" s="282" t="s">
        <v>908</v>
      </c>
      <c r="Q7" s="282" t="s">
        <v>914</v>
      </c>
      <c r="R7" s="281" t="s">
        <v>915</v>
      </c>
      <c r="S7" s="282" t="s">
        <v>916</v>
      </c>
      <c r="T7" s="282" t="s">
        <v>917</v>
      </c>
      <c r="U7" s="282" t="s">
        <v>918</v>
      </c>
      <c r="V7" s="282" t="s">
        <v>934</v>
      </c>
      <c r="W7" s="283" t="s">
        <v>935</v>
      </c>
      <c r="X7" s="282" t="s">
        <v>936</v>
      </c>
      <c r="Y7" s="234" t="s">
        <v>937</v>
      </c>
      <c r="Z7" s="234" t="s">
        <v>938</v>
      </c>
      <c r="AA7" s="234" t="s">
        <v>939</v>
      </c>
      <c r="AB7" s="234" t="s">
        <v>985</v>
      </c>
      <c r="AC7" s="234" t="s">
        <v>986</v>
      </c>
      <c r="AD7" s="234" t="s">
        <v>987</v>
      </c>
      <c r="AE7" s="234" t="s">
        <v>988</v>
      </c>
      <c r="AF7" s="234" t="s">
        <v>989</v>
      </c>
      <c r="AG7" s="234" t="s">
        <v>990</v>
      </c>
      <c r="AH7" s="235" t="s">
        <v>991</v>
      </c>
      <c r="AJ7" s="45"/>
    </row>
    <row r="8" spans="1:38" x14ac:dyDescent="0.3">
      <c r="A8" s="44"/>
      <c r="B8" s="31"/>
      <c r="C8" s="31"/>
      <c r="D8" s="626"/>
      <c r="E8" s="626"/>
      <c r="F8" s="626"/>
      <c r="G8" s="626"/>
      <c r="H8" s="626"/>
      <c r="I8" s="626"/>
      <c r="J8" s="626"/>
      <c r="K8" s="626"/>
      <c r="L8" s="7"/>
      <c r="M8" s="2"/>
      <c r="N8" s="5"/>
      <c r="O8" s="5"/>
      <c r="P8" s="5"/>
      <c r="Q8" s="5"/>
      <c r="R8" s="5"/>
      <c r="S8" s="5"/>
      <c r="T8" s="5"/>
      <c r="U8" s="5"/>
      <c r="V8" s="5"/>
      <c r="W8" s="5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</row>
    <row r="9" spans="1:38" x14ac:dyDescent="0.3">
      <c r="A9" s="460" t="s">
        <v>547</v>
      </c>
      <c r="B9" s="461"/>
      <c r="C9" s="461"/>
      <c r="D9" s="627"/>
      <c r="E9" s="627"/>
      <c r="F9" s="627"/>
      <c r="G9" s="627"/>
      <c r="H9" s="627"/>
      <c r="I9" s="627"/>
      <c r="J9" s="627"/>
      <c r="K9" s="627"/>
      <c r="L9" s="171"/>
      <c r="M9" s="171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</row>
    <row r="10" spans="1:38" x14ac:dyDescent="0.3">
      <c r="A10" s="462"/>
      <c r="B10" s="461"/>
      <c r="C10" s="461"/>
      <c r="D10" s="627"/>
      <c r="E10" s="627"/>
      <c r="F10" s="627"/>
      <c r="G10" s="627"/>
      <c r="H10" s="627"/>
      <c r="I10" s="627"/>
      <c r="J10" s="627"/>
      <c r="K10" s="627"/>
      <c r="L10" s="171"/>
      <c r="M10" s="171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</row>
    <row r="11" spans="1:38" x14ac:dyDescent="0.3">
      <c r="A11" s="462"/>
      <c r="B11" s="463" t="s">
        <v>548</v>
      </c>
      <c r="C11" s="463"/>
      <c r="D11" s="627"/>
      <c r="E11" s="627"/>
      <c r="F11" s="627"/>
      <c r="G11" s="627"/>
      <c r="H11" s="627"/>
      <c r="I11" s="627"/>
      <c r="J11" s="627"/>
      <c r="K11" s="627"/>
      <c r="L11" s="171"/>
      <c r="M11" s="171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</row>
    <row r="12" spans="1:38" x14ac:dyDescent="0.3">
      <c r="A12" s="462"/>
      <c r="B12" s="464" t="s">
        <v>549</v>
      </c>
      <c r="C12" s="464"/>
      <c r="D12" s="627"/>
      <c r="E12" s="627"/>
      <c r="F12" s="627"/>
      <c r="G12" s="627"/>
      <c r="H12" s="627"/>
      <c r="I12" s="627"/>
      <c r="J12" s="627"/>
      <c r="K12" s="627"/>
      <c r="L12" s="171"/>
      <c r="M12" s="171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</row>
    <row r="13" spans="1:38" x14ac:dyDescent="0.3">
      <c r="A13" s="462" t="s">
        <v>550</v>
      </c>
      <c r="B13" s="466" t="s">
        <v>551</v>
      </c>
      <c r="C13" s="466"/>
      <c r="D13" s="628"/>
      <c r="E13" s="628"/>
      <c r="F13" s="628"/>
      <c r="G13" s="628"/>
      <c r="H13" s="628"/>
      <c r="I13" s="628"/>
      <c r="J13" s="629"/>
      <c r="K13" s="629"/>
      <c r="L13" s="468"/>
      <c r="M13" s="468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</row>
    <row r="14" spans="1:38" x14ac:dyDescent="0.3">
      <c r="A14" s="462" t="s">
        <v>552</v>
      </c>
      <c r="B14" s="461" t="s">
        <v>553</v>
      </c>
      <c r="C14" s="461"/>
      <c r="D14" s="629"/>
      <c r="E14" s="629"/>
      <c r="F14" s="629"/>
      <c r="G14" s="629"/>
      <c r="H14" s="629"/>
      <c r="I14" s="629"/>
      <c r="J14" s="629"/>
      <c r="K14" s="629"/>
      <c r="L14" s="468"/>
      <c r="M14" s="468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</row>
    <row r="15" spans="1:38" x14ac:dyDescent="0.3">
      <c r="A15" s="462" t="s">
        <v>552</v>
      </c>
      <c r="B15" s="466" t="s">
        <v>554</v>
      </c>
      <c r="C15" s="466"/>
      <c r="D15" s="629"/>
      <c r="E15" s="629"/>
      <c r="F15" s="629"/>
      <c r="G15" s="629"/>
      <c r="H15" s="629"/>
      <c r="I15" s="629"/>
      <c r="J15" s="629"/>
      <c r="K15" s="629"/>
      <c r="L15" s="468"/>
      <c r="M15" s="468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</row>
    <row r="16" spans="1:38" x14ac:dyDescent="0.3">
      <c r="A16" s="462" t="s">
        <v>555</v>
      </c>
      <c r="B16" s="461" t="s">
        <v>556</v>
      </c>
      <c r="C16" s="461"/>
      <c r="D16" s="629"/>
      <c r="E16" s="629"/>
      <c r="F16" s="629"/>
      <c r="G16" s="629"/>
      <c r="H16" s="629"/>
      <c r="I16" s="629"/>
      <c r="J16" s="629"/>
      <c r="K16" s="629"/>
      <c r="L16" s="468"/>
      <c r="M16" s="468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</row>
    <row r="17" spans="1:34" x14ac:dyDescent="0.3">
      <c r="A17" s="462" t="s">
        <v>557</v>
      </c>
      <c r="B17" s="461" t="s">
        <v>558</v>
      </c>
      <c r="C17" s="461"/>
      <c r="D17" s="629"/>
      <c r="E17" s="629"/>
      <c r="F17" s="629"/>
      <c r="G17" s="629"/>
      <c r="H17" s="629"/>
      <c r="I17" s="629"/>
      <c r="J17" s="629"/>
      <c r="K17" s="629"/>
      <c r="L17" s="468"/>
      <c r="M17" s="468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</row>
    <row r="18" spans="1:34" x14ac:dyDescent="0.3">
      <c r="A18" s="462" t="s">
        <v>559</v>
      </c>
      <c r="B18" s="461" t="s">
        <v>560</v>
      </c>
      <c r="C18" s="461"/>
      <c r="D18" s="629"/>
      <c r="E18" s="629"/>
      <c r="F18" s="629"/>
      <c r="G18" s="629"/>
      <c r="H18" s="629"/>
      <c r="I18" s="629"/>
      <c r="J18" s="629"/>
      <c r="K18" s="629"/>
      <c r="L18" s="468"/>
      <c r="M18" s="468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</row>
    <row r="19" spans="1:34" x14ac:dyDescent="0.3">
      <c r="A19" s="462" t="s">
        <v>561</v>
      </c>
      <c r="B19" s="461" t="s">
        <v>562</v>
      </c>
      <c r="C19" s="461"/>
      <c r="D19" s="629"/>
      <c r="E19" s="629"/>
      <c r="F19" s="629"/>
      <c r="G19" s="629"/>
      <c r="H19" s="629"/>
      <c r="I19" s="629"/>
      <c r="J19" s="629"/>
      <c r="K19" s="629"/>
      <c r="L19" s="468"/>
      <c r="M19" s="468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</row>
    <row r="20" spans="1:34" x14ac:dyDescent="0.3">
      <c r="A20" s="462" t="s">
        <v>563</v>
      </c>
      <c r="B20" s="461" t="s">
        <v>564</v>
      </c>
      <c r="C20" s="461"/>
      <c r="D20" s="629"/>
      <c r="E20" s="629"/>
      <c r="F20" s="629"/>
      <c r="G20" s="629"/>
      <c r="H20" s="629"/>
      <c r="I20" s="629"/>
      <c r="J20" s="629"/>
      <c r="K20" s="629"/>
      <c r="L20" s="468"/>
      <c r="M20" s="468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</row>
    <row r="21" spans="1:34" s="1" customFormat="1" x14ac:dyDescent="0.3">
      <c r="A21" s="462" t="s">
        <v>887</v>
      </c>
      <c r="B21" s="461" t="s">
        <v>888</v>
      </c>
      <c r="C21" s="461"/>
      <c r="D21" s="629"/>
      <c r="E21" s="629"/>
      <c r="F21" s="629"/>
      <c r="G21" s="629"/>
      <c r="H21" s="629"/>
      <c r="I21" s="629"/>
      <c r="J21" s="629"/>
      <c r="K21" s="629"/>
      <c r="L21" s="468"/>
      <c r="M21" s="468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</row>
    <row r="22" spans="1:34" x14ac:dyDescent="0.3">
      <c r="A22" s="462"/>
      <c r="B22" s="474" t="s">
        <v>524</v>
      </c>
      <c r="C22" s="474"/>
      <c r="D22" s="627"/>
      <c r="E22" s="627"/>
      <c r="F22" s="627"/>
      <c r="G22" s="627"/>
      <c r="H22" s="627"/>
      <c r="I22" s="627"/>
      <c r="J22" s="627"/>
      <c r="K22" s="627"/>
      <c r="L22" s="171"/>
      <c r="M22" s="171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</row>
    <row r="23" spans="1:34" x14ac:dyDescent="0.3">
      <c r="A23" s="462"/>
      <c r="B23" s="461"/>
      <c r="C23" s="461"/>
      <c r="D23" s="627"/>
      <c r="E23" s="627"/>
      <c r="F23" s="627"/>
      <c r="G23" s="627"/>
      <c r="H23" s="627"/>
      <c r="I23" s="627"/>
      <c r="J23" s="627"/>
      <c r="K23" s="627"/>
      <c r="L23" s="171"/>
      <c r="M23" s="171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</row>
    <row r="24" spans="1:34" x14ac:dyDescent="0.3">
      <c r="A24" s="462"/>
      <c r="B24" s="464" t="s">
        <v>565</v>
      </c>
      <c r="C24" s="464"/>
      <c r="D24" s="627"/>
      <c r="E24" s="627"/>
      <c r="F24" s="627"/>
      <c r="G24" s="627"/>
      <c r="H24" s="627"/>
      <c r="I24" s="627"/>
      <c r="J24" s="627"/>
      <c r="K24" s="627"/>
      <c r="L24" s="171"/>
      <c r="M24" s="171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</row>
    <row r="25" spans="1:34" x14ac:dyDescent="0.3">
      <c r="A25" s="462" t="s">
        <v>566</v>
      </c>
      <c r="B25" s="466" t="s">
        <v>567</v>
      </c>
      <c r="C25" s="466"/>
      <c r="D25" s="628"/>
      <c r="E25" s="628"/>
      <c r="F25" s="628"/>
      <c r="G25" s="628"/>
      <c r="H25" s="628"/>
      <c r="I25" s="628"/>
      <c r="J25" s="629"/>
      <c r="K25" s="629"/>
      <c r="L25" s="468"/>
      <c r="M25" s="468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</row>
    <row r="26" spans="1:34" x14ac:dyDescent="0.3">
      <c r="A26" s="462" t="s">
        <v>568</v>
      </c>
      <c r="B26" s="466" t="s">
        <v>569</v>
      </c>
      <c r="C26" s="466"/>
      <c r="D26" s="629"/>
      <c r="E26" s="629"/>
      <c r="F26" s="629"/>
      <c r="G26" s="629"/>
      <c r="H26" s="629"/>
      <c r="I26" s="629"/>
      <c r="J26" s="629"/>
      <c r="K26" s="629"/>
      <c r="L26" s="468"/>
      <c r="M26" s="468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</row>
    <row r="27" spans="1:34" x14ac:dyDescent="0.3">
      <c r="A27" s="462" t="s">
        <v>570</v>
      </c>
      <c r="B27" s="461" t="s">
        <v>571</v>
      </c>
      <c r="C27" s="461"/>
      <c r="D27" s="629"/>
      <c r="E27" s="629"/>
      <c r="F27" s="629"/>
      <c r="G27" s="629"/>
      <c r="H27" s="629"/>
      <c r="I27" s="629"/>
      <c r="J27" s="629"/>
      <c r="K27" s="629"/>
      <c r="L27" s="468"/>
      <c r="M27" s="468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</row>
    <row r="28" spans="1:34" x14ac:dyDescent="0.3">
      <c r="A28" s="462" t="s">
        <v>572</v>
      </c>
      <c r="B28" s="461" t="s">
        <v>573</v>
      </c>
      <c r="C28" s="461"/>
      <c r="D28" s="629"/>
      <c r="E28" s="629"/>
      <c r="F28" s="629"/>
      <c r="G28" s="629"/>
      <c r="H28" s="629"/>
      <c r="I28" s="629"/>
      <c r="J28" s="629"/>
      <c r="K28" s="629"/>
      <c r="L28" s="468"/>
      <c r="M28" s="468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</row>
    <row r="29" spans="1:34" x14ac:dyDescent="0.3">
      <c r="A29" s="462" t="s">
        <v>574</v>
      </c>
      <c r="B29" s="461" t="s">
        <v>575</v>
      </c>
      <c r="C29" s="461"/>
      <c r="D29" s="629"/>
      <c r="E29" s="629"/>
      <c r="F29" s="629"/>
      <c r="G29" s="629"/>
      <c r="H29" s="629"/>
      <c r="I29" s="629"/>
      <c r="J29" s="629"/>
      <c r="K29" s="629"/>
      <c r="L29" s="468"/>
      <c r="M29" s="468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</row>
    <row r="30" spans="1:34" x14ac:dyDescent="0.3">
      <c r="A30" s="462" t="s">
        <v>885</v>
      </c>
      <c r="B30" s="461" t="s">
        <v>886</v>
      </c>
      <c r="C30" s="461"/>
      <c r="D30" s="629"/>
      <c r="E30" s="629"/>
      <c r="F30" s="629"/>
      <c r="G30" s="629"/>
      <c r="H30" s="629"/>
      <c r="I30" s="629"/>
      <c r="J30" s="629"/>
      <c r="K30" s="629"/>
      <c r="L30" s="468"/>
      <c r="M30" s="468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</row>
    <row r="31" spans="1:34" x14ac:dyDescent="0.3">
      <c r="A31" s="462"/>
      <c r="B31" s="474" t="s">
        <v>524</v>
      </c>
      <c r="C31" s="474"/>
      <c r="D31" s="627"/>
      <c r="E31" s="627"/>
      <c r="F31" s="627"/>
      <c r="G31" s="627"/>
      <c r="H31" s="627"/>
      <c r="I31" s="627"/>
      <c r="J31" s="627"/>
      <c r="K31" s="627"/>
      <c r="L31" s="171"/>
      <c r="M31" s="171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</row>
    <row r="32" spans="1:34" x14ac:dyDescent="0.3">
      <c r="A32" s="462"/>
      <c r="B32" s="474"/>
      <c r="C32" s="474"/>
      <c r="D32" s="627"/>
      <c r="E32" s="627"/>
      <c r="F32" s="627"/>
      <c r="G32" s="627"/>
      <c r="H32" s="627"/>
      <c r="I32" s="627"/>
      <c r="J32" s="627"/>
      <c r="K32" s="627"/>
      <c r="L32" s="171"/>
      <c r="M32" s="171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</row>
    <row r="33" spans="1:34" x14ac:dyDescent="0.3">
      <c r="A33" s="462" t="s">
        <v>576</v>
      </c>
      <c r="B33" s="461" t="s">
        <v>577</v>
      </c>
      <c r="C33" s="461"/>
      <c r="D33" s="629"/>
      <c r="E33" s="629"/>
      <c r="F33" s="629"/>
      <c r="G33" s="629"/>
      <c r="H33" s="629"/>
      <c r="I33" s="629"/>
      <c r="J33" s="629"/>
      <c r="K33" s="629"/>
      <c r="L33" s="468"/>
      <c r="M33" s="468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</row>
    <row r="34" spans="1:34" x14ac:dyDescent="0.3">
      <c r="A34" s="462"/>
      <c r="B34" s="461"/>
      <c r="C34" s="461"/>
      <c r="D34" s="627"/>
      <c r="E34" s="627"/>
      <c r="F34" s="627"/>
      <c r="G34" s="627"/>
      <c r="H34" s="627"/>
      <c r="I34" s="627"/>
      <c r="J34" s="627"/>
      <c r="K34" s="627"/>
      <c r="L34" s="171"/>
      <c r="M34" s="171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</row>
    <row r="35" spans="1:34" x14ac:dyDescent="0.3">
      <c r="A35" s="462"/>
      <c r="B35" s="463" t="s">
        <v>578</v>
      </c>
      <c r="C35" s="463"/>
      <c r="D35" s="627"/>
      <c r="E35" s="627"/>
      <c r="F35" s="627"/>
      <c r="G35" s="627"/>
      <c r="H35" s="627"/>
      <c r="I35" s="627"/>
      <c r="J35" s="627"/>
      <c r="K35" s="627"/>
      <c r="L35" s="171"/>
      <c r="M35" s="171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</row>
    <row r="36" spans="1:34" x14ac:dyDescent="0.3">
      <c r="A36" s="462"/>
      <c r="B36" s="464" t="s">
        <v>549</v>
      </c>
      <c r="C36" s="464"/>
      <c r="D36" s="627"/>
      <c r="E36" s="627"/>
      <c r="F36" s="627"/>
      <c r="G36" s="627"/>
      <c r="H36" s="627"/>
      <c r="I36" s="627"/>
      <c r="J36" s="627"/>
      <c r="K36" s="627"/>
      <c r="L36" s="171"/>
      <c r="M36" s="171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</row>
    <row r="37" spans="1:34" x14ac:dyDescent="0.3">
      <c r="A37" s="462" t="s">
        <v>579</v>
      </c>
      <c r="B37" s="461" t="s">
        <v>580</v>
      </c>
      <c r="C37" s="461"/>
      <c r="D37" s="629"/>
      <c r="E37" s="629"/>
      <c r="F37" s="629"/>
      <c r="G37" s="629"/>
      <c r="H37" s="629"/>
      <c r="I37" s="629"/>
      <c r="J37" s="629"/>
      <c r="K37" s="629"/>
      <c r="L37" s="468"/>
      <c r="M37" s="468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</row>
    <row r="38" spans="1:34" x14ac:dyDescent="0.3">
      <c r="A38" s="462" t="s">
        <v>581</v>
      </c>
      <c r="B38" s="461" t="s">
        <v>582</v>
      </c>
      <c r="C38" s="461"/>
      <c r="D38" s="629"/>
      <c r="E38" s="629"/>
      <c r="F38" s="629"/>
      <c r="G38" s="629"/>
      <c r="H38" s="629"/>
      <c r="I38" s="629"/>
      <c r="J38" s="629"/>
      <c r="K38" s="629"/>
      <c r="L38" s="468"/>
      <c r="M38" s="468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</row>
    <row r="39" spans="1:34" x14ac:dyDescent="0.3">
      <c r="A39" s="462" t="s">
        <v>583</v>
      </c>
      <c r="B39" s="461" t="s">
        <v>584</v>
      </c>
      <c r="C39" s="461"/>
      <c r="D39" s="629"/>
      <c r="E39" s="629"/>
      <c r="F39" s="629"/>
      <c r="G39" s="629"/>
      <c r="H39" s="629"/>
      <c r="I39" s="629"/>
      <c r="J39" s="629"/>
      <c r="K39" s="629"/>
      <c r="L39" s="468"/>
      <c r="M39" s="468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</row>
    <row r="40" spans="1:34" x14ac:dyDescent="0.3">
      <c r="A40" s="462" t="s">
        <v>585</v>
      </c>
      <c r="B40" s="461" t="s">
        <v>556</v>
      </c>
      <c r="C40" s="461"/>
      <c r="D40" s="629"/>
      <c r="E40" s="629"/>
      <c r="F40" s="629"/>
      <c r="G40" s="629"/>
      <c r="H40" s="629"/>
      <c r="I40" s="629"/>
      <c r="J40" s="629"/>
      <c r="K40" s="629"/>
      <c r="L40" s="468"/>
      <c r="M40" s="468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</row>
    <row r="41" spans="1:34" x14ac:dyDescent="0.3">
      <c r="A41" s="462" t="s">
        <v>586</v>
      </c>
      <c r="B41" s="466" t="s">
        <v>587</v>
      </c>
      <c r="C41" s="466"/>
      <c r="D41" s="629"/>
      <c r="E41" s="629"/>
      <c r="F41" s="629"/>
      <c r="G41" s="629"/>
      <c r="H41" s="629"/>
      <c r="I41" s="629"/>
      <c r="J41" s="629"/>
      <c r="K41" s="629"/>
      <c r="L41" s="468"/>
      <c r="M41" s="468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</row>
    <row r="42" spans="1:34" x14ac:dyDescent="0.3">
      <c r="A42" s="462" t="s">
        <v>588</v>
      </c>
      <c r="B42" s="461" t="s">
        <v>589</v>
      </c>
      <c r="C42" s="461"/>
      <c r="D42" s="629"/>
      <c r="E42" s="629"/>
      <c r="F42" s="629"/>
      <c r="G42" s="629"/>
      <c r="H42" s="629"/>
      <c r="I42" s="629"/>
      <c r="J42" s="629"/>
      <c r="K42" s="629"/>
      <c r="L42" s="468"/>
      <c r="M42" s="468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</row>
    <row r="43" spans="1:34" x14ac:dyDescent="0.3">
      <c r="A43" s="556" t="s">
        <v>590</v>
      </c>
      <c r="B43" s="461" t="s">
        <v>591</v>
      </c>
      <c r="C43" s="461"/>
      <c r="D43" s="629"/>
      <c r="E43" s="629"/>
      <c r="F43" s="629"/>
      <c r="G43" s="629"/>
      <c r="H43" s="629"/>
      <c r="I43" s="629"/>
      <c r="J43" s="629"/>
      <c r="K43" s="629"/>
      <c r="L43" s="468"/>
      <c r="M43" s="468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</row>
    <row r="44" spans="1:34" x14ac:dyDescent="0.3">
      <c r="A44" s="462"/>
      <c r="B44" s="474" t="s">
        <v>524</v>
      </c>
      <c r="C44" s="474"/>
      <c r="D44" s="627"/>
      <c r="E44" s="627"/>
      <c r="F44" s="627"/>
      <c r="G44" s="627"/>
      <c r="H44" s="627"/>
      <c r="I44" s="627"/>
      <c r="J44" s="627"/>
      <c r="K44" s="627"/>
      <c r="L44" s="171"/>
      <c r="M44" s="171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</row>
    <row r="45" spans="1:34" x14ac:dyDescent="0.3">
      <c r="A45" s="462"/>
      <c r="B45" s="461"/>
      <c r="C45" s="461"/>
      <c r="D45" s="627"/>
      <c r="E45" s="627"/>
      <c r="F45" s="627"/>
      <c r="G45" s="627"/>
      <c r="H45" s="627"/>
      <c r="I45" s="627"/>
      <c r="J45" s="627"/>
      <c r="K45" s="627"/>
      <c r="L45" s="171"/>
      <c r="M45" s="171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</row>
    <row r="46" spans="1:34" x14ac:dyDescent="0.3">
      <c r="A46" s="462"/>
      <c r="B46" s="464" t="s">
        <v>565</v>
      </c>
      <c r="C46" s="464"/>
      <c r="D46" s="627"/>
      <c r="E46" s="627"/>
      <c r="F46" s="627"/>
      <c r="G46" s="627"/>
      <c r="H46" s="627"/>
      <c r="I46" s="627"/>
      <c r="J46" s="627"/>
      <c r="K46" s="627"/>
      <c r="L46" s="171"/>
      <c r="M46" s="171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</row>
    <row r="47" spans="1:34" x14ac:dyDescent="0.3">
      <c r="A47" s="462" t="s">
        <v>592</v>
      </c>
      <c r="B47" s="461" t="s">
        <v>593</v>
      </c>
      <c r="C47" s="461"/>
      <c r="D47" s="629"/>
      <c r="E47" s="629"/>
      <c r="F47" s="629"/>
      <c r="G47" s="629"/>
      <c r="H47" s="629"/>
      <c r="I47" s="629"/>
      <c r="J47" s="629"/>
      <c r="K47" s="629"/>
      <c r="L47" s="468"/>
      <c r="M47" s="468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</row>
    <row r="48" spans="1:34" x14ac:dyDescent="0.3">
      <c r="A48" s="462" t="s">
        <v>594</v>
      </c>
      <c r="B48" s="461" t="s">
        <v>569</v>
      </c>
      <c r="C48" s="461"/>
      <c r="D48" s="629"/>
      <c r="E48" s="629"/>
      <c r="F48" s="629"/>
      <c r="G48" s="629"/>
      <c r="H48" s="629"/>
      <c r="I48" s="629"/>
      <c r="J48" s="629"/>
      <c r="K48" s="629"/>
      <c r="L48" s="468"/>
      <c r="M48" s="468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</row>
    <row r="49" spans="1:34" x14ac:dyDescent="0.3">
      <c r="A49" s="462" t="s">
        <v>595</v>
      </c>
      <c r="B49" s="461" t="s">
        <v>596</v>
      </c>
      <c r="C49" s="461"/>
      <c r="D49" s="629"/>
      <c r="E49" s="629"/>
      <c r="F49" s="629"/>
      <c r="G49" s="629"/>
      <c r="H49" s="629"/>
      <c r="I49" s="629"/>
      <c r="J49" s="629"/>
      <c r="K49" s="629"/>
      <c r="L49" s="468"/>
      <c r="M49" s="468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</row>
    <row r="50" spans="1:34" x14ac:dyDescent="0.3">
      <c r="A50" s="462" t="s">
        <v>597</v>
      </c>
      <c r="B50" s="461" t="s">
        <v>573</v>
      </c>
      <c r="C50" s="461"/>
      <c r="D50" s="629"/>
      <c r="E50" s="629"/>
      <c r="F50" s="629"/>
      <c r="G50" s="629"/>
      <c r="H50" s="629"/>
      <c r="I50" s="629"/>
      <c r="J50" s="629"/>
      <c r="K50" s="629"/>
      <c r="L50" s="468"/>
      <c r="M50" s="468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</row>
    <row r="51" spans="1:34" x14ac:dyDescent="0.3">
      <c r="A51" s="462" t="s">
        <v>598</v>
      </c>
      <c r="B51" s="461" t="s">
        <v>599</v>
      </c>
      <c r="C51" s="461"/>
      <c r="D51" s="629"/>
      <c r="E51" s="629"/>
      <c r="F51" s="629"/>
      <c r="G51" s="629"/>
      <c r="H51" s="629"/>
      <c r="I51" s="629"/>
      <c r="J51" s="629"/>
      <c r="K51" s="629"/>
      <c r="L51" s="468"/>
      <c r="M51" s="468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</row>
    <row r="52" spans="1:34" x14ac:dyDescent="0.3">
      <c r="A52" s="462"/>
      <c r="B52" s="474" t="s">
        <v>524</v>
      </c>
      <c r="C52" s="474"/>
      <c r="D52" s="627"/>
      <c r="E52" s="627"/>
      <c r="F52" s="627"/>
      <c r="G52" s="627"/>
      <c r="H52" s="627"/>
      <c r="I52" s="627"/>
      <c r="J52" s="627"/>
      <c r="K52" s="627"/>
      <c r="L52" s="171"/>
      <c r="M52" s="171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</row>
    <row r="53" spans="1:34" x14ac:dyDescent="0.3">
      <c r="A53" s="462"/>
      <c r="B53" s="461"/>
      <c r="C53" s="461"/>
      <c r="D53" s="627"/>
      <c r="E53" s="627"/>
      <c r="F53" s="627"/>
      <c r="G53" s="627"/>
      <c r="H53" s="627"/>
      <c r="I53" s="627"/>
      <c r="J53" s="627"/>
      <c r="K53" s="627"/>
      <c r="L53" s="171"/>
      <c r="M53" s="171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</row>
    <row r="54" spans="1:34" x14ac:dyDescent="0.3">
      <c r="A54" s="462"/>
      <c r="B54" s="477" t="s">
        <v>1327</v>
      </c>
      <c r="C54" s="477"/>
      <c r="D54" s="627"/>
      <c r="E54" s="627"/>
      <c r="F54" s="627"/>
      <c r="G54" s="627"/>
      <c r="H54" s="627"/>
      <c r="I54" s="627"/>
      <c r="J54" s="627"/>
      <c r="K54" s="627"/>
      <c r="L54" s="171"/>
      <c r="M54" s="171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</row>
    <row r="55" spans="1:34" x14ac:dyDescent="0.3">
      <c r="A55" s="462"/>
      <c r="B55" s="464" t="s">
        <v>549</v>
      </c>
      <c r="C55" s="464"/>
      <c r="D55" s="627"/>
      <c r="E55" s="627"/>
      <c r="F55" s="627"/>
      <c r="G55" s="627"/>
      <c r="H55" s="627"/>
      <c r="I55" s="627"/>
      <c r="J55" s="627"/>
      <c r="K55" s="627"/>
      <c r="L55" s="171"/>
      <c r="M55" s="171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</row>
    <row r="56" spans="1:34" x14ac:dyDescent="0.3">
      <c r="A56" s="556" t="s">
        <v>600</v>
      </c>
      <c r="B56" s="461" t="s">
        <v>580</v>
      </c>
      <c r="C56" s="461"/>
      <c r="D56" s="629"/>
      <c r="E56" s="629"/>
      <c r="F56" s="629"/>
      <c r="G56" s="629"/>
      <c r="H56" s="629"/>
      <c r="I56" s="629"/>
      <c r="J56" s="629"/>
      <c r="K56" s="629"/>
      <c r="L56" s="468"/>
      <c r="M56" s="468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</row>
    <row r="57" spans="1:34" x14ac:dyDescent="0.3">
      <c r="A57" s="556" t="s">
        <v>601</v>
      </c>
      <c r="B57" s="466" t="s">
        <v>602</v>
      </c>
      <c r="C57" s="466"/>
      <c r="D57" s="629"/>
      <c r="E57" s="629"/>
      <c r="F57" s="629"/>
      <c r="G57" s="629"/>
      <c r="H57" s="629"/>
      <c r="I57" s="629"/>
      <c r="J57" s="629"/>
      <c r="K57" s="629"/>
      <c r="L57" s="468"/>
      <c r="M57" s="468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</row>
    <row r="58" spans="1:34" x14ac:dyDescent="0.3">
      <c r="A58" s="462" t="s">
        <v>603</v>
      </c>
      <c r="B58" s="461" t="s">
        <v>1328</v>
      </c>
      <c r="C58" s="461"/>
      <c r="D58" s="629"/>
      <c r="E58" s="629"/>
      <c r="F58" s="629"/>
      <c r="G58" s="629"/>
      <c r="H58" s="629"/>
      <c r="I58" s="629"/>
      <c r="J58" s="629"/>
      <c r="K58" s="629"/>
      <c r="L58" s="468"/>
      <c r="M58" s="468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</row>
    <row r="59" spans="1:34" x14ac:dyDescent="0.3">
      <c r="A59" s="462" t="s">
        <v>604</v>
      </c>
      <c r="B59" s="461" t="s">
        <v>560</v>
      </c>
      <c r="C59" s="461"/>
      <c r="D59" s="629"/>
      <c r="E59" s="629"/>
      <c r="F59" s="629"/>
      <c r="G59" s="629"/>
      <c r="H59" s="629"/>
      <c r="I59" s="629"/>
      <c r="J59" s="629"/>
      <c r="K59" s="629"/>
      <c r="L59" s="468"/>
      <c r="M59" s="468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</row>
    <row r="60" spans="1:34" x14ac:dyDescent="0.3">
      <c r="A60" s="462" t="s">
        <v>605</v>
      </c>
      <c r="B60" s="466" t="s">
        <v>1329</v>
      </c>
      <c r="C60" s="466"/>
      <c r="D60" s="629"/>
      <c r="E60" s="629"/>
      <c r="F60" s="629"/>
      <c r="G60" s="629"/>
      <c r="H60" s="629"/>
      <c r="I60" s="629"/>
      <c r="J60" s="629"/>
      <c r="K60" s="629"/>
      <c r="L60" s="468"/>
      <c r="M60" s="468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</row>
    <row r="61" spans="1:34" x14ac:dyDescent="0.3">
      <c r="A61" s="462" t="s">
        <v>606</v>
      </c>
      <c r="B61" s="461" t="s">
        <v>564</v>
      </c>
      <c r="C61" s="461"/>
      <c r="D61" s="629"/>
      <c r="E61" s="629"/>
      <c r="F61" s="629"/>
      <c r="G61" s="629"/>
      <c r="H61" s="629"/>
      <c r="I61" s="629"/>
      <c r="J61" s="629"/>
      <c r="K61" s="629"/>
      <c r="L61" s="468"/>
      <c r="M61" s="468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</row>
    <row r="62" spans="1:34" x14ac:dyDescent="0.3">
      <c r="A62" s="556"/>
      <c r="B62" s="474" t="s">
        <v>524</v>
      </c>
      <c r="C62" s="474"/>
      <c r="D62" s="627"/>
      <c r="E62" s="627"/>
      <c r="F62" s="627"/>
      <c r="G62" s="627"/>
      <c r="H62" s="627"/>
      <c r="I62" s="627"/>
      <c r="J62" s="627"/>
      <c r="K62" s="627"/>
      <c r="L62" s="171"/>
      <c r="M62" s="171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</row>
    <row r="63" spans="1:34" x14ac:dyDescent="0.3">
      <c r="A63" s="462"/>
      <c r="B63" s="474"/>
      <c r="C63" s="474"/>
      <c r="D63" s="627"/>
      <c r="E63" s="627"/>
      <c r="F63" s="627"/>
      <c r="G63" s="627"/>
      <c r="H63" s="627"/>
      <c r="I63" s="627"/>
      <c r="J63" s="627"/>
      <c r="K63" s="627"/>
      <c r="L63" s="171"/>
      <c r="M63" s="171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</row>
    <row r="64" spans="1:34" x14ac:dyDescent="0.3">
      <c r="A64" s="462"/>
      <c r="B64" s="464" t="s">
        <v>565</v>
      </c>
      <c r="C64" s="464"/>
      <c r="D64" s="627"/>
      <c r="E64" s="627"/>
      <c r="F64" s="627"/>
      <c r="G64" s="627"/>
      <c r="H64" s="627"/>
      <c r="I64" s="627"/>
      <c r="J64" s="627"/>
      <c r="K64" s="627"/>
      <c r="L64" s="171"/>
      <c r="M64" s="171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</row>
    <row r="65" spans="1:34" x14ac:dyDescent="0.3">
      <c r="A65" s="556" t="s">
        <v>607</v>
      </c>
      <c r="B65" s="461" t="s">
        <v>593</v>
      </c>
      <c r="C65" s="461"/>
      <c r="D65" s="629"/>
      <c r="E65" s="629"/>
      <c r="F65" s="629"/>
      <c r="G65" s="629"/>
      <c r="H65" s="629"/>
      <c r="I65" s="629"/>
      <c r="J65" s="629"/>
      <c r="K65" s="629"/>
      <c r="L65" s="468"/>
      <c r="M65" s="468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</row>
    <row r="66" spans="1:34" x14ac:dyDescent="0.3">
      <c r="A66" s="556" t="s">
        <v>608</v>
      </c>
      <c r="B66" s="461" t="s">
        <v>569</v>
      </c>
      <c r="C66" s="461"/>
      <c r="D66" s="629"/>
      <c r="E66" s="629"/>
      <c r="F66" s="629"/>
      <c r="G66" s="629"/>
      <c r="H66" s="629"/>
      <c r="I66" s="629"/>
      <c r="J66" s="629"/>
      <c r="K66" s="629"/>
      <c r="L66" s="468"/>
      <c r="M66" s="468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</row>
    <row r="67" spans="1:34" x14ac:dyDescent="0.3">
      <c r="A67" s="556" t="s">
        <v>609</v>
      </c>
      <c r="B67" s="466" t="s">
        <v>610</v>
      </c>
      <c r="C67" s="466"/>
      <c r="D67" s="629"/>
      <c r="E67" s="629"/>
      <c r="F67" s="629"/>
      <c r="G67" s="629"/>
      <c r="H67" s="629"/>
      <c r="I67" s="629"/>
      <c r="J67" s="629"/>
      <c r="K67" s="629"/>
      <c r="L67" s="468"/>
      <c r="M67" s="468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</row>
    <row r="68" spans="1:34" x14ac:dyDescent="0.3">
      <c r="A68" s="556" t="s">
        <v>611</v>
      </c>
      <c r="B68" s="461" t="s">
        <v>573</v>
      </c>
      <c r="C68" s="461"/>
      <c r="D68" s="629"/>
      <c r="E68" s="629"/>
      <c r="F68" s="629"/>
      <c r="G68" s="629"/>
      <c r="H68" s="629"/>
      <c r="I68" s="629"/>
      <c r="J68" s="629"/>
      <c r="K68" s="629"/>
      <c r="L68" s="468"/>
      <c r="M68" s="468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</row>
    <row r="69" spans="1:34" x14ac:dyDescent="0.3">
      <c r="A69" s="556" t="s">
        <v>612</v>
      </c>
      <c r="B69" s="466" t="s">
        <v>1330</v>
      </c>
      <c r="C69" s="466"/>
      <c r="D69" s="629"/>
      <c r="E69" s="629"/>
      <c r="F69" s="629"/>
      <c r="G69" s="629"/>
      <c r="H69" s="629"/>
      <c r="I69" s="629"/>
      <c r="J69" s="629"/>
      <c r="K69" s="629"/>
      <c r="L69" s="468"/>
      <c r="M69" s="468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</row>
    <row r="70" spans="1:34" x14ac:dyDescent="0.3">
      <c r="A70" s="462"/>
      <c r="B70" s="474" t="s">
        <v>524</v>
      </c>
      <c r="C70" s="474"/>
      <c r="D70" s="627"/>
      <c r="E70" s="627"/>
      <c r="F70" s="627"/>
      <c r="G70" s="627"/>
      <c r="H70" s="627"/>
      <c r="I70" s="627"/>
      <c r="J70" s="627"/>
      <c r="K70" s="627"/>
      <c r="L70" s="171"/>
      <c r="M70" s="171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</row>
    <row r="71" spans="1:34" x14ac:dyDescent="0.3">
      <c r="A71" s="462"/>
      <c r="B71" s="461"/>
      <c r="C71" s="461"/>
      <c r="D71" s="627"/>
      <c r="E71" s="627"/>
      <c r="F71" s="627"/>
      <c r="G71" s="627"/>
      <c r="H71" s="627"/>
      <c r="I71" s="627"/>
      <c r="J71" s="627"/>
      <c r="K71" s="627"/>
      <c r="L71" s="171"/>
      <c r="M71" s="171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</row>
    <row r="72" spans="1:34" x14ac:dyDescent="0.3">
      <c r="A72" s="462"/>
      <c r="B72" s="477" t="s">
        <v>613</v>
      </c>
      <c r="C72" s="477"/>
      <c r="D72" s="627"/>
      <c r="E72" s="627"/>
      <c r="F72" s="627"/>
      <c r="G72" s="627"/>
      <c r="H72" s="627"/>
      <c r="I72" s="627"/>
      <c r="J72" s="627"/>
      <c r="K72" s="627"/>
      <c r="L72" s="171"/>
      <c r="M72" s="171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</row>
    <row r="73" spans="1:34" x14ac:dyDescent="0.3">
      <c r="A73" s="462"/>
      <c r="B73" s="464" t="s">
        <v>549</v>
      </c>
      <c r="C73" s="464"/>
      <c r="D73" s="629"/>
      <c r="E73" s="629"/>
      <c r="F73" s="629"/>
      <c r="G73" s="629"/>
      <c r="H73" s="629"/>
      <c r="I73" s="629"/>
      <c r="J73" s="629"/>
      <c r="K73" s="629"/>
      <c r="L73" s="171"/>
      <c r="M73" s="171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</row>
    <row r="74" spans="1:34" x14ac:dyDescent="0.3">
      <c r="A74" s="462" t="s">
        <v>614</v>
      </c>
      <c r="B74" s="461" t="s">
        <v>615</v>
      </c>
      <c r="C74" s="461"/>
      <c r="D74" s="629"/>
      <c r="E74" s="629"/>
      <c r="F74" s="629"/>
      <c r="G74" s="629"/>
      <c r="H74" s="629"/>
      <c r="I74" s="629"/>
      <c r="J74" s="629"/>
      <c r="K74" s="629"/>
      <c r="L74" s="468"/>
      <c r="M74" s="468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</row>
    <row r="75" spans="1:34" x14ac:dyDescent="0.3">
      <c r="A75" s="462" t="s">
        <v>616</v>
      </c>
      <c r="B75" s="461" t="s">
        <v>617</v>
      </c>
      <c r="C75" s="461"/>
      <c r="D75" s="629"/>
      <c r="E75" s="629"/>
      <c r="F75" s="629"/>
      <c r="G75" s="629"/>
      <c r="H75" s="629"/>
      <c r="I75" s="629"/>
      <c r="J75" s="629"/>
      <c r="K75" s="629"/>
      <c r="L75" s="468"/>
      <c r="M75" s="468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</row>
    <row r="76" spans="1:34" x14ac:dyDescent="0.3">
      <c r="A76" s="462" t="s">
        <v>104</v>
      </c>
      <c r="B76" s="461" t="s">
        <v>560</v>
      </c>
      <c r="C76" s="461"/>
      <c r="D76" s="629"/>
      <c r="E76" s="629"/>
      <c r="F76" s="629"/>
      <c r="G76" s="629"/>
      <c r="H76" s="629"/>
      <c r="I76" s="629"/>
      <c r="J76" s="629"/>
      <c r="K76" s="629"/>
      <c r="L76" s="468"/>
      <c r="M76" s="468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</row>
    <row r="77" spans="1:34" x14ac:dyDescent="0.3">
      <c r="A77" s="462" t="s">
        <v>618</v>
      </c>
      <c r="B77" s="461" t="s">
        <v>619</v>
      </c>
      <c r="C77" s="461"/>
      <c r="D77" s="629"/>
      <c r="E77" s="629"/>
      <c r="F77" s="629"/>
      <c r="G77" s="629"/>
      <c r="H77" s="629"/>
      <c r="I77" s="629"/>
      <c r="J77" s="629"/>
      <c r="K77" s="629"/>
      <c r="L77" s="468"/>
      <c r="M77" s="468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</row>
    <row r="78" spans="1:34" x14ac:dyDescent="0.3">
      <c r="A78" s="462" t="s">
        <v>620</v>
      </c>
      <c r="B78" s="461" t="s">
        <v>564</v>
      </c>
      <c r="C78" s="461"/>
      <c r="D78" s="629"/>
      <c r="E78" s="629"/>
      <c r="F78" s="629"/>
      <c r="G78" s="629"/>
      <c r="H78" s="629"/>
      <c r="I78" s="629"/>
      <c r="J78" s="629"/>
      <c r="K78" s="629"/>
      <c r="L78" s="468"/>
      <c r="M78" s="468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</row>
    <row r="79" spans="1:34" x14ac:dyDescent="0.3">
      <c r="A79" s="462"/>
      <c r="B79" s="474" t="s">
        <v>524</v>
      </c>
      <c r="C79" s="474"/>
      <c r="D79" s="627"/>
      <c r="E79" s="627"/>
      <c r="F79" s="627"/>
      <c r="G79" s="627"/>
      <c r="H79" s="627"/>
      <c r="I79" s="627"/>
      <c r="J79" s="627"/>
      <c r="K79" s="627"/>
      <c r="L79" s="171"/>
      <c r="M79" s="171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</row>
    <row r="80" spans="1:34" x14ac:dyDescent="0.3">
      <c r="A80" s="462"/>
      <c r="B80" s="461"/>
      <c r="C80" s="461"/>
      <c r="D80" s="627"/>
      <c r="E80" s="627"/>
      <c r="F80" s="627"/>
      <c r="G80" s="627"/>
      <c r="H80" s="627"/>
      <c r="I80" s="627"/>
      <c r="J80" s="627"/>
      <c r="K80" s="627"/>
      <c r="L80" s="171"/>
      <c r="M80" s="171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</row>
    <row r="81" spans="1:34" x14ac:dyDescent="0.3">
      <c r="A81" s="462"/>
      <c r="B81" s="464" t="s">
        <v>565</v>
      </c>
      <c r="C81" s="464"/>
      <c r="D81" s="627"/>
      <c r="E81" s="627"/>
      <c r="F81" s="627"/>
      <c r="G81" s="627"/>
      <c r="H81" s="627"/>
      <c r="I81" s="627"/>
      <c r="J81" s="627"/>
      <c r="K81" s="627"/>
      <c r="L81" s="171"/>
      <c r="M81" s="171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</row>
    <row r="82" spans="1:34" x14ac:dyDescent="0.3">
      <c r="A82" s="462" t="s">
        <v>621</v>
      </c>
      <c r="B82" s="461" t="s">
        <v>622</v>
      </c>
      <c r="C82" s="461"/>
      <c r="D82" s="629"/>
      <c r="E82" s="629"/>
      <c r="F82" s="629"/>
      <c r="G82" s="629"/>
      <c r="H82" s="629"/>
      <c r="I82" s="629"/>
      <c r="J82" s="629"/>
      <c r="K82" s="629"/>
      <c r="L82" s="468"/>
      <c r="M82" s="468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</row>
    <row r="83" spans="1:34" x14ac:dyDescent="0.3">
      <c r="A83" s="462" t="s">
        <v>623</v>
      </c>
      <c r="B83" s="466" t="s">
        <v>624</v>
      </c>
      <c r="C83" s="466"/>
      <c r="D83" s="629"/>
      <c r="E83" s="629"/>
      <c r="F83" s="629"/>
      <c r="G83" s="629"/>
      <c r="H83" s="629"/>
      <c r="I83" s="629"/>
      <c r="J83" s="629"/>
      <c r="K83" s="629"/>
      <c r="L83" s="468"/>
      <c r="M83" s="468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</row>
    <row r="84" spans="1:34" x14ac:dyDescent="0.3">
      <c r="A84" s="462" t="s">
        <v>625</v>
      </c>
      <c r="B84" s="461" t="s">
        <v>626</v>
      </c>
      <c r="C84" s="461"/>
      <c r="D84" s="629"/>
      <c r="E84" s="629"/>
      <c r="F84" s="629"/>
      <c r="G84" s="629"/>
      <c r="H84" s="629"/>
      <c r="I84" s="629"/>
      <c r="J84" s="629"/>
      <c r="K84" s="629"/>
      <c r="L84" s="468"/>
      <c r="M84" s="468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</row>
    <row r="85" spans="1:34" x14ac:dyDescent="0.3">
      <c r="A85" s="462" t="s">
        <v>627</v>
      </c>
      <c r="B85" s="461" t="s">
        <v>628</v>
      </c>
      <c r="C85" s="461"/>
      <c r="D85" s="629"/>
      <c r="E85" s="629"/>
      <c r="F85" s="629"/>
      <c r="G85" s="629"/>
      <c r="H85" s="629"/>
      <c r="I85" s="629"/>
      <c r="J85" s="629"/>
      <c r="K85" s="629"/>
      <c r="L85" s="468"/>
      <c r="M85" s="468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</row>
    <row r="86" spans="1:34" x14ac:dyDescent="0.3">
      <c r="A86" s="462"/>
      <c r="B86" s="474" t="s">
        <v>524</v>
      </c>
      <c r="C86" s="474"/>
      <c r="D86" s="627"/>
      <c r="E86" s="627"/>
      <c r="F86" s="627"/>
      <c r="G86" s="627"/>
      <c r="H86" s="627"/>
      <c r="I86" s="627"/>
      <c r="J86" s="627"/>
      <c r="K86" s="627"/>
      <c r="L86" s="171"/>
      <c r="M86" s="171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</row>
    <row r="87" spans="1:34" x14ac:dyDescent="0.3">
      <c r="A87" s="462"/>
      <c r="B87" s="461"/>
      <c r="C87" s="461"/>
      <c r="D87" s="627"/>
      <c r="E87" s="627"/>
      <c r="F87" s="627"/>
      <c r="G87" s="627"/>
      <c r="H87" s="627"/>
      <c r="I87" s="627"/>
      <c r="J87" s="627"/>
      <c r="K87" s="627"/>
      <c r="L87" s="171"/>
      <c r="M87" s="171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</row>
    <row r="88" spans="1:34" x14ac:dyDescent="0.3">
      <c r="A88" s="462"/>
      <c r="B88" s="477" t="s">
        <v>629</v>
      </c>
      <c r="C88" s="477"/>
      <c r="D88" s="627"/>
      <c r="E88" s="627"/>
      <c r="F88" s="627"/>
      <c r="G88" s="627"/>
      <c r="H88" s="627"/>
      <c r="I88" s="627"/>
      <c r="J88" s="627"/>
      <c r="K88" s="627"/>
      <c r="L88" s="171"/>
      <c r="M88" s="171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</row>
    <row r="89" spans="1:34" x14ac:dyDescent="0.3">
      <c r="A89" s="462" t="s">
        <v>630</v>
      </c>
      <c r="B89" s="461" t="s">
        <v>902</v>
      </c>
      <c r="C89" s="461"/>
      <c r="D89" s="629"/>
      <c r="E89" s="629"/>
      <c r="F89" s="629"/>
      <c r="G89" s="629"/>
      <c r="H89" s="629"/>
      <c r="I89" s="629"/>
      <c r="J89" s="629"/>
      <c r="K89" s="629"/>
      <c r="L89" s="468"/>
      <c r="M89" s="468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</row>
    <row r="90" spans="1:34" x14ac:dyDescent="0.3">
      <c r="A90" s="462"/>
      <c r="B90" s="461" t="s">
        <v>903</v>
      </c>
      <c r="C90" s="461"/>
      <c r="D90" s="629"/>
      <c r="E90" s="629"/>
      <c r="F90" s="629"/>
      <c r="G90" s="629"/>
      <c r="H90" s="629"/>
      <c r="I90" s="629"/>
      <c r="J90" s="629"/>
      <c r="K90" s="629"/>
      <c r="L90" s="468"/>
      <c r="M90" s="468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</row>
    <row r="91" spans="1:34" x14ac:dyDescent="0.3">
      <c r="A91" s="462"/>
      <c r="B91" s="461" t="s">
        <v>904</v>
      </c>
      <c r="C91" s="461"/>
      <c r="D91" s="629"/>
      <c r="E91" s="629"/>
      <c r="F91" s="629"/>
      <c r="G91" s="629"/>
      <c r="H91" s="629"/>
      <c r="I91" s="629"/>
      <c r="J91" s="629"/>
      <c r="K91" s="629"/>
      <c r="L91" s="468"/>
      <c r="M91" s="468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</row>
    <row r="92" spans="1:34" x14ac:dyDescent="0.3">
      <c r="A92" s="462"/>
      <c r="B92" s="461" t="s">
        <v>905</v>
      </c>
      <c r="C92" s="461"/>
      <c r="D92" s="629"/>
      <c r="E92" s="629"/>
      <c r="F92" s="629"/>
      <c r="G92" s="629"/>
      <c r="H92" s="629"/>
      <c r="I92" s="629"/>
      <c r="J92" s="629"/>
      <c r="K92" s="629"/>
      <c r="L92" s="468"/>
      <c r="M92" s="468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</row>
    <row r="93" spans="1:34" x14ac:dyDescent="0.3">
      <c r="A93" s="462" t="s">
        <v>630</v>
      </c>
      <c r="B93" s="474" t="s">
        <v>524</v>
      </c>
      <c r="C93" s="474"/>
      <c r="D93" s="629"/>
      <c r="E93" s="629"/>
      <c r="F93" s="629"/>
      <c r="G93" s="629"/>
      <c r="H93" s="629"/>
      <c r="I93" s="629"/>
      <c r="J93" s="629"/>
      <c r="K93" s="629"/>
      <c r="L93" s="468"/>
      <c r="M93" s="468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</row>
    <row r="94" spans="1:34" x14ac:dyDescent="0.3">
      <c r="A94" s="462" t="s">
        <v>635</v>
      </c>
      <c r="B94" s="461" t="s">
        <v>636</v>
      </c>
      <c r="C94" s="461"/>
      <c r="D94" s="629"/>
      <c r="E94" s="629"/>
      <c r="F94" s="629"/>
      <c r="G94" s="629"/>
      <c r="H94" s="629"/>
      <c r="I94" s="629"/>
      <c r="J94" s="629"/>
      <c r="K94" s="629"/>
      <c r="L94" s="468"/>
      <c r="M94" s="468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</row>
    <row r="95" spans="1:34" x14ac:dyDescent="0.3">
      <c r="A95" s="465" t="s">
        <v>637</v>
      </c>
      <c r="B95" s="465" t="s">
        <v>1180</v>
      </c>
      <c r="C95" s="461"/>
      <c r="D95" s="629"/>
      <c r="E95" s="629"/>
      <c r="F95" s="629"/>
      <c r="G95" s="629"/>
      <c r="H95" s="629"/>
      <c r="I95" s="629"/>
      <c r="J95" s="629"/>
      <c r="K95" s="629"/>
      <c r="L95" s="468"/>
      <c r="M95" s="468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</row>
    <row r="96" spans="1:34" x14ac:dyDescent="0.3">
      <c r="A96" s="465" t="s">
        <v>637</v>
      </c>
      <c r="B96" s="465" t="s">
        <v>1181</v>
      </c>
      <c r="C96" s="461"/>
      <c r="D96" s="629"/>
      <c r="E96" s="629"/>
      <c r="F96" s="629"/>
      <c r="G96" s="629"/>
      <c r="H96" s="629"/>
      <c r="I96" s="629"/>
      <c r="J96" s="629"/>
      <c r="K96" s="629"/>
      <c r="L96" s="468"/>
      <c r="M96" s="468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</row>
    <row r="97" spans="1:34" x14ac:dyDescent="0.3">
      <c r="A97" s="462"/>
      <c r="B97" s="474" t="s">
        <v>639</v>
      </c>
      <c r="C97" s="474"/>
      <c r="D97" s="171"/>
      <c r="E97" s="171"/>
      <c r="F97" s="627"/>
      <c r="G97" s="627"/>
      <c r="H97" s="629"/>
      <c r="I97" s="171"/>
      <c r="J97" s="171"/>
      <c r="K97" s="171"/>
      <c r="L97" s="171"/>
      <c r="M97" s="171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</row>
    <row r="98" spans="1:34" x14ac:dyDescent="0.3">
      <c r="A98" s="462"/>
      <c r="B98" s="461"/>
      <c r="C98" s="461"/>
      <c r="D98" s="171"/>
      <c r="E98" s="171"/>
      <c r="F98" s="627"/>
      <c r="G98" s="627"/>
      <c r="H98" s="627"/>
      <c r="I98" s="171"/>
      <c r="J98" s="171"/>
      <c r="K98" s="171"/>
      <c r="L98" s="171"/>
      <c r="M98" s="171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</row>
    <row r="99" spans="1:34" x14ac:dyDescent="0.3">
      <c r="A99" s="462"/>
      <c r="B99" s="479" t="s">
        <v>640</v>
      </c>
      <c r="C99" s="479"/>
      <c r="D99" s="521">
        <f t="shared" ref="D99" si="0">E99+I99+J99+K99</f>
        <v>0.99999999999999989</v>
      </c>
      <c r="E99" s="526">
        <f>'7b. LX_AG-sf'!E99/'7b. LX_AG-sf'!$D$99</f>
        <v>0.65741612903415181</v>
      </c>
      <c r="F99" s="627"/>
      <c r="G99" s="627"/>
      <c r="H99" s="627"/>
      <c r="I99" s="526">
        <f>'7b. LX_AG-sf'!I99/'7b. LX_AG-sf'!$D$99</f>
        <v>0.34258387096584808</v>
      </c>
      <c r="J99" s="526">
        <f>'7b. LX_AG-sf'!J99/'7b. LX_AG-sf'!$D$99</f>
        <v>0</v>
      </c>
      <c r="K99" s="526">
        <f>'7b. LX_AG-sf'!K99/'7b. LX_AG-sf'!$D$99</f>
        <v>0</v>
      </c>
      <c r="L99" s="171"/>
      <c r="M99" s="171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</row>
    <row r="100" spans="1:34" x14ac:dyDescent="0.3">
      <c r="A100" s="462"/>
      <c r="B100" s="461"/>
      <c r="C100" s="461"/>
      <c r="D100" s="171"/>
      <c r="E100" s="171"/>
      <c r="F100" s="627"/>
      <c r="G100" s="627"/>
      <c r="H100" s="627"/>
      <c r="I100" s="171"/>
      <c r="J100" s="171"/>
      <c r="K100" s="171"/>
      <c r="L100" s="171"/>
      <c r="M100" s="171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</row>
    <row r="101" spans="1:34" x14ac:dyDescent="0.3">
      <c r="A101" s="460" t="s">
        <v>641</v>
      </c>
      <c r="B101" s="461"/>
      <c r="C101" s="461"/>
      <c r="D101" s="171"/>
      <c r="E101" s="171"/>
      <c r="F101" s="627"/>
      <c r="G101" s="627"/>
      <c r="H101" s="627"/>
      <c r="I101" s="171"/>
      <c r="J101" s="171"/>
      <c r="K101" s="171"/>
      <c r="L101" s="171"/>
      <c r="M101" s="171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</row>
    <row r="102" spans="1:34" x14ac:dyDescent="0.3">
      <c r="A102" s="462"/>
      <c r="B102" s="464" t="s">
        <v>549</v>
      </c>
      <c r="C102" s="464"/>
      <c r="D102" s="171"/>
      <c r="E102" s="171"/>
      <c r="F102" s="627"/>
      <c r="G102" s="627"/>
      <c r="H102" s="627"/>
      <c r="I102" s="171"/>
      <c r="J102" s="171"/>
      <c r="K102" s="171"/>
      <c r="L102" s="171"/>
      <c r="M102" s="171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</row>
    <row r="103" spans="1:34" x14ac:dyDescent="0.3">
      <c r="A103" s="462" t="s">
        <v>642</v>
      </c>
      <c r="B103" s="461" t="s">
        <v>615</v>
      </c>
      <c r="C103" s="461"/>
      <c r="D103" s="521">
        <f t="shared" ref="D103:D110" si="1">SUM(E103:K103)</f>
        <v>0</v>
      </c>
      <c r="E103" s="521"/>
      <c r="F103" s="629"/>
      <c r="G103" s="629"/>
      <c r="H103" s="629"/>
      <c r="I103" s="521"/>
      <c r="J103" s="468"/>
      <c r="K103" s="468"/>
      <c r="L103" s="521">
        <v>1</v>
      </c>
      <c r="M103" s="468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</row>
    <row r="104" spans="1:34" x14ac:dyDescent="0.3">
      <c r="A104" s="462" t="s">
        <v>643</v>
      </c>
      <c r="B104" s="461" t="s">
        <v>644</v>
      </c>
      <c r="C104" s="461"/>
      <c r="D104" s="521">
        <f t="shared" si="1"/>
        <v>0</v>
      </c>
      <c r="E104" s="521"/>
      <c r="F104" s="629"/>
      <c r="G104" s="629"/>
      <c r="H104" s="629"/>
      <c r="I104" s="521"/>
      <c r="J104" s="468"/>
      <c r="K104" s="468"/>
      <c r="L104" s="521">
        <v>1</v>
      </c>
      <c r="M104" s="468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</row>
    <row r="105" spans="1:34" x14ac:dyDescent="0.3">
      <c r="A105" s="462" t="s">
        <v>645</v>
      </c>
      <c r="B105" s="461" t="s">
        <v>428</v>
      </c>
      <c r="C105" s="461"/>
      <c r="D105" s="521">
        <f t="shared" si="1"/>
        <v>1</v>
      </c>
      <c r="E105" s="521">
        <v>1</v>
      </c>
      <c r="F105" s="629"/>
      <c r="G105" s="629"/>
      <c r="H105" s="629"/>
      <c r="I105" s="521"/>
      <c r="J105" s="468"/>
      <c r="K105" s="468"/>
      <c r="L105" s="521">
        <v>1</v>
      </c>
      <c r="M105" s="521">
        <v>1</v>
      </c>
      <c r="N105" s="521">
        <v>1</v>
      </c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</row>
    <row r="106" spans="1:34" x14ac:dyDescent="0.3">
      <c r="A106" s="462" t="s">
        <v>646</v>
      </c>
      <c r="B106" s="461" t="s">
        <v>647</v>
      </c>
      <c r="C106" s="461"/>
      <c r="D106" s="521">
        <f t="shared" si="1"/>
        <v>0</v>
      </c>
      <c r="E106" s="521"/>
      <c r="F106" s="629"/>
      <c r="G106" s="629"/>
      <c r="H106" s="629"/>
      <c r="I106" s="521"/>
      <c r="J106" s="468"/>
      <c r="K106" s="468"/>
      <c r="L106" s="521">
        <v>1</v>
      </c>
      <c r="M106" s="468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</row>
    <row r="107" spans="1:34" s="1" customFormat="1" x14ac:dyDescent="0.3">
      <c r="A107" s="462" t="s">
        <v>648</v>
      </c>
      <c r="B107" s="461" t="s">
        <v>649</v>
      </c>
      <c r="C107" s="461"/>
      <c r="D107" s="521">
        <f t="shared" si="1"/>
        <v>0</v>
      </c>
      <c r="E107" s="521"/>
      <c r="F107" s="629"/>
      <c r="G107" s="629"/>
      <c r="H107" s="629"/>
      <c r="I107" s="521"/>
      <c r="J107" s="468"/>
      <c r="K107" s="468"/>
      <c r="L107" s="521">
        <v>1</v>
      </c>
      <c r="M107" s="521"/>
      <c r="N107" s="62"/>
      <c r="O107" s="526"/>
      <c r="P107" s="526"/>
      <c r="Q107" s="526"/>
      <c r="R107" s="526"/>
      <c r="S107" s="526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</row>
    <row r="108" spans="1:34" x14ac:dyDescent="0.3">
      <c r="A108" s="462" t="s">
        <v>650</v>
      </c>
      <c r="B108" s="466" t="s">
        <v>651</v>
      </c>
      <c r="C108" s="466"/>
      <c r="D108" s="521">
        <f t="shared" si="1"/>
        <v>0</v>
      </c>
      <c r="E108" s="521"/>
      <c r="F108" s="629"/>
      <c r="G108" s="629"/>
      <c r="H108" s="629"/>
      <c r="I108" s="521"/>
      <c r="J108" s="468"/>
      <c r="K108" s="468"/>
      <c r="L108" s="521">
        <v>1</v>
      </c>
      <c r="M108" s="468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</row>
    <row r="109" spans="1:34" x14ac:dyDescent="0.3">
      <c r="A109" s="462" t="s">
        <v>652</v>
      </c>
      <c r="B109" s="461" t="s">
        <v>653</v>
      </c>
      <c r="C109" s="461"/>
      <c r="D109" s="521">
        <f t="shared" si="1"/>
        <v>0</v>
      </c>
      <c r="E109" s="521"/>
      <c r="F109" s="629"/>
      <c r="G109" s="629"/>
      <c r="H109" s="629"/>
      <c r="I109" s="521"/>
      <c r="J109" s="468"/>
      <c r="K109" s="468"/>
      <c r="L109" s="521">
        <v>1</v>
      </c>
      <c r="M109" s="468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</row>
    <row r="110" spans="1:34" x14ac:dyDescent="0.3">
      <c r="A110" s="462" t="s">
        <v>654</v>
      </c>
      <c r="B110" s="461" t="s">
        <v>564</v>
      </c>
      <c r="C110" s="461"/>
      <c r="D110" s="521">
        <f t="shared" si="1"/>
        <v>0</v>
      </c>
      <c r="E110" s="521"/>
      <c r="F110" s="629"/>
      <c r="G110" s="629"/>
      <c r="H110" s="629"/>
      <c r="I110" s="521"/>
      <c r="J110" s="468"/>
      <c r="K110" s="468"/>
      <c r="L110" s="521">
        <v>1</v>
      </c>
      <c r="M110" s="468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</row>
    <row r="111" spans="1:34" x14ac:dyDescent="0.3">
      <c r="A111" s="462"/>
      <c r="B111" s="474" t="s">
        <v>524</v>
      </c>
      <c r="C111" s="474"/>
      <c r="D111" s="171"/>
      <c r="E111" s="171"/>
      <c r="F111" s="627"/>
      <c r="G111" s="627"/>
      <c r="H111" s="627"/>
      <c r="I111" s="171"/>
      <c r="J111" s="171"/>
      <c r="K111" s="171"/>
      <c r="L111" s="171"/>
      <c r="M111" s="171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</row>
    <row r="112" spans="1:34" x14ac:dyDescent="0.3">
      <c r="A112" s="462"/>
      <c r="B112" s="461"/>
      <c r="C112" s="461"/>
      <c r="D112" s="171"/>
      <c r="E112" s="171"/>
      <c r="F112" s="627"/>
      <c r="G112" s="627"/>
      <c r="H112" s="627"/>
      <c r="I112" s="171"/>
      <c r="J112" s="171"/>
      <c r="K112" s="171"/>
      <c r="L112" s="171"/>
      <c r="M112" s="171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</row>
    <row r="113" spans="1:34" x14ac:dyDescent="0.3">
      <c r="A113" s="462"/>
      <c r="B113" s="464" t="s">
        <v>565</v>
      </c>
      <c r="C113" s="464"/>
      <c r="D113" s="171"/>
      <c r="E113" s="171"/>
      <c r="F113" s="627"/>
      <c r="G113" s="627"/>
      <c r="H113" s="627"/>
      <c r="I113" s="171"/>
      <c r="J113" s="171"/>
      <c r="K113" s="171"/>
      <c r="L113" s="171"/>
      <c r="M113" s="171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</row>
    <row r="114" spans="1:34" x14ac:dyDescent="0.3">
      <c r="A114" s="462" t="s">
        <v>655</v>
      </c>
      <c r="B114" s="461" t="s">
        <v>622</v>
      </c>
      <c r="C114" s="461"/>
      <c r="D114" s="521">
        <f t="shared" ref="D114:D119" si="2">SUM(E114:K114)</f>
        <v>0</v>
      </c>
      <c r="E114" s="521"/>
      <c r="F114" s="629"/>
      <c r="G114" s="629"/>
      <c r="H114" s="629"/>
      <c r="I114" s="521"/>
      <c r="J114" s="468"/>
      <c r="K114" s="468"/>
      <c r="L114" s="521">
        <v>1</v>
      </c>
      <c r="M114" s="468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</row>
    <row r="115" spans="1:34" x14ac:dyDescent="0.3">
      <c r="A115" s="462" t="s">
        <v>656</v>
      </c>
      <c r="B115" s="466" t="s">
        <v>569</v>
      </c>
      <c r="C115" s="466"/>
      <c r="D115" s="521">
        <f t="shared" si="2"/>
        <v>0</v>
      </c>
      <c r="E115" s="521"/>
      <c r="F115" s="629"/>
      <c r="G115" s="629"/>
      <c r="H115" s="629"/>
      <c r="I115" s="521"/>
      <c r="J115" s="468"/>
      <c r="K115" s="468"/>
      <c r="L115" s="521">
        <v>1</v>
      </c>
      <c r="M115" s="468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</row>
    <row r="116" spans="1:34" x14ac:dyDescent="0.3">
      <c r="A116" s="462" t="s">
        <v>657</v>
      </c>
      <c r="B116" s="461" t="s">
        <v>658</v>
      </c>
      <c r="C116" s="461"/>
      <c r="D116" s="521">
        <f t="shared" si="2"/>
        <v>1</v>
      </c>
      <c r="E116" s="521">
        <v>1</v>
      </c>
      <c r="F116" s="629"/>
      <c r="G116" s="629"/>
      <c r="H116" s="629"/>
      <c r="I116" s="521"/>
      <c r="J116" s="468"/>
      <c r="K116" s="468"/>
      <c r="L116" s="521">
        <v>1</v>
      </c>
      <c r="M116" s="521">
        <v>1</v>
      </c>
      <c r="N116" s="521">
        <v>1</v>
      </c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</row>
    <row r="117" spans="1:34" x14ac:dyDescent="0.3">
      <c r="A117" s="462" t="s">
        <v>659</v>
      </c>
      <c r="B117" s="461" t="s">
        <v>660</v>
      </c>
      <c r="C117" s="461"/>
      <c r="D117" s="521">
        <f t="shared" si="2"/>
        <v>0</v>
      </c>
      <c r="E117" s="521"/>
      <c r="F117" s="629"/>
      <c r="G117" s="629"/>
      <c r="H117" s="629"/>
      <c r="I117" s="521"/>
      <c r="J117" s="468"/>
      <c r="K117" s="468"/>
      <c r="L117" s="521">
        <v>1</v>
      </c>
      <c r="M117" s="468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</row>
    <row r="118" spans="1:34" x14ac:dyDescent="0.3">
      <c r="A118" s="462" t="s">
        <v>661</v>
      </c>
      <c r="B118" s="466" t="s">
        <v>662</v>
      </c>
      <c r="C118" s="466"/>
      <c r="D118" s="521">
        <f t="shared" si="2"/>
        <v>0</v>
      </c>
      <c r="E118" s="521"/>
      <c r="F118" s="629"/>
      <c r="G118" s="629"/>
      <c r="H118" s="629"/>
      <c r="I118" s="521"/>
      <c r="J118" s="171"/>
      <c r="K118" s="171"/>
      <c r="L118" s="521">
        <v>1</v>
      </c>
      <c r="M118" s="468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</row>
    <row r="119" spans="1:34" x14ac:dyDescent="0.3">
      <c r="A119" s="462" t="s">
        <v>663</v>
      </c>
      <c r="B119" s="466" t="s">
        <v>1334</v>
      </c>
      <c r="C119" s="466"/>
      <c r="D119" s="521">
        <f t="shared" si="2"/>
        <v>0</v>
      </c>
      <c r="E119" s="521"/>
      <c r="F119" s="629"/>
      <c r="G119" s="629"/>
      <c r="H119" s="629"/>
      <c r="I119" s="521"/>
      <c r="J119" s="468"/>
      <c r="K119" s="468"/>
      <c r="L119" s="521">
        <v>1</v>
      </c>
      <c r="M119" s="468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</row>
    <row r="120" spans="1:34" x14ac:dyDescent="0.3">
      <c r="A120" s="462"/>
      <c r="B120" s="474" t="s">
        <v>524</v>
      </c>
      <c r="C120" s="474"/>
      <c r="D120" s="171"/>
      <c r="E120" s="171"/>
      <c r="F120" s="627"/>
      <c r="G120" s="627"/>
      <c r="H120" s="627"/>
      <c r="I120" s="171"/>
      <c r="J120" s="171"/>
      <c r="K120" s="171"/>
      <c r="L120" s="521">
        <v>1</v>
      </c>
      <c r="M120" s="171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</row>
    <row r="121" spans="1:34" x14ac:dyDescent="0.3">
      <c r="A121" s="462"/>
      <c r="B121" s="461"/>
      <c r="C121" s="461"/>
      <c r="D121" s="171"/>
      <c r="E121" s="171"/>
      <c r="F121" s="627"/>
      <c r="G121" s="627"/>
      <c r="H121" s="627"/>
      <c r="I121" s="171"/>
      <c r="J121" s="171"/>
      <c r="K121" s="171"/>
      <c r="L121" s="171"/>
      <c r="M121" s="171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</row>
    <row r="122" spans="1:34" x14ac:dyDescent="0.3">
      <c r="A122" s="462"/>
      <c r="B122" s="479" t="s">
        <v>541</v>
      </c>
      <c r="C122" s="479"/>
      <c r="D122" s="171"/>
      <c r="E122" s="171"/>
      <c r="F122" s="627"/>
      <c r="G122" s="627"/>
      <c r="H122" s="627"/>
      <c r="I122" s="171"/>
      <c r="J122" s="171"/>
      <c r="K122" s="171"/>
      <c r="L122" s="171"/>
      <c r="M122" s="171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</row>
    <row r="123" spans="1:34" x14ac:dyDescent="0.3">
      <c r="A123" s="462"/>
      <c r="B123" s="461"/>
      <c r="C123" s="461"/>
      <c r="D123" s="171"/>
      <c r="E123" s="171"/>
      <c r="F123" s="627"/>
      <c r="G123" s="627"/>
      <c r="H123" s="627"/>
      <c r="I123" s="171"/>
      <c r="J123" s="171"/>
      <c r="K123" s="171"/>
      <c r="L123" s="171"/>
      <c r="M123" s="171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</row>
    <row r="124" spans="1:34" x14ac:dyDescent="0.3">
      <c r="A124" s="460" t="s">
        <v>367</v>
      </c>
      <c r="B124" s="461"/>
      <c r="C124" s="461"/>
      <c r="D124" s="171"/>
      <c r="E124" s="171"/>
      <c r="F124" s="627"/>
      <c r="G124" s="627"/>
      <c r="H124" s="627"/>
      <c r="I124" s="171"/>
      <c r="J124" s="171"/>
      <c r="K124" s="171"/>
      <c r="L124" s="171"/>
      <c r="M124" s="171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</row>
    <row r="125" spans="1:34" x14ac:dyDescent="0.3">
      <c r="A125" s="462"/>
      <c r="B125" s="464" t="s">
        <v>549</v>
      </c>
      <c r="C125" s="464"/>
      <c r="D125" s="171"/>
      <c r="E125" s="171"/>
      <c r="F125" s="627"/>
      <c r="G125" s="627"/>
      <c r="H125" s="627"/>
      <c r="I125" s="171"/>
      <c r="J125" s="171"/>
      <c r="K125" s="171"/>
      <c r="L125" s="171"/>
      <c r="M125" s="171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</row>
    <row r="126" spans="1:34" x14ac:dyDescent="0.3">
      <c r="A126" s="462" t="s">
        <v>665</v>
      </c>
      <c r="B126" s="461" t="s">
        <v>615</v>
      </c>
      <c r="C126" s="461"/>
      <c r="D126" s="468"/>
      <c r="E126" s="468"/>
      <c r="F126" s="630"/>
      <c r="G126" s="630"/>
      <c r="H126" s="630"/>
      <c r="I126" s="468"/>
      <c r="J126" s="468"/>
      <c r="K126" s="468"/>
      <c r="L126" s="468"/>
      <c r="M126" s="529">
        <f t="shared" ref="M126:M134" si="3">SUM(N126:W126)</f>
        <v>12937600.720000001</v>
      </c>
      <c r="N126" s="540">
        <f>'7b. LX_AG-sf'!N137</f>
        <v>8634367.3100000005</v>
      </c>
      <c r="O126" s="540">
        <f>'7b. LX_AG-sf'!O137</f>
        <v>1767482.5990522807</v>
      </c>
      <c r="P126" s="540">
        <f>'7b. LX_AG-sf'!P137</f>
        <v>485486.69380824105</v>
      </c>
      <c r="Q126" s="540">
        <f>'7b. LX_AG-sf'!Q137</f>
        <v>0</v>
      </c>
      <c r="R126" s="540">
        <f>'7b. LX_AG-sf'!R137</f>
        <v>1236178.3784310347</v>
      </c>
      <c r="S126" s="540">
        <f>'7b. LX_AG-sf'!S137</f>
        <v>327660.1222289888</v>
      </c>
      <c r="T126" s="540">
        <f>'7b. LX_AG-sf'!T137</f>
        <v>0</v>
      </c>
      <c r="U126" s="540">
        <f>'7b. LX_AG-sf'!U137</f>
        <v>0</v>
      </c>
      <c r="V126" s="540">
        <f>'7b. LX_AG-sf'!V137</f>
        <v>372462.35647945473</v>
      </c>
      <c r="W126" s="540">
        <f>'7b. LX_AG-sf'!W137</f>
        <v>113963.26</v>
      </c>
      <c r="X126" s="540">
        <f>SUM(Y126:Z126)</f>
        <v>2848395.52</v>
      </c>
      <c r="Y126" s="540">
        <f>'7b. LX_AG-sf'!Y137</f>
        <v>2848395.52</v>
      </c>
      <c r="Z126" s="540">
        <f>'7b. LX_AG-sf'!Z137</f>
        <v>0</v>
      </c>
      <c r="AA126" s="62"/>
      <c r="AB126" s="62"/>
      <c r="AC126" s="62"/>
      <c r="AD126" s="62"/>
      <c r="AE126" s="62"/>
      <c r="AF126" s="62"/>
      <c r="AG126" s="62"/>
      <c r="AH126" s="62"/>
    </row>
    <row r="127" spans="1:34" x14ac:dyDescent="0.3">
      <c r="A127" s="462" t="s">
        <v>666</v>
      </c>
      <c r="B127" s="466" t="s">
        <v>644</v>
      </c>
      <c r="C127" s="466"/>
      <c r="D127" s="468"/>
      <c r="E127" s="468"/>
      <c r="F127" s="630"/>
      <c r="G127" s="630"/>
      <c r="H127" s="630"/>
      <c r="I127" s="468"/>
      <c r="J127" s="468"/>
      <c r="K127" s="468"/>
      <c r="L127" s="468"/>
      <c r="M127" s="521">
        <f t="shared" si="3"/>
        <v>1</v>
      </c>
      <c r="N127" s="526">
        <v>1</v>
      </c>
      <c r="O127" s="540"/>
      <c r="P127" s="540"/>
      <c r="Q127" s="540"/>
      <c r="R127" s="540"/>
      <c r="S127" s="540"/>
      <c r="T127" s="540"/>
      <c r="U127" s="540"/>
      <c r="V127" s="540"/>
      <c r="W127" s="540"/>
      <c r="X127" s="540"/>
      <c r="Y127" s="540"/>
      <c r="Z127" s="540"/>
      <c r="AA127" s="62"/>
      <c r="AB127" s="62"/>
      <c r="AC127" s="62"/>
      <c r="AD127" s="62"/>
      <c r="AE127" s="62"/>
      <c r="AF127" s="62"/>
      <c r="AG127" s="62"/>
      <c r="AH127" s="62"/>
    </row>
    <row r="128" spans="1:34" x14ac:dyDescent="0.3">
      <c r="A128" s="462" t="s">
        <v>667</v>
      </c>
      <c r="B128" s="461" t="s">
        <v>668</v>
      </c>
      <c r="C128" s="461"/>
      <c r="D128" s="468"/>
      <c r="E128" s="468"/>
      <c r="F128" s="630"/>
      <c r="G128" s="630"/>
      <c r="H128" s="630"/>
      <c r="I128" s="468"/>
      <c r="J128" s="468"/>
      <c r="K128" s="468"/>
      <c r="L128" s="468"/>
      <c r="M128" s="521">
        <f t="shared" si="3"/>
        <v>1</v>
      </c>
      <c r="N128" s="526">
        <v>1</v>
      </c>
      <c r="O128" s="526"/>
      <c r="P128" s="526"/>
      <c r="Q128" s="526"/>
      <c r="R128" s="526"/>
      <c r="S128" s="526"/>
      <c r="T128" s="526"/>
      <c r="U128" s="526"/>
      <c r="V128" s="526"/>
      <c r="W128" s="526"/>
      <c r="X128" s="526"/>
      <c r="Y128" s="62"/>
      <c r="Z128" s="526"/>
      <c r="AA128" s="62"/>
      <c r="AB128" s="62"/>
      <c r="AC128" s="62"/>
      <c r="AD128" s="62"/>
      <c r="AE128" s="62"/>
      <c r="AF128" s="62"/>
      <c r="AG128" s="62"/>
      <c r="AH128" s="62"/>
    </row>
    <row r="129" spans="1:34" x14ac:dyDescent="0.3">
      <c r="A129" s="462" t="s">
        <v>669</v>
      </c>
      <c r="B129" s="461" t="s">
        <v>670</v>
      </c>
      <c r="C129" s="484" t="s">
        <v>133</v>
      </c>
      <c r="D129" s="468"/>
      <c r="E129" s="468"/>
      <c r="F129" s="630"/>
      <c r="G129" s="630"/>
      <c r="H129" s="630"/>
      <c r="I129" s="468"/>
      <c r="J129" s="468"/>
      <c r="K129" s="468"/>
      <c r="L129" s="468"/>
      <c r="M129" s="172">
        <f t="shared" si="3"/>
        <v>531464462.99999994</v>
      </c>
      <c r="N129" s="172"/>
      <c r="O129" s="518">
        <f>SUM('2b. RB-sf'!O83:O84)</f>
        <v>193796564.08744121</v>
      </c>
      <c r="P129" s="518">
        <f>SUM('2b. RB-sf'!P83:P84)</f>
        <v>56423593.50888855</v>
      </c>
      <c r="Q129" s="518"/>
      <c r="R129" s="518">
        <f>SUM('2b. RB-sf'!R83:R84)</f>
        <v>198770747.01239121</v>
      </c>
      <c r="S129" s="518">
        <f>SUM('2b. RB-sf'!S83:S84)</f>
        <v>56991962.420869052</v>
      </c>
      <c r="T129" s="518"/>
      <c r="U129" s="518"/>
      <c r="V129" s="518">
        <f>SUM('2b. RB-sf'!V83:V84)</f>
        <v>25481595.970409941</v>
      </c>
      <c r="W129" s="526"/>
      <c r="X129" s="526"/>
      <c r="Y129" s="62"/>
      <c r="Z129" s="526"/>
      <c r="AA129" s="62"/>
      <c r="AB129" s="62"/>
      <c r="AC129" s="62"/>
      <c r="AD129" s="62"/>
      <c r="AE129" s="62"/>
      <c r="AF129" s="62"/>
      <c r="AG129" s="62"/>
      <c r="AH129" s="62"/>
    </row>
    <row r="130" spans="1:34" x14ac:dyDescent="0.3">
      <c r="A130" s="462" t="s">
        <v>671</v>
      </c>
      <c r="B130" s="461" t="s">
        <v>649</v>
      </c>
      <c r="C130" s="484" t="s">
        <v>135</v>
      </c>
      <c r="D130" s="468"/>
      <c r="E130" s="468"/>
      <c r="F130" s="630"/>
      <c r="G130" s="630"/>
      <c r="H130" s="630"/>
      <c r="I130" s="468"/>
      <c r="J130" s="468"/>
      <c r="K130" s="468"/>
      <c r="L130" s="468"/>
      <c r="M130" s="172">
        <f t="shared" si="3"/>
        <v>659221652.87</v>
      </c>
      <c r="N130" s="172"/>
      <c r="O130" s="518">
        <f>SUM('2b. RB-sf'!O85:O86)</f>
        <v>403726645.98336506</v>
      </c>
      <c r="P130" s="518">
        <f>SUM('2b. RB-sf'!P85:P86)</f>
        <v>103136871.79609576</v>
      </c>
      <c r="Q130" s="518"/>
      <c r="R130" s="518">
        <f>SUM('2b. RB-sf'!R85:R86)</f>
        <v>128707466.14319648</v>
      </c>
      <c r="S130" s="518">
        <f>SUM('2b. RB-sf'!S85:S86)</f>
        <v>23650668.947342701</v>
      </c>
      <c r="T130" s="518"/>
      <c r="U130" s="518"/>
      <c r="V130" s="518">
        <f>SUM('2b. RB-sf'!V85:V86)</f>
        <v>0</v>
      </c>
      <c r="W130" s="526"/>
      <c r="X130" s="526"/>
      <c r="Y130" s="62"/>
      <c r="Z130" s="526"/>
      <c r="AA130" s="62"/>
      <c r="AB130" s="62"/>
      <c r="AC130" s="62"/>
      <c r="AD130" s="62"/>
      <c r="AE130" s="62"/>
      <c r="AF130" s="62"/>
      <c r="AG130" s="62"/>
      <c r="AH130" s="62"/>
    </row>
    <row r="131" spans="1:34" x14ac:dyDescent="0.3">
      <c r="A131" s="462" t="s">
        <v>672</v>
      </c>
      <c r="B131" s="461" t="s">
        <v>673</v>
      </c>
      <c r="C131" s="461"/>
      <c r="D131" s="468"/>
      <c r="E131" s="468"/>
      <c r="F131" s="630"/>
      <c r="G131" s="630"/>
      <c r="H131" s="630"/>
      <c r="I131" s="468"/>
      <c r="J131" s="468"/>
      <c r="K131" s="468"/>
      <c r="L131" s="468"/>
      <c r="M131" s="521">
        <f t="shared" si="3"/>
        <v>1</v>
      </c>
      <c r="N131" s="526"/>
      <c r="O131" s="526"/>
      <c r="P131" s="526"/>
      <c r="Q131" s="526"/>
      <c r="R131" s="526"/>
      <c r="S131" s="526"/>
      <c r="T131" s="526"/>
      <c r="U131" s="526"/>
      <c r="V131" s="526">
        <v>1</v>
      </c>
      <c r="W131" s="526"/>
      <c r="X131" s="526"/>
      <c r="Y131" s="62"/>
      <c r="Z131" s="526"/>
      <c r="AA131" s="62"/>
      <c r="AB131" s="62"/>
      <c r="AC131" s="62"/>
      <c r="AD131" s="62"/>
      <c r="AE131" s="62"/>
      <c r="AF131" s="62"/>
      <c r="AG131" s="62"/>
      <c r="AH131" s="62"/>
    </row>
    <row r="132" spans="1:34" x14ac:dyDescent="0.3">
      <c r="A132" s="462" t="s">
        <v>674</v>
      </c>
      <c r="B132" s="461" t="s">
        <v>675</v>
      </c>
      <c r="C132" s="461"/>
      <c r="D132" s="468"/>
      <c r="E132" s="468"/>
      <c r="F132" s="630"/>
      <c r="G132" s="630"/>
      <c r="H132" s="630"/>
      <c r="I132" s="468"/>
      <c r="J132" s="468"/>
      <c r="K132" s="468"/>
      <c r="L132" s="468"/>
      <c r="M132" s="521">
        <f t="shared" si="3"/>
        <v>0</v>
      </c>
      <c r="N132" s="526"/>
      <c r="O132" s="526"/>
      <c r="P132" s="526"/>
      <c r="Q132" s="526"/>
      <c r="R132" s="526"/>
      <c r="S132" s="526"/>
      <c r="T132" s="526"/>
      <c r="U132" s="526"/>
      <c r="V132" s="526"/>
      <c r="W132" s="526"/>
      <c r="X132" s="526">
        <f>SUM(Y132:Z132)</f>
        <v>1</v>
      </c>
      <c r="Y132" s="526">
        <v>1</v>
      </c>
      <c r="Z132" s="526">
        <v>0</v>
      </c>
      <c r="AA132" s="62"/>
      <c r="AB132" s="62"/>
      <c r="AC132" s="62"/>
      <c r="AD132" s="62"/>
      <c r="AE132" s="62"/>
      <c r="AF132" s="62"/>
      <c r="AG132" s="62"/>
      <c r="AH132" s="62"/>
    </row>
    <row r="133" spans="1:34" x14ac:dyDescent="0.3">
      <c r="A133" s="462" t="s">
        <v>676</v>
      </c>
      <c r="B133" s="461" t="s">
        <v>677</v>
      </c>
      <c r="C133" s="461"/>
      <c r="D133" s="468"/>
      <c r="E133" s="468"/>
      <c r="F133" s="630"/>
      <c r="G133" s="630"/>
      <c r="H133" s="630"/>
      <c r="I133" s="468"/>
      <c r="J133" s="468"/>
      <c r="K133" s="468"/>
      <c r="L133" s="468"/>
      <c r="M133" s="521">
        <f t="shared" si="3"/>
        <v>1</v>
      </c>
      <c r="N133" s="540"/>
      <c r="O133" s="540"/>
      <c r="P133" s="540"/>
      <c r="Q133" s="540"/>
      <c r="R133" s="540"/>
      <c r="S133" s="540"/>
      <c r="T133" s="540"/>
      <c r="U133" s="540"/>
      <c r="V133" s="540"/>
      <c r="W133" s="526">
        <v>1</v>
      </c>
      <c r="X133" s="526"/>
      <c r="Y133" s="62"/>
      <c r="Z133" s="526"/>
      <c r="AA133" s="62"/>
      <c r="AB133" s="62"/>
      <c r="AC133" s="62"/>
      <c r="AD133" s="62"/>
      <c r="AE133" s="62"/>
      <c r="AF133" s="62"/>
      <c r="AG133" s="62"/>
      <c r="AH133" s="62"/>
    </row>
    <row r="134" spans="1:34" x14ac:dyDescent="0.3">
      <c r="A134" s="462" t="s">
        <v>678</v>
      </c>
      <c r="B134" s="466" t="s">
        <v>679</v>
      </c>
      <c r="C134" s="466"/>
      <c r="D134" s="468"/>
      <c r="E134" s="468"/>
      <c r="F134" s="630"/>
      <c r="G134" s="630"/>
      <c r="H134" s="630"/>
      <c r="I134" s="468"/>
      <c r="J134" s="468"/>
      <c r="K134" s="468"/>
      <c r="L134" s="468"/>
      <c r="M134" s="529">
        <f t="shared" si="3"/>
        <v>12937600.720000001</v>
      </c>
      <c r="N134" s="540">
        <f>'7b. LX_AG-sf'!N137</f>
        <v>8634367.3100000005</v>
      </c>
      <c r="O134" s="540">
        <f>'7b. LX_AG-sf'!O137</f>
        <v>1767482.5990522807</v>
      </c>
      <c r="P134" s="540">
        <f>'7b. LX_AG-sf'!P137</f>
        <v>485486.69380824105</v>
      </c>
      <c r="Q134" s="540">
        <f>'7b. LX_AG-sf'!Q137</f>
        <v>0</v>
      </c>
      <c r="R134" s="540">
        <f>'7b. LX_AG-sf'!R137</f>
        <v>1236178.3784310347</v>
      </c>
      <c r="S134" s="540">
        <f>'7b. LX_AG-sf'!S137</f>
        <v>327660.1222289888</v>
      </c>
      <c r="T134" s="540">
        <f>'7b. LX_AG-sf'!T137</f>
        <v>0</v>
      </c>
      <c r="U134" s="540">
        <f>'7b. LX_AG-sf'!U137</f>
        <v>0</v>
      </c>
      <c r="V134" s="540">
        <f>'7b. LX_AG-sf'!V137</f>
        <v>372462.35647945473</v>
      </c>
      <c r="W134" s="540">
        <f>'7b. LX_AG-sf'!W137</f>
        <v>113963.26</v>
      </c>
      <c r="X134" s="540">
        <f>SUM(Y134:Z134)</f>
        <v>2848395.52</v>
      </c>
      <c r="Y134" s="540">
        <f>'7b. LX_AG-sf'!Y137</f>
        <v>2848395.52</v>
      </c>
      <c r="Z134" s="540">
        <f>'7b. LX_AG-sf'!Z137</f>
        <v>0</v>
      </c>
      <c r="AA134" s="62"/>
      <c r="AB134" s="62"/>
      <c r="AC134" s="62"/>
      <c r="AD134" s="62"/>
      <c r="AE134" s="62"/>
      <c r="AF134" s="62"/>
      <c r="AG134" s="62"/>
      <c r="AH134" s="62"/>
    </row>
    <row r="135" spans="1:34" x14ac:dyDescent="0.3">
      <c r="A135" s="462" t="s">
        <v>680</v>
      </c>
      <c r="B135" s="461" t="s">
        <v>564</v>
      </c>
      <c r="C135" s="461"/>
      <c r="D135" s="468"/>
      <c r="E135" s="468"/>
      <c r="F135" s="630"/>
      <c r="G135" s="630"/>
      <c r="H135" s="630"/>
      <c r="I135" s="468"/>
      <c r="J135" s="468"/>
      <c r="K135" s="468"/>
      <c r="L135" s="468"/>
      <c r="M135" s="529"/>
      <c r="N135" s="540"/>
      <c r="O135" s="540"/>
      <c r="P135" s="540"/>
      <c r="Q135" s="540"/>
      <c r="R135" s="540"/>
      <c r="S135" s="540"/>
      <c r="T135" s="540"/>
      <c r="U135" s="540"/>
      <c r="V135" s="540"/>
      <c r="W135" s="540"/>
      <c r="X135" s="526"/>
      <c r="Y135" s="62"/>
      <c r="Z135" s="526"/>
      <c r="AA135" s="62"/>
      <c r="AB135" s="62"/>
      <c r="AC135" s="62"/>
      <c r="AD135" s="62"/>
      <c r="AE135" s="62"/>
      <c r="AF135" s="62"/>
      <c r="AG135" s="62"/>
      <c r="AH135" s="62"/>
    </row>
    <row r="136" spans="1:34" x14ac:dyDescent="0.3">
      <c r="A136" s="462"/>
      <c r="B136" s="474" t="s">
        <v>524</v>
      </c>
      <c r="C136" s="474"/>
      <c r="D136" s="171"/>
      <c r="E136" s="171"/>
      <c r="F136" s="627"/>
      <c r="G136" s="627"/>
      <c r="H136" s="627"/>
      <c r="I136" s="171"/>
      <c r="J136" s="171"/>
      <c r="K136" s="171"/>
      <c r="L136" s="171"/>
      <c r="M136" s="171"/>
      <c r="N136" s="526"/>
      <c r="O136" s="526"/>
      <c r="P136" s="526"/>
      <c r="Q136" s="526"/>
      <c r="R136" s="526"/>
      <c r="S136" s="526"/>
      <c r="T136" s="526"/>
      <c r="U136" s="526"/>
      <c r="V136" s="526"/>
      <c r="W136" s="526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</row>
    <row r="137" spans="1:34" x14ac:dyDescent="0.3">
      <c r="A137" s="462"/>
      <c r="B137" s="461"/>
      <c r="C137" s="461"/>
      <c r="D137" s="171"/>
      <c r="E137" s="171"/>
      <c r="F137" s="627"/>
      <c r="G137" s="627"/>
      <c r="H137" s="627"/>
      <c r="I137" s="171"/>
      <c r="J137" s="171"/>
      <c r="K137" s="171"/>
      <c r="L137" s="171"/>
      <c r="M137" s="171"/>
      <c r="N137" s="526"/>
      <c r="O137" s="526"/>
      <c r="P137" s="526"/>
      <c r="Q137" s="526"/>
      <c r="R137" s="526"/>
      <c r="S137" s="526"/>
      <c r="T137" s="526"/>
      <c r="U137" s="526"/>
      <c r="V137" s="526"/>
      <c r="W137" s="526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</row>
    <row r="138" spans="1:34" x14ac:dyDescent="0.3">
      <c r="A138" s="462"/>
      <c r="B138" s="464" t="s">
        <v>565</v>
      </c>
      <c r="C138" s="464"/>
      <c r="D138" s="171"/>
      <c r="E138" s="171"/>
      <c r="F138" s="627"/>
      <c r="G138" s="627"/>
      <c r="H138" s="627"/>
      <c r="I138" s="171"/>
      <c r="J138" s="171"/>
      <c r="K138" s="171"/>
      <c r="L138" s="171"/>
      <c r="M138" s="171"/>
      <c r="N138" s="526"/>
      <c r="O138" s="526"/>
      <c r="P138" s="526"/>
      <c r="Q138" s="526"/>
      <c r="R138" s="526"/>
      <c r="S138" s="526"/>
      <c r="T138" s="526"/>
      <c r="U138" s="526"/>
      <c r="V138" s="526"/>
      <c r="W138" s="526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</row>
    <row r="139" spans="1:34" x14ac:dyDescent="0.3">
      <c r="A139" s="462" t="s">
        <v>681</v>
      </c>
      <c r="B139" s="461" t="s">
        <v>682</v>
      </c>
      <c r="C139" s="461"/>
      <c r="D139" s="468"/>
      <c r="E139" s="468"/>
      <c r="F139" s="630"/>
      <c r="G139" s="630"/>
      <c r="H139" s="630"/>
      <c r="I139" s="468"/>
      <c r="J139" s="468"/>
      <c r="K139" s="468"/>
      <c r="L139" s="468"/>
      <c r="M139" s="529">
        <f>SUM(N139:W139)</f>
        <v>32139248.07</v>
      </c>
      <c r="N139" s="540">
        <f>'7b. LX_AG-sf'!N149</f>
        <v>3791811.89</v>
      </c>
      <c r="O139" s="540">
        <f>'7b. LX_AG-sf'!O149</f>
        <v>11857082.286086813</v>
      </c>
      <c r="P139" s="540">
        <f>'7b. LX_AG-sf'!P149</f>
        <v>3265031.2430981193</v>
      </c>
      <c r="Q139" s="540">
        <f>'7b. LX_AG-sf'!Q149</f>
        <v>770577.63338404219</v>
      </c>
      <c r="R139" s="540">
        <f>'7b. LX_AG-sf'!R149</f>
        <v>8454566.588569982</v>
      </c>
      <c r="S139" s="540">
        <f>'7b. LX_AG-sf'!S149</f>
        <v>2251971.4886320787</v>
      </c>
      <c r="T139" s="540">
        <f>'7b. LX_AG-sf'!T149</f>
        <v>842355.42661595787</v>
      </c>
      <c r="U139" s="540">
        <f>'7b. LX_AG-sf'!U149</f>
        <v>0</v>
      </c>
      <c r="V139" s="540">
        <f>'7b. LX_AG-sf'!V149</f>
        <v>905851.51361300796</v>
      </c>
      <c r="W139" s="540">
        <f>'7b. LX_AG-sf'!W149</f>
        <v>0</v>
      </c>
      <c r="X139" s="540">
        <f>SUM(Y139:Z139)</f>
        <v>1437678.87</v>
      </c>
      <c r="Y139" s="540">
        <f>'7b. LX_AG-sf'!Y149</f>
        <v>1437678.87</v>
      </c>
      <c r="Z139" s="540">
        <f>'7b. LX_AG-sf'!Z149</f>
        <v>0</v>
      </c>
      <c r="AA139" s="62"/>
      <c r="AB139" s="62"/>
      <c r="AC139" s="62"/>
      <c r="AD139" s="62"/>
      <c r="AE139" s="62"/>
      <c r="AF139" s="62"/>
      <c r="AG139" s="62"/>
      <c r="AH139" s="62"/>
    </row>
    <row r="140" spans="1:34" x14ac:dyDescent="0.3">
      <c r="A140" s="462" t="s">
        <v>683</v>
      </c>
      <c r="B140" s="466" t="s">
        <v>569</v>
      </c>
      <c r="C140" s="466"/>
      <c r="D140" s="468"/>
      <c r="E140" s="468"/>
      <c r="F140" s="630"/>
      <c r="G140" s="630"/>
      <c r="H140" s="630"/>
      <c r="I140" s="468"/>
      <c r="J140" s="468"/>
      <c r="K140" s="468"/>
      <c r="L140" s="468"/>
      <c r="M140" s="529"/>
      <c r="N140" s="540"/>
      <c r="O140" s="540"/>
      <c r="P140" s="540"/>
      <c r="Q140" s="540"/>
      <c r="R140" s="540"/>
      <c r="S140" s="540"/>
      <c r="T140" s="540"/>
      <c r="U140" s="540"/>
      <c r="V140" s="540"/>
      <c r="W140" s="540"/>
      <c r="X140" s="526"/>
      <c r="Y140" s="62"/>
      <c r="Z140" s="526"/>
      <c r="AA140" s="62"/>
      <c r="AB140" s="62"/>
      <c r="AC140" s="62"/>
      <c r="AD140" s="62"/>
      <c r="AE140" s="62"/>
      <c r="AF140" s="62"/>
      <c r="AG140" s="62"/>
      <c r="AH140" s="62"/>
    </row>
    <row r="141" spans="1:34" x14ac:dyDescent="0.3">
      <c r="A141" s="462" t="s">
        <v>684</v>
      </c>
      <c r="B141" s="461" t="s">
        <v>658</v>
      </c>
      <c r="C141" s="461"/>
      <c r="D141" s="468"/>
      <c r="E141" s="468"/>
      <c r="F141" s="630"/>
      <c r="G141" s="630"/>
      <c r="H141" s="630"/>
      <c r="I141" s="468"/>
      <c r="J141" s="468"/>
      <c r="K141" s="468"/>
      <c r="L141" s="468"/>
      <c r="M141" s="521">
        <f t="shared" ref="M141:M146" si="4">SUM(N141:W141)</f>
        <v>1</v>
      </c>
      <c r="N141" s="526">
        <v>1</v>
      </c>
      <c r="O141" s="526"/>
      <c r="P141" s="526"/>
      <c r="Q141" s="526"/>
      <c r="R141" s="526"/>
      <c r="S141" s="526"/>
      <c r="T141" s="526"/>
      <c r="U141" s="526"/>
      <c r="V141" s="526"/>
      <c r="W141" s="526"/>
      <c r="X141" s="526"/>
      <c r="Y141" s="62"/>
      <c r="Z141" s="526"/>
      <c r="AA141" s="62"/>
      <c r="AB141" s="62"/>
      <c r="AC141" s="62"/>
      <c r="AD141" s="62"/>
      <c r="AE141" s="62"/>
      <c r="AF141" s="62"/>
      <c r="AG141" s="62"/>
      <c r="AH141" s="62"/>
    </row>
    <row r="142" spans="1:34" x14ac:dyDescent="0.3">
      <c r="A142" s="462" t="s">
        <v>685</v>
      </c>
      <c r="B142" s="466" t="s">
        <v>660</v>
      </c>
      <c r="C142" s="484" t="s">
        <v>133</v>
      </c>
      <c r="D142" s="468"/>
      <c r="E142" s="468"/>
      <c r="F142" s="630"/>
      <c r="G142" s="630"/>
      <c r="H142" s="630"/>
      <c r="I142" s="468"/>
      <c r="J142" s="468"/>
      <c r="K142" s="468"/>
      <c r="L142" s="468"/>
      <c r="M142" s="172">
        <f t="shared" si="4"/>
        <v>531464462.99999994</v>
      </c>
      <c r="N142" s="172"/>
      <c r="O142" s="518">
        <f>O129</f>
        <v>193796564.08744121</v>
      </c>
      <c r="P142" s="518">
        <f>P129</f>
        <v>56423593.50888855</v>
      </c>
      <c r="Q142" s="518"/>
      <c r="R142" s="518">
        <f>R129</f>
        <v>198770747.01239121</v>
      </c>
      <c r="S142" s="518">
        <f>S129</f>
        <v>56991962.420869052</v>
      </c>
      <c r="T142" s="518"/>
      <c r="U142" s="518"/>
      <c r="V142" s="518">
        <f>V129</f>
        <v>25481595.970409941</v>
      </c>
      <c r="W142" s="526"/>
      <c r="X142" s="526"/>
      <c r="Y142" s="62"/>
      <c r="Z142" s="526"/>
      <c r="AA142" s="62"/>
      <c r="AB142" s="62"/>
      <c r="AC142" s="62"/>
      <c r="AD142" s="62"/>
      <c r="AE142" s="62"/>
      <c r="AF142" s="62"/>
      <c r="AG142" s="62"/>
      <c r="AH142" s="62"/>
    </row>
    <row r="143" spans="1:34" x14ac:dyDescent="0.3">
      <c r="A143" s="462" t="s">
        <v>686</v>
      </c>
      <c r="B143" s="461" t="s">
        <v>662</v>
      </c>
      <c r="C143" s="484" t="s">
        <v>135</v>
      </c>
      <c r="D143" s="468"/>
      <c r="E143" s="468"/>
      <c r="F143" s="630"/>
      <c r="G143" s="630"/>
      <c r="H143" s="630"/>
      <c r="I143" s="468"/>
      <c r="J143" s="468"/>
      <c r="K143" s="468"/>
      <c r="L143" s="468"/>
      <c r="M143" s="172">
        <f t="shared" si="4"/>
        <v>659221652.87</v>
      </c>
      <c r="N143" s="172"/>
      <c r="O143" s="518">
        <f>O130</f>
        <v>403726645.98336506</v>
      </c>
      <c r="P143" s="518">
        <f>P130</f>
        <v>103136871.79609576</v>
      </c>
      <c r="Q143" s="518"/>
      <c r="R143" s="518">
        <f>R130</f>
        <v>128707466.14319648</v>
      </c>
      <c r="S143" s="518">
        <f>S130</f>
        <v>23650668.947342701</v>
      </c>
      <c r="T143" s="518"/>
      <c r="U143" s="518"/>
      <c r="V143" s="518">
        <f>V130</f>
        <v>0</v>
      </c>
      <c r="W143" s="526"/>
      <c r="X143" s="526"/>
      <c r="Y143" s="62"/>
      <c r="Z143" s="526"/>
      <c r="AA143" s="62"/>
      <c r="AB143" s="62"/>
      <c r="AC143" s="62"/>
      <c r="AD143" s="62"/>
      <c r="AE143" s="62"/>
      <c r="AF143" s="62"/>
      <c r="AG143" s="62"/>
      <c r="AH143" s="62"/>
    </row>
    <row r="144" spans="1:34" x14ac:dyDescent="0.3">
      <c r="A144" s="462" t="s">
        <v>687</v>
      </c>
      <c r="B144" s="461" t="s">
        <v>688</v>
      </c>
      <c r="C144" s="484" t="s">
        <v>136</v>
      </c>
      <c r="D144" s="468"/>
      <c r="E144" s="468"/>
      <c r="F144" s="630"/>
      <c r="G144" s="630"/>
      <c r="H144" s="630"/>
      <c r="I144" s="468"/>
      <c r="J144" s="468"/>
      <c r="K144" s="468"/>
      <c r="L144" s="468"/>
      <c r="M144" s="172">
        <f t="shared" si="4"/>
        <v>365157456.27999997</v>
      </c>
      <c r="N144" s="521"/>
      <c r="O144" s="518"/>
      <c r="P144" s="518"/>
      <c r="Q144" s="172">
        <f>'2b. RB-sf'!Q87</f>
        <v>174453717.5478189</v>
      </c>
      <c r="R144" s="172"/>
      <c r="S144" s="172"/>
      <c r="T144" s="172">
        <f>'2b. RB-sf'!T87</f>
        <v>190703738.73218107</v>
      </c>
      <c r="U144" s="518"/>
      <c r="V144" s="518"/>
      <c r="W144" s="526"/>
      <c r="X144" s="526"/>
      <c r="Y144" s="62"/>
      <c r="Z144" s="526"/>
      <c r="AA144" s="62"/>
      <c r="AB144" s="62"/>
      <c r="AC144" s="62"/>
      <c r="AD144" s="62"/>
      <c r="AE144" s="62"/>
      <c r="AF144" s="62"/>
      <c r="AG144" s="62"/>
      <c r="AH144" s="62"/>
    </row>
    <row r="145" spans="1:34" x14ac:dyDescent="0.3">
      <c r="A145" s="462" t="s">
        <v>689</v>
      </c>
      <c r="B145" s="461" t="s">
        <v>690</v>
      </c>
      <c r="C145" s="461"/>
      <c r="D145" s="468"/>
      <c r="E145" s="468"/>
      <c r="F145" s="630"/>
      <c r="G145" s="630"/>
      <c r="H145" s="630"/>
      <c r="I145" s="468"/>
      <c r="J145" s="468"/>
      <c r="K145" s="468"/>
      <c r="L145" s="468"/>
      <c r="M145" s="521">
        <f t="shared" si="4"/>
        <v>1</v>
      </c>
      <c r="N145" s="526"/>
      <c r="O145" s="526"/>
      <c r="P145" s="526"/>
      <c r="Q145" s="526"/>
      <c r="R145" s="526"/>
      <c r="S145" s="526"/>
      <c r="T145" s="526"/>
      <c r="U145" s="526"/>
      <c r="V145" s="526">
        <v>1</v>
      </c>
      <c r="W145" s="526"/>
      <c r="X145" s="526"/>
      <c r="Y145" s="62"/>
      <c r="Z145" s="526"/>
      <c r="AA145" s="62"/>
      <c r="AB145" s="62"/>
      <c r="AC145" s="62"/>
      <c r="AD145" s="62"/>
      <c r="AE145" s="62"/>
      <c r="AF145" s="62"/>
      <c r="AG145" s="62"/>
      <c r="AH145" s="62"/>
    </row>
    <row r="146" spans="1:34" x14ac:dyDescent="0.3">
      <c r="A146" s="462" t="s">
        <v>691</v>
      </c>
      <c r="B146" s="461" t="s">
        <v>692</v>
      </c>
      <c r="C146" s="461"/>
      <c r="D146" s="468"/>
      <c r="E146" s="468"/>
      <c r="F146" s="630"/>
      <c r="G146" s="630"/>
      <c r="H146" s="630"/>
      <c r="I146" s="468"/>
      <c r="J146" s="468"/>
      <c r="K146" s="468"/>
      <c r="L146" s="468"/>
      <c r="M146" s="521">
        <f t="shared" si="4"/>
        <v>0</v>
      </c>
      <c r="N146" s="526"/>
      <c r="O146" s="526"/>
      <c r="P146" s="526"/>
      <c r="Q146" s="526"/>
      <c r="R146" s="526"/>
      <c r="S146" s="526"/>
      <c r="T146" s="526"/>
      <c r="U146" s="526"/>
      <c r="V146" s="526"/>
      <c r="W146" s="526"/>
      <c r="X146" s="526">
        <f>SUM(Y146:Z146)</f>
        <v>1</v>
      </c>
      <c r="Y146" s="526">
        <v>1</v>
      </c>
      <c r="Z146" s="526">
        <v>0</v>
      </c>
      <c r="AA146" s="62"/>
      <c r="AB146" s="62"/>
      <c r="AC146" s="62"/>
      <c r="AD146" s="62"/>
      <c r="AE146" s="62"/>
      <c r="AF146" s="62"/>
      <c r="AG146" s="62"/>
      <c r="AH146" s="62"/>
    </row>
    <row r="147" spans="1:34" x14ac:dyDescent="0.3">
      <c r="A147" s="462" t="s">
        <v>693</v>
      </c>
      <c r="B147" s="461" t="s">
        <v>694</v>
      </c>
      <c r="C147" s="461"/>
      <c r="D147" s="468"/>
      <c r="E147" s="468"/>
      <c r="F147" s="630"/>
      <c r="G147" s="630"/>
      <c r="H147" s="630"/>
      <c r="I147" s="468"/>
      <c r="J147" s="468"/>
      <c r="K147" s="468"/>
      <c r="L147" s="468"/>
      <c r="M147" s="529">
        <f>SUM(N147:W147)</f>
        <v>32139248.07</v>
      </c>
      <c r="N147" s="540">
        <f>'7b. LX_AG-sf'!N149</f>
        <v>3791811.89</v>
      </c>
      <c r="O147" s="540">
        <f>'7b. LX_AG-sf'!O149</f>
        <v>11857082.286086813</v>
      </c>
      <c r="P147" s="540">
        <f>'7b. LX_AG-sf'!P149</f>
        <v>3265031.2430981193</v>
      </c>
      <c r="Q147" s="540">
        <f>'7b. LX_AG-sf'!Q149</f>
        <v>770577.63338404219</v>
      </c>
      <c r="R147" s="540">
        <f>'7b. LX_AG-sf'!R149</f>
        <v>8454566.588569982</v>
      </c>
      <c r="S147" s="540">
        <f>'7b. LX_AG-sf'!S149</f>
        <v>2251971.4886320787</v>
      </c>
      <c r="T147" s="540">
        <f>'7b. LX_AG-sf'!T149</f>
        <v>842355.42661595787</v>
      </c>
      <c r="U147" s="540">
        <f>'7b. LX_AG-sf'!U149</f>
        <v>0</v>
      </c>
      <c r="V147" s="540">
        <f>'7b. LX_AG-sf'!V149</f>
        <v>905851.51361300796</v>
      </c>
      <c r="W147" s="540">
        <f>'7b. LX_AG-sf'!W149</f>
        <v>0</v>
      </c>
      <c r="X147" s="540">
        <f>SUM(Y147:Z147)</f>
        <v>1437678.87</v>
      </c>
      <c r="Y147" s="540">
        <f>'7b. LX_AG-sf'!Y149</f>
        <v>1437678.87</v>
      </c>
      <c r="Z147" s="540">
        <f>'7b. LX_AG-sf'!Z149</f>
        <v>0</v>
      </c>
      <c r="AA147" s="62"/>
      <c r="AB147" s="62"/>
      <c r="AC147" s="62"/>
      <c r="AD147" s="62"/>
      <c r="AE147" s="62"/>
      <c r="AF147" s="62"/>
      <c r="AG147" s="62"/>
      <c r="AH147" s="62"/>
    </row>
    <row r="148" spans="1:34" x14ac:dyDescent="0.3">
      <c r="A148" s="462"/>
      <c r="B148" s="474" t="s">
        <v>524</v>
      </c>
      <c r="C148" s="474"/>
      <c r="D148" s="171"/>
      <c r="E148" s="171"/>
      <c r="F148" s="627"/>
      <c r="G148" s="627"/>
      <c r="H148" s="627"/>
      <c r="I148" s="171"/>
      <c r="J148" s="171"/>
      <c r="K148" s="171"/>
      <c r="L148" s="171"/>
      <c r="M148" s="171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</row>
    <row r="149" spans="1:34" x14ac:dyDescent="0.3">
      <c r="A149" s="462"/>
      <c r="B149" s="461"/>
      <c r="C149" s="461"/>
      <c r="D149" s="171"/>
      <c r="E149" s="171"/>
      <c r="F149" s="627"/>
      <c r="G149" s="627"/>
      <c r="H149" s="627"/>
      <c r="I149" s="171"/>
      <c r="J149" s="171"/>
      <c r="K149" s="171"/>
      <c r="L149" s="171"/>
      <c r="M149" s="171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</row>
    <row r="150" spans="1:34" x14ac:dyDescent="0.3">
      <c r="A150" s="462"/>
      <c r="B150" s="479" t="s">
        <v>542</v>
      </c>
      <c r="C150" s="479"/>
      <c r="D150" s="171"/>
      <c r="E150" s="171"/>
      <c r="F150" s="627"/>
      <c r="G150" s="627"/>
      <c r="H150" s="627"/>
      <c r="I150" s="171"/>
      <c r="J150" s="171"/>
      <c r="K150" s="171"/>
      <c r="L150" s="171"/>
      <c r="M150" s="171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</row>
    <row r="151" spans="1:34" x14ac:dyDescent="0.3">
      <c r="A151" s="462"/>
      <c r="B151" s="479"/>
      <c r="C151" s="479"/>
      <c r="D151" s="171"/>
      <c r="E151" s="171"/>
      <c r="F151" s="627"/>
      <c r="G151" s="627"/>
      <c r="H151" s="627"/>
      <c r="I151" s="171"/>
      <c r="J151" s="171"/>
      <c r="K151" s="171"/>
      <c r="L151" s="171"/>
      <c r="M151" s="171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</row>
    <row r="152" spans="1:34" x14ac:dyDescent="0.3">
      <c r="A152" s="462"/>
      <c r="B152" s="479" t="s">
        <v>695</v>
      </c>
      <c r="C152" s="479"/>
      <c r="D152" s="171"/>
      <c r="E152" s="171"/>
      <c r="F152" s="627"/>
      <c r="G152" s="627"/>
      <c r="H152" s="627"/>
      <c r="I152" s="171"/>
      <c r="J152" s="171"/>
      <c r="K152" s="171"/>
      <c r="L152" s="171"/>
      <c r="M152" s="171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</row>
    <row r="153" spans="1:34" x14ac:dyDescent="0.3">
      <c r="A153" s="462"/>
      <c r="B153" s="479"/>
      <c r="C153" s="479"/>
      <c r="D153" s="171"/>
      <c r="E153" s="171"/>
      <c r="F153" s="627"/>
      <c r="G153" s="627"/>
      <c r="H153" s="627"/>
      <c r="I153" s="171"/>
      <c r="J153" s="171"/>
      <c r="K153" s="171"/>
      <c r="L153" s="171"/>
      <c r="M153" s="171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</row>
    <row r="154" spans="1:34" x14ac:dyDescent="0.3">
      <c r="A154" s="462"/>
      <c r="B154" s="461"/>
      <c r="C154" s="461"/>
      <c r="D154" s="171"/>
      <c r="E154" s="171"/>
      <c r="F154" s="627"/>
      <c r="G154" s="627"/>
      <c r="H154" s="627"/>
      <c r="I154" s="171"/>
      <c r="J154" s="171"/>
      <c r="K154" s="171"/>
      <c r="L154" s="171"/>
      <c r="M154" s="171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</row>
    <row r="155" spans="1:34" x14ac:dyDescent="0.3">
      <c r="A155" s="460" t="s">
        <v>840</v>
      </c>
      <c r="B155" s="461"/>
      <c r="C155" s="461"/>
      <c r="D155" s="171"/>
      <c r="E155" s="171"/>
      <c r="F155" s="627"/>
      <c r="G155" s="627"/>
      <c r="H155" s="627"/>
      <c r="I155" s="171"/>
      <c r="J155" s="171"/>
      <c r="K155" s="171"/>
      <c r="L155" s="171"/>
      <c r="M155" s="171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</row>
    <row r="156" spans="1:34" x14ac:dyDescent="0.3">
      <c r="A156" s="462"/>
      <c r="B156" s="461"/>
      <c r="C156" s="461"/>
      <c r="D156" s="171"/>
      <c r="E156" s="171"/>
      <c r="F156" s="627"/>
      <c r="G156" s="627"/>
      <c r="H156" s="627"/>
      <c r="I156" s="171"/>
      <c r="J156" s="171"/>
      <c r="K156" s="171"/>
      <c r="L156" s="171"/>
      <c r="M156" s="171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</row>
    <row r="157" spans="1:34" x14ac:dyDescent="0.3">
      <c r="A157" s="460" t="s">
        <v>839</v>
      </c>
      <c r="B157" s="461"/>
      <c r="C157" s="461"/>
      <c r="D157" s="171"/>
      <c r="E157" s="171"/>
      <c r="F157" s="627"/>
      <c r="G157" s="627"/>
      <c r="H157" s="627"/>
      <c r="I157" s="171"/>
      <c r="J157" s="171"/>
      <c r="K157" s="171"/>
      <c r="L157" s="171"/>
      <c r="M157" s="171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</row>
    <row r="158" spans="1:34" x14ac:dyDescent="0.3">
      <c r="A158" s="462"/>
      <c r="B158" s="461"/>
      <c r="C158" s="461"/>
      <c r="D158" s="171"/>
      <c r="E158" s="171"/>
      <c r="F158" s="627"/>
      <c r="G158" s="627"/>
      <c r="H158" s="627"/>
      <c r="I158" s="171"/>
      <c r="J158" s="171"/>
      <c r="K158" s="171"/>
      <c r="L158" s="171"/>
      <c r="M158" s="171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</row>
    <row r="159" spans="1:34" x14ac:dyDescent="0.3">
      <c r="A159" s="462"/>
      <c r="B159" s="464" t="s">
        <v>810</v>
      </c>
      <c r="C159" s="461"/>
      <c r="D159" s="171"/>
      <c r="E159" s="171"/>
      <c r="F159" s="627"/>
      <c r="G159" s="627"/>
      <c r="H159" s="627"/>
      <c r="I159" s="171"/>
      <c r="J159" s="171"/>
      <c r="K159" s="171"/>
      <c r="L159" s="171"/>
      <c r="M159" s="171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</row>
    <row r="160" spans="1:34" x14ac:dyDescent="0.3">
      <c r="A160" s="462" t="s">
        <v>1182</v>
      </c>
      <c r="B160" s="461" t="s">
        <v>1183</v>
      </c>
      <c r="C160" s="461"/>
      <c r="D160" s="171"/>
      <c r="E160" s="171"/>
      <c r="F160" s="627"/>
      <c r="G160" s="627"/>
      <c r="H160" s="627"/>
      <c r="I160" s="171"/>
      <c r="J160" s="171"/>
      <c r="K160" s="171"/>
      <c r="L160" s="171"/>
      <c r="M160" s="171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</row>
    <row r="161" spans="1:34" x14ac:dyDescent="0.3">
      <c r="A161" s="462" t="s">
        <v>841</v>
      </c>
      <c r="B161" s="461" t="s">
        <v>839</v>
      </c>
      <c r="C161" s="461"/>
      <c r="D161" s="171"/>
      <c r="E161" s="171"/>
      <c r="F161" s="627"/>
      <c r="G161" s="627"/>
      <c r="H161" s="627"/>
      <c r="I161" s="171"/>
      <c r="J161" s="171"/>
      <c r="K161" s="171"/>
      <c r="L161" s="171"/>
      <c r="M161" s="171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</row>
    <row r="162" spans="1:34" x14ac:dyDescent="0.3">
      <c r="A162" s="462" t="s">
        <v>844</v>
      </c>
      <c r="B162" s="461" t="s">
        <v>842</v>
      </c>
      <c r="C162" s="461"/>
      <c r="D162" s="171"/>
      <c r="E162" s="171"/>
      <c r="F162" s="627"/>
      <c r="G162" s="627"/>
      <c r="H162" s="627"/>
      <c r="I162" s="171"/>
      <c r="J162" s="171"/>
      <c r="K162" s="171"/>
      <c r="L162" s="171"/>
      <c r="M162" s="171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</row>
    <row r="163" spans="1:34" x14ac:dyDescent="0.3">
      <c r="A163" s="480" t="s">
        <v>1184</v>
      </c>
      <c r="B163" s="465" t="s">
        <v>1185</v>
      </c>
      <c r="C163" s="461"/>
      <c r="D163" s="171"/>
      <c r="E163" s="171"/>
      <c r="F163" s="627"/>
      <c r="G163" s="627"/>
      <c r="H163" s="627"/>
      <c r="I163" s="171"/>
      <c r="J163" s="171"/>
      <c r="K163" s="171"/>
      <c r="L163" s="171"/>
      <c r="M163" s="171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</row>
    <row r="164" spans="1:34" x14ac:dyDescent="0.3">
      <c r="A164" s="462" t="s">
        <v>845</v>
      </c>
      <c r="B164" s="461" t="s">
        <v>843</v>
      </c>
      <c r="C164" s="461"/>
      <c r="D164" s="171"/>
      <c r="E164" s="171"/>
      <c r="F164" s="627"/>
      <c r="G164" s="627"/>
      <c r="H164" s="627"/>
      <c r="I164" s="171"/>
      <c r="J164" s="171"/>
      <c r="K164" s="171"/>
      <c r="L164" s="171"/>
      <c r="M164" s="171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</row>
    <row r="165" spans="1:34" x14ac:dyDescent="0.3">
      <c r="A165" s="462"/>
      <c r="B165" s="479" t="s">
        <v>861</v>
      </c>
      <c r="C165" s="461"/>
      <c r="D165" s="171"/>
      <c r="E165" s="171"/>
      <c r="F165" s="627"/>
      <c r="G165" s="627"/>
      <c r="H165" s="627"/>
      <c r="I165" s="171"/>
      <c r="J165" s="171"/>
      <c r="K165" s="171"/>
      <c r="L165" s="171"/>
      <c r="M165" s="171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</row>
    <row r="166" spans="1:34" x14ac:dyDescent="0.3">
      <c r="A166" s="462"/>
      <c r="B166" s="461"/>
      <c r="C166" s="461"/>
      <c r="D166" s="171"/>
      <c r="E166" s="171"/>
      <c r="F166" s="627"/>
      <c r="G166" s="627"/>
      <c r="H166" s="627"/>
      <c r="I166" s="171"/>
      <c r="J166" s="171"/>
      <c r="K166" s="171"/>
      <c r="L166" s="171"/>
      <c r="M166" s="171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</row>
    <row r="167" spans="1:34" x14ac:dyDescent="0.3">
      <c r="A167" s="462"/>
      <c r="B167" s="464" t="s">
        <v>366</v>
      </c>
      <c r="C167" s="461"/>
      <c r="D167" s="171"/>
      <c r="E167" s="171"/>
      <c r="F167" s="627"/>
      <c r="G167" s="627"/>
      <c r="H167" s="627"/>
      <c r="I167" s="171"/>
      <c r="J167" s="171"/>
      <c r="K167" s="171"/>
      <c r="L167" s="171"/>
      <c r="M167" s="171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</row>
    <row r="168" spans="1:34" x14ac:dyDescent="0.3">
      <c r="A168" s="462" t="s">
        <v>1186</v>
      </c>
      <c r="B168" s="461" t="s">
        <v>1187</v>
      </c>
      <c r="C168" s="461"/>
      <c r="D168" s="171"/>
      <c r="E168" s="171"/>
      <c r="F168" s="627"/>
      <c r="G168" s="627"/>
      <c r="H168" s="627"/>
      <c r="I168" s="171"/>
      <c r="J168" s="171"/>
      <c r="K168" s="171"/>
      <c r="L168" s="171"/>
      <c r="M168" s="171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</row>
    <row r="169" spans="1:34" x14ac:dyDescent="0.3">
      <c r="A169" s="462" t="s">
        <v>1056</v>
      </c>
      <c r="B169" s="461" t="s">
        <v>1065</v>
      </c>
      <c r="C169" s="461"/>
      <c r="D169" s="171"/>
      <c r="E169" s="171"/>
      <c r="F169" s="627"/>
      <c r="G169" s="627"/>
      <c r="H169" s="627"/>
      <c r="I169" s="171"/>
      <c r="J169" s="171"/>
      <c r="K169" s="171"/>
      <c r="L169" s="171"/>
      <c r="M169" s="171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</row>
    <row r="170" spans="1:34" x14ac:dyDescent="0.3">
      <c r="A170" s="462" t="s">
        <v>1188</v>
      </c>
      <c r="B170" s="461" t="s">
        <v>1189</v>
      </c>
      <c r="C170" s="461"/>
      <c r="D170" s="171"/>
      <c r="E170" s="171"/>
      <c r="F170" s="627"/>
      <c r="G170" s="627"/>
      <c r="H170" s="627"/>
      <c r="I170" s="171"/>
      <c r="J170" s="171"/>
      <c r="K170" s="171"/>
      <c r="L170" s="171"/>
      <c r="M170" s="171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</row>
    <row r="171" spans="1:34" x14ac:dyDescent="0.3">
      <c r="A171" s="462" t="s">
        <v>1057</v>
      </c>
      <c r="B171" s="461" t="s">
        <v>1061</v>
      </c>
      <c r="C171" s="461"/>
      <c r="D171" s="171"/>
      <c r="E171" s="171"/>
      <c r="F171" s="627"/>
      <c r="G171" s="627"/>
      <c r="H171" s="627"/>
      <c r="I171" s="171"/>
      <c r="J171" s="171"/>
      <c r="K171" s="171"/>
      <c r="L171" s="171"/>
      <c r="M171" s="171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</row>
    <row r="172" spans="1:34" x14ac:dyDescent="0.3">
      <c r="A172" s="480" t="s">
        <v>1190</v>
      </c>
      <c r="B172" s="480" t="s">
        <v>1191</v>
      </c>
      <c r="C172" s="461"/>
      <c r="D172" s="171"/>
      <c r="E172" s="171"/>
      <c r="F172" s="627"/>
      <c r="G172" s="627"/>
      <c r="H172" s="627"/>
      <c r="I172" s="171"/>
      <c r="J172" s="171"/>
      <c r="K172" s="171"/>
      <c r="L172" s="171"/>
      <c r="M172" s="171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</row>
    <row r="173" spans="1:34" x14ac:dyDescent="0.3">
      <c r="A173" s="462" t="s">
        <v>1058</v>
      </c>
      <c r="B173" s="461" t="s">
        <v>1062</v>
      </c>
      <c r="C173" s="461"/>
      <c r="D173" s="171"/>
      <c r="E173" s="171"/>
      <c r="F173" s="627"/>
      <c r="G173" s="627"/>
      <c r="H173" s="627"/>
      <c r="I173" s="171"/>
      <c r="J173" s="171"/>
      <c r="K173" s="171"/>
      <c r="L173" s="171"/>
      <c r="M173" s="171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</row>
    <row r="174" spans="1:34" x14ac:dyDescent="0.3">
      <c r="A174" s="462" t="s">
        <v>1059</v>
      </c>
      <c r="B174" s="461" t="s">
        <v>1063</v>
      </c>
      <c r="C174" s="461"/>
      <c r="D174" s="171"/>
      <c r="E174" s="171"/>
      <c r="F174" s="627"/>
      <c r="G174" s="627"/>
      <c r="H174" s="627"/>
      <c r="I174" s="171"/>
      <c r="J174" s="171"/>
      <c r="K174" s="171"/>
      <c r="L174" s="171"/>
      <c r="M174" s="171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</row>
    <row r="175" spans="1:34" x14ac:dyDescent="0.3">
      <c r="A175" s="462" t="s">
        <v>1060</v>
      </c>
      <c r="B175" s="461" t="s">
        <v>1064</v>
      </c>
      <c r="C175" s="461"/>
      <c r="D175" s="171"/>
      <c r="E175" s="171"/>
      <c r="F175" s="627"/>
      <c r="G175" s="627"/>
      <c r="H175" s="627"/>
      <c r="I175" s="171"/>
      <c r="J175" s="171"/>
      <c r="K175" s="171"/>
      <c r="L175" s="171"/>
      <c r="M175" s="171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</row>
    <row r="176" spans="1:34" x14ac:dyDescent="0.3">
      <c r="A176" s="462" t="s">
        <v>1192</v>
      </c>
      <c r="B176" s="461" t="s">
        <v>1193</v>
      </c>
      <c r="C176" s="461"/>
      <c r="D176" s="171"/>
      <c r="E176" s="171"/>
      <c r="F176" s="627"/>
      <c r="G176" s="627"/>
      <c r="H176" s="627"/>
      <c r="I176" s="171"/>
      <c r="J176" s="171"/>
      <c r="K176" s="171"/>
      <c r="L176" s="171"/>
      <c r="M176" s="171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</row>
    <row r="177" spans="1:34" x14ac:dyDescent="0.3">
      <c r="A177" s="462"/>
      <c r="B177" s="479" t="s">
        <v>1066</v>
      </c>
      <c r="C177" s="461"/>
      <c r="D177" s="171"/>
      <c r="E177" s="171"/>
      <c r="F177" s="627"/>
      <c r="G177" s="627"/>
      <c r="H177" s="627"/>
      <c r="I177" s="171"/>
      <c r="J177" s="171"/>
      <c r="K177" s="171"/>
      <c r="L177" s="171"/>
      <c r="M177" s="171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</row>
    <row r="178" spans="1:34" x14ac:dyDescent="0.3">
      <c r="A178" s="462"/>
      <c r="B178" s="461"/>
      <c r="C178" s="461"/>
      <c r="D178" s="171"/>
      <c r="E178" s="171"/>
      <c r="F178" s="627"/>
      <c r="G178" s="627"/>
      <c r="H178" s="627"/>
      <c r="I178" s="171"/>
      <c r="J178" s="171"/>
      <c r="K178" s="171"/>
      <c r="L178" s="171"/>
      <c r="M178" s="171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</row>
    <row r="179" spans="1:34" x14ac:dyDescent="0.3">
      <c r="A179" s="460" t="s">
        <v>846</v>
      </c>
      <c r="B179" s="464"/>
      <c r="C179" s="461"/>
      <c r="D179" s="171"/>
      <c r="E179" s="171"/>
      <c r="F179" s="627"/>
      <c r="G179" s="627"/>
      <c r="H179" s="627"/>
      <c r="I179" s="171"/>
      <c r="J179" s="171"/>
      <c r="K179" s="171"/>
      <c r="L179" s="171"/>
      <c r="M179" s="171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</row>
    <row r="180" spans="1:34" x14ac:dyDescent="0.3">
      <c r="A180" s="460"/>
      <c r="B180" s="464" t="s">
        <v>549</v>
      </c>
      <c r="C180" s="461"/>
      <c r="D180" s="171"/>
      <c r="E180" s="171"/>
      <c r="F180" s="627"/>
      <c r="G180" s="627"/>
      <c r="H180" s="627"/>
      <c r="I180" s="171"/>
      <c r="J180" s="171"/>
      <c r="K180" s="171"/>
      <c r="L180" s="171"/>
      <c r="M180" s="171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</row>
    <row r="181" spans="1:34" x14ac:dyDescent="0.3">
      <c r="A181" s="462" t="s">
        <v>863</v>
      </c>
      <c r="B181" s="461" t="s">
        <v>847</v>
      </c>
      <c r="C181" s="461"/>
      <c r="D181" s="171"/>
      <c r="E181" s="171"/>
      <c r="F181" s="627"/>
      <c r="G181" s="627"/>
      <c r="H181" s="627"/>
      <c r="I181" s="171"/>
      <c r="J181" s="171"/>
      <c r="K181" s="171"/>
      <c r="L181" s="171"/>
      <c r="M181" s="171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</row>
    <row r="182" spans="1:34" x14ac:dyDescent="0.3">
      <c r="A182" s="462" t="s">
        <v>864</v>
      </c>
      <c r="B182" s="461" t="s">
        <v>644</v>
      </c>
      <c r="C182" s="461"/>
      <c r="D182" s="171"/>
      <c r="E182" s="171"/>
      <c r="F182" s="627"/>
      <c r="G182" s="627"/>
      <c r="H182" s="627"/>
      <c r="I182" s="171"/>
      <c r="J182" s="171"/>
      <c r="K182" s="171"/>
      <c r="L182" s="171"/>
      <c r="M182" s="171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</row>
    <row r="183" spans="1:34" x14ac:dyDescent="0.3">
      <c r="A183" s="462" t="s">
        <v>865</v>
      </c>
      <c r="B183" s="461" t="s">
        <v>848</v>
      </c>
      <c r="C183" s="461"/>
      <c r="D183" s="171"/>
      <c r="E183" s="171"/>
      <c r="F183" s="627"/>
      <c r="G183" s="627"/>
      <c r="H183" s="627"/>
      <c r="I183" s="171"/>
      <c r="J183" s="171"/>
      <c r="K183" s="171"/>
      <c r="L183" s="171"/>
      <c r="M183" s="171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</row>
    <row r="184" spans="1:34" x14ac:dyDescent="0.3">
      <c r="A184" s="462" t="s">
        <v>866</v>
      </c>
      <c r="B184" s="461" t="s">
        <v>849</v>
      </c>
      <c r="C184" s="461"/>
      <c r="D184" s="171"/>
      <c r="E184" s="171"/>
      <c r="F184" s="627"/>
      <c r="G184" s="627"/>
      <c r="H184" s="627"/>
      <c r="I184" s="171"/>
      <c r="J184" s="171"/>
      <c r="K184" s="171"/>
      <c r="L184" s="171"/>
      <c r="M184" s="171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</row>
    <row r="185" spans="1:34" x14ac:dyDescent="0.3">
      <c r="A185" s="462" t="s">
        <v>867</v>
      </c>
      <c r="B185" s="461" t="s">
        <v>850</v>
      </c>
      <c r="C185" s="461"/>
      <c r="D185" s="171"/>
      <c r="E185" s="171"/>
      <c r="F185" s="627"/>
      <c r="G185" s="627"/>
      <c r="H185" s="627"/>
      <c r="I185" s="171"/>
      <c r="J185" s="171"/>
      <c r="K185" s="171"/>
      <c r="L185" s="171"/>
      <c r="M185" s="171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</row>
    <row r="186" spans="1:34" x14ac:dyDescent="0.3">
      <c r="A186" s="462" t="s">
        <v>868</v>
      </c>
      <c r="B186" s="461" t="s">
        <v>851</v>
      </c>
      <c r="C186" s="461"/>
      <c r="D186" s="171"/>
      <c r="E186" s="171"/>
      <c r="F186" s="627"/>
      <c r="G186" s="627"/>
      <c r="H186" s="627"/>
      <c r="I186" s="171"/>
      <c r="J186" s="171"/>
      <c r="K186" s="171"/>
      <c r="L186" s="171"/>
      <c r="M186" s="171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</row>
    <row r="187" spans="1:34" x14ac:dyDescent="0.3">
      <c r="A187" s="462" t="s">
        <v>869</v>
      </c>
      <c r="B187" s="461" t="s">
        <v>852</v>
      </c>
      <c r="C187" s="461"/>
      <c r="D187" s="171"/>
      <c r="E187" s="171"/>
      <c r="F187" s="627"/>
      <c r="G187" s="627"/>
      <c r="H187" s="627"/>
      <c r="I187" s="171"/>
      <c r="J187" s="171"/>
      <c r="K187" s="171"/>
      <c r="L187" s="171"/>
      <c r="M187" s="171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</row>
    <row r="188" spans="1:34" x14ac:dyDescent="0.3">
      <c r="A188" s="462" t="s">
        <v>870</v>
      </c>
      <c r="B188" s="461" t="s">
        <v>853</v>
      </c>
      <c r="C188" s="461"/>
      <c r="D188" s="171"/>
      <c r="E188" s="171"/>
      <c r="F188" s="627"/>
      <c r="G188" s="627"/>
      <c r="H188" s="627"/>
      <c r="I188" s="171"/>
      <c r="J188" s="171"/>
      <c r="K188" s="171"/>
      <c r="L188" s="171"/>
      <c r="M188" s="171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</row>
    <row r="189" spans="1:34" x14ac:dyDescent="0.3">
      <c r="A189" s="462" t="s">
        <v>871</v>
      </c>
      <c r="B189" s="461" t="s">
        <v>854</v>
      </c>
      <c r="C189" s="461"/>
      <c r="D189" s="171"/>
      <c r="E189" s="171"/>
      <c r="F189" s="627"/>
      <c r="G189" s="627"/>
      <c r="H189" s="627"/>
      <c r="I189" s="171"/>
      <c r="J189" s="171"/>
      <c r="K189" s="171"/>
      <c r="L189" s="171"/>
      <c r="M189" s="171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</row>
    <row r="190" spans="1:34" x14ac:dyDescent="0.3">
      <c r="A190" s="462" t="s">
        <v>872</v>
      </c>
      <c r="B190" s="461" t="s">
        <v>855</v>
      </c>
      <c r="C190" s="461"/>
      <c r="D190" s="171"/>
      <c r="E190" s="171"/>
      <c r="F190" s="627"/>
      <c r="G190" s="627"/>
      <c r="H190" s="627"/>
      <c r="I190" s="171"/>
      <c r="J190" s="171"/>
      <c r="K190" s="171"/>
      <c r="L190" s="171"/>
      <c r="M190" s="171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</row>
    <row r="191" spans="1:34" x14ac:dyDescent="0.3">
      <c r="A191" s="462" t="s">
        <v>873</v>
      </c>
      <c r="B191" s="461" t="s">
        <v>856</v>
      </c>
      <c r="C191" s="461"/>
      <c r="D191" s="171"/>
      <c r="E191" s="171"/>
      <c r="F191" s="627"/>
      <c r="G191" s="627"/>
      <c r="H191" s="627"/>
      <c r="I191" s="171"/>
      <c r="J191" s="171"/>
      <c r="K191" s="171"/>
      <c r="L191" s="171"/>
      <c r="M191" s="171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</row>
    <row r="192" spans="1:34" x14ac:dyDescent="0.3">
      <c r="A192" s="462"/>
      <c r="B192" s="474" t="s">
        <v>524</v>
      </c>
      <c r="C192" s="461"/>
      <c r="D192" s="171"/>
      <c r="E192" s="171"/>
      <c r="F192" s="627"/>
      <c r="G192" s="627"/>
      <c r="H192" s="627"/>
      <c r="I192" s="171"/>
      <c r="J192" s="171"/>
      <c r="K192" s="171"/>
      <c r="L192" s="171"/>
      <c r="M192" s="171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</row>
    <row r="193" spans="1:34" x14ac:dyDescent="0.3">
      <c r="A193" s="462"/>
      <c r="B193" s="461"/>
      <c r="C193" s="461"/>
      <c r="D193" s="171"/>
      <c r="E193" s="171"/>
      <c r="F193" s="627"/>
      <c r="G193" s="627"/>
      <c r="H193" s="627"/>
      <c r="I193" s="171"/>
      <c r="J193" s="171"/>
      <c r="K193" s="171"/>
      <c r="L193" s="171"/>
      <c r="M193" s="171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</row>
    <row r="194" spans="1:34" x14ac:dyDescent="0.3">
      <c r="A194" s="462"/>
      <c r="B194" s="464" t="s">
        <v>565</v>
      </c>
      <c r="C194" s="461"/>
      <c r="D194" s="171"/>
      <c r="E194" s="171"/>
      <c r="F194" s="627"/>
      <c r="G194" s="627"/>
      <c r="H194" s="627"/>
      <c r="I194" s="171"/>
      <c r="J194" s="171"/>
      <c r="K194" s="171"/>
      <c r="L194" s="171"/>
      <c r="M194" s="171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</row>
    <row r="195" spans="1:34" x14ac:dyDescent="0.3">
      <c r="A195" s="462" t="s">
        <v>874</v>
      </c>
      <c r="B195" s="461" t="s">
        <v>847</v>
      </c>
      <c r="C195" s="461"/>
      <c r="D195" s="171"/>
      <c r="E195" s="171"/>
      <c r="F195" s="627"/>
      <c r="G195" s="627"/>
      <c r="H195" s="627"/>
      <c r="I195" s="171"/>
      <c r="J195" s="171"/>
      <c r="K195" s="171"/>
      <c r="L195" s="171"/>
      <c r="M195" s="171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</row>
    <row r="196" spans="1:34" x14ac:dyDescent="0.3">
      <c r="A196" s="462" t="s">
        <v>875</v>
      </c>
      <c r="B196" s="461" t="s">
        <v>857</v>
      </c>
      <c r="C196" s="461"/>
      <c r="D196" s="171"/>
      <c r="E196" s="171"/>
      <c r="F196" s="627"/>
      <c r="G196" s="627"/>
      <c r="H196" s="627"/>
      <c r="I196" s="171"/>
      <c r="J196" s="171"/>
      <c r="K196" s="171"/>
      <c r="L196" s="171"/>
      <c r="M196" s="171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</row>
    <row r="197" spans="1:34" x14ac:dyDescent="0.3">
      <c r="A197" s="462" t="s">
        <v>876</v>
      </c>
      <c r="B197" s="461" t="s">
        <v>858</v>
      </c>
      <c r="C197" s="461"/>
      <c r="D197" s="171"/>
      <c r="E197" s="171"/>
      <c r="F197" s="627"/>
      <c r="G197" s="627"/>
      <c r="H197" s="627"/>
      <c r="I197" s="171"/>
      <c r="J197" s="171"/>
      <c r="K197" s="171"/>
      <c r="L197" s="171"/>
      <c r="M197" s="171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</row>
    <row r="198" spans="1:34" x14ac:dyDescent="0.3">
      <c r="A198" s="462" t="s">
        <v>877</v>
      </c>
      <c r="B198" s="461" t="s">
        <v>859</v>
      </c>
      <c r="C198" s="461"/>
      <c r="D198" s="171"/>
      <c r="E198" s="171"/>
      <c r="F198" s="627"/>
      <c r="G198" s="627"/>
      <c r="H198" s="627"/>
      <c r="I198" s="171"/>
      <c r="J198" s="171"/>
      <c r="K198" s="171"/>
      <c r="L198" s="171"/>
      <c r="M198" s="171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</row>
    <row r="199" spans="1:34" x14ac:dyDescent="0.3">
      <c r="A199" s="462" t="s">
        <v>878</v>
      </c>
      <c r="B199" s="461" t="s">
        <v>851</v>
      </c>
      <c r="C199" s="461"/>
      <c r="D199" s="171"/>
      <c r="E199" s="171"/>
      <c r="F199" s="627"/>
      <c r="G199" s="627"/>
      <c r="H199" s="627"/>
      <c r="I199" s="171"/>
      <c r="J199" s="171"/>
      <c r="K199" s="171"/>
      <c r="L199" s="171"/>
      <c r="M199" s="171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</row>
    <row r="200" spans="1:34" x14ac:dyDescent="0.3">
      <c r="A200" s="462" t="s">
        <v>879</v>
      </c>
      <c r="B200" s="461" t="s">
        <v>852</v>
      </c>
      <c r="C200" s="461"/>
      <c r="D200" s="171"/>
      <c r="E200" s="171"/>
      <c r="F200" s="627"/>
      <c r="G200" s="627"/>
      <c r="H200" s="627"/>
      <c r="I200" s="171"/>
      <c r="J200" s="171"/>
      <c r="K200" s="171"/>
      <c r="L200" s="171"/>
      <c r="M200" s="171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</row>
    <row r="201" spans="1:34" x14ac:dyDescent="0.3">
      <c r="A201" s="462" t="s">
        <v>880</v>
      </c>
      <c r="B201" s="461" t="s">
        <v>853</v>
      </c>
      <c r="C201" s="461"/>
      <c r="D201" s="171"/>
      <c r="E201" s="171"/>
      <c r="F201" s="627"/>
      <c r="G201" s="627"/>
      <c r="H201" s="627"/>
      <c r="I201" s="171"/>
      <c r="J201" s="171"/>
      <c r="K201" s="171"/>
      <c r="L201" s="171"/>
      <c r="M201" s="171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</row>
    <row r="202" spans="1:34" x14ac:dyDescent="0.3">
      <c r="A202" s="462" t="s">
        <v>881</v>
      </c>
      <c r="B202" s="461" t="s">
        <v>456</v>
      </c>
      <c r="C202" s="461"/>
      <c r="D202" s="171"/>
      <c r="E202" s="171"/>
      <c r="F202" s="627"/>
      <c r="G202" s="627"/>
      <c r="H202" s="627"/>
      <c r="I202" s="171"/>
      <c r="J202" s="171"/>
      <c r="K202" s="171"/>
      <c r="L202" s="171"/>
      <c r="M202" s="171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</row>
    <row r="203" spans="1:34" x14ac:dyDescent="0.3">
      <c r="A203" s="462" t="s">
        <v>882</v>
      </c>
      <c r="B203" s="461" t="s">
        <v>854</v>
      </c>
      <c r="C203" s="461"/>
      <c r="D203" s="171"/>
      <c r="E203" s="171"/>
      <c r="F203" s="627"/>
      <c r="G203" s="627"/>
      <c r="H203" s="627"/>
      <c r="I203" s="171"/>
      <c r="J203" s="171"/>
      <c r="K203" s="171"/>
      <c r="L203" s="171"/>
      <c r="M203" s="171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</row>
    <row r="204" spans="1:34" x14ac:dyDescent="0.3">
      <c r="A204" s="462" t="s">
        <v>883</v>
      </c>
      <c r="B204" s="461" t="s">
        <v>860</v>
      </c>
      <c r="C204" s="461"/>
      <c r="D204" s="171"/>
      <c r="E204" s="171"/>
      <c r="F204" s="627"/>
      <c r="G204" s="627"/>
      <c r="H204" s="627"/>
      <c r="I204" s="171"/>
      <c r="J204" s="171"/>
      <c r="K204" s="171"/>
      <c r="L204" s="171"/>
      <c r="M204" s="171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</row>
    <row r="205" spans="1:34" x14ac:dyDescent="0.3">
      <c r="A205" s="462"/>
      <c r="B205" s="474" t="s">
        <v>524</v>
      </c>
      <c r="C205" s="461"/>
      <c r="D205" s="171"/>
      <c r="E205" s="171"/>
      <c r="F205" s="627"/>
      <c r="G205" s="627"/>
      <c r="H205" s="627"/>
      <c r="I205" s="171"/>
      <c r="J205" s="171"/>
      <c r="K205" s="171"/>
      <c r="L205" s="171"/>
      <c r="M205" s="171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</row>
    <row r="206" spans="1:34" x14ac:dyDescent="0.3">
      <c r="A206" s="462"/>
      <c r="B206" s="461"/>
      <c r="C206" s="461"/>
      <c r="D206" s="171"/>
      <c r="E206" s="171"/>
      <c r="F206" s="627"/>
      <c r="G206" s="627"/>
      <c r="H206" s="627"/>
      <c r="I206" s="171"/>
      <c r="J206" s="171"/>
      <c r="K206" s="171"/>
      <c r="L206" s="171"/>
      <c r="M206" s="171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</row>
    <row r="207" spans="1:34" x14ac:dyDescent="0.3">
      <c r="A207" s="462"/>
      <c r="B207" s="479" t="s">
        <v>543</v>
      </c>
      <c r="C207" s="461"/>
      <c r="D207" s="171"/>
      <c r="E207" s="171"/>
      <c r="F207" s="627"/>
      <c r="G207" s="627"/>
      <c r="H207" s="627"/>
      <c r="I207" s="171"/>
      <c r="J207" s="171"/>
      <c r="K207" s="171"/>
      <c r="L207" s="171"/>
      <c r="M207" s="171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</row>
    <row r="208" spans="1:34" x14ac:dyDescent="0.3">
      <c r="A208" s="462"/>
      <c r="B208" s="461"/>
      <c r="C208" s="461"/>
      <c r="D208" s="171"/>
      <c r="E208" s="171"/>
      <c r="F208" s="627"/>
      <c r="G208" s="627"/>
      <c r="H208" s="627"/>
      <c r="I208" s="171"/>
      <c r="J208" s="171"/>
      <c r="K208" s="171"/>
      <c r="L208" s="171"/>
      <c r="M208" s="171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</row>
    <row r="209" spans="1:34" x14ac:dyDescent="0.3">
      <c r="A209" s="462"/>
      <c r="B209" s="479" t="s">
        <v>862</v>
      </c>
      <c r="C209" s="461"/>
      <c r="D209" s="171"/>
      <c r="E209" s="171"/>
      <c r="F209" s="627"/>
      <c r="G209" s="627"/>
      <c r="H209" s="627"/>
      <c r="I209" s="171"/>
      <c r="J209" s="171"/>
      <c r="K209" s="171"/>
      <c r="L209" s="171"/>
      <c r="M209" s="171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</row>
    <row r="210" spans="1:34" x14ac:dyDescent="0.3">
      <c r="A210" s="462"/>
      <c r="B210" s="461"/>
      <c r="C210" s="461"/>
      <c r="D210" s="171"/>
      <c r="E210" s="171"/>
      <c r="F210" s="627"/>
      <c r="G210" s="627"/>
      <c r="H210" s="627"/>
      <c r="I210" s="171"/>
      <c r="J210" s="171"/>
      <c r="K210" s="171"/>
      <c r="L210" s="171"/>
      <c r="M210" s="171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</row>
    <row r="211" spans="1:34" x14ac:dyDescent="0.3">
      <c r="A211" s="462"/>
      <c r="B211" s="461"/>
      <c r="C211" s="461"/>
      <c r="D211" s="171"/>
      <c r="E211" s="171"/>
      <c r="F211" s="627"/>
      <c r="G211" s="627"/>
      <c r="H211" s="627"/>
      <c r="I211" s="171"/>
      <c r="J211" s="171"/>
      <c r="K211" s="171"/>
      <c r="L211" s="171"/>
      <c r="M211" s="171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</row>
    <row r="212" spans="1:34" x14ac:dyDescent="0.3">
      <c r="A212" s="460" t="s">
        <v>696</v>
      </c>
      <c r="B212" s="461"/>
      <c r="C212" s="461"/>
      <c r="D212" s="171"/>
      <c r="E212" s="171"/>
      <c r="F212" s="627"/>
      <c r="G212" s="627"/>
      <c r="H212" s="627"/>
      <c r="I212" s="171"/>
      <c r="J212" s="171"/>
      <c r="K212" s="171"/>
      <c r="L212" s="171"/>
      <c r="M212" s="171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</row>
    <row r="213" spans="1:34" x14ac:dyDescent="0.3">
      <c r="A213" s="462"/>
      <c r="B213" s="461"/>
      <c r="C213" s="461"/>
      <c r="D213" s="171"/>
      <c r="E213" s="171"/>
      <c r="F213" s="627"/>
      <c r="G213" s="627"/>
      <c r="H213" s="627"/>
      <c r="I213" s="171"/>
      <c r="J213" s="171"/>
      <c r="K213" s="171"/>
      <c r="L213" s="171"/>
      <c r="M213" s="171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</row>
    <row r="214" spans="1:34" x14ac:dyDescent="0.3">
      <c r="A214" s="462"/>
      <c r="B214" s="464" t="s">
        <v>697</v>
      </c>
      <c r="C214" s="464"/>
      <c r="D214" s="171"/>
      <c r="E214" s="171"/>
      <c r="F214" s="627"/>
      <c r="G214" s="627"/>
      <c r="H214" s="627"/>
      <c r="I214" s="171"/>
      <c r="J214" s="171"/>
      <c r="K214" s="171"/>
      <c r="L214" s="171"/>
      <c r="M214" s="171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</row>
    <row r="215" spans="1:34" x14ac:dyDescent="0.3">
      <c r="A215" s="462" t="s">
        <v>698</v>
      </c>
      <c r="B215" s="461" t="s">
        <v>699</v>
      </c>
      <c r="C215" s="461"/>
      <c r="D215" s="468"/>
      <c r="E215" s="468"/>
      <c r="F215" s="630"/>
      <c r="G215" s="630"/>
      <c r="H215" s="630"/>
      <c r="I215" s="468"/>
      <c r="J215" s="468"/>
      <c r="K215" s="468"/>
      <c r="L215" s="468"/>
      <c r="M215" s="522"/>
      <c r="N215" s="468"/>
      <c r="O215" s="468"/>
      <c r="P215" s="468"/>
      <c r="Q215" s="468"/>
      <c r="R215" s="468"/>
      <c r="S215" s="468"/>
      <c r="T215" s="468"/>
      <c r="U215" s="468"/>
      <c r="V215" s="468"/>
      <c r="W215" s="468"/>
      <c r="X215" s="526">
        <v>1</v>
      </c>
      <c r="Y215" s="468"/>
      <c r="Z215" s="526">
        <v>1</v>
      </c>
      <c r="AA215" s="526">
        <v>1</v>
      </c>
      <c r="AB215" s="526">
        <f>SUM(AC215:AE215)</f>
        <v>1</v>
      </c>
      <c r="AC215" s="526">
        <v>1</v>
      </c>
      <c r="AD215" s="468"/>
      <c r="AE215" s="468"/>
      <c r="AF215" s="468"/>
      <c r="AG215" s="468"/>
      <c r="AH215" s="468"/>
    </row>
    <row r="216" spans="1:34" x14ac:dyDescent="0.3">
      <c r="A216" s="462" t="s">
        <v>700</v>
      </c>
      <c r="B216" s="461" t="s">
        <v>701</v>
      </c>
      <c r="C216" s="461"/>
      <c r="D216" s="468"/>
      <c r="E216" s="468"/>
      <c r="F216" s="630"/>
      <c r="G216" s="630"/>
      <c r="H216" s="630"/>
      <c r="I216" s="468"/>
      <c r="J216" s="468"/>
      <c r="K216" s="468"/>
      <c r="L216" s="468"/>
      <c r="M216" s="521"/>
      <c r="N216" s="468"/>
      <c r="O216" s="62"/>
      <c r="P216" s="62"/>
      <c r="Q216" s="62"/>
      <c r="R216" s="62"/>
      <c r="S216" s="62"/>
      <c r="T216" s="62"/>
      <c r="U216" s="62"/>
      <c r="V216" s="62"/>
      <c r="W216" s="62"/>
      <c r="X216" s="526">
        <v>1</v>
      </c>
      <c r="Y216" s="526"/>
      <c r="Z216" s="526">
        <v>1</v>
      </c>
      <c r="AA216" s="62"/>
      <c r="AB216" s="62"/>
      <c r="AC216" s="62"/>
      <c r="AD216" s="62"/>
      <c r="AE216" s="62"/>
      <c r="AF216" s="62"/>
      <c r="AG216" s="62"/>
      <c r="AH216" s="62"/>
    </row>
    <row r="217" spans="1:34" x14ac:dyDescent="0.3">
      <c r="A217" s="462" t="s">
        <v>702</v>
      </c>
      <c r="B217" s="461" t="s">
        <v>703</v>
      </c>
      <c r="C217" s="461"/>
      <c r="D217" s="468"/>
      <c r="E217" s="468"/>
      <c r="F217" s="630"/>
      <c r="G217" s="630"/>
      <c r="H217" s="630"/>
      <c r="I217" s="468"/>
      <c r="J217" s="468"/>
      <c r="K217" s="468"/>
      <c r="L217" s="468"/>
      <c r="M217" s="521"/>
      <c r="N217" s="468"/>
      <c r="O217" s="62"/>
      <c r="P217" s="62"/>
      <c r="Q217" s="62"/>
      <c r="R217" s="62"/>
      <c r="S217" s="62"/>
      <c r="T217" s="62"/>
      <c r="U217" s="62"/>
      <c r="V217" s="62"/>
      <c r="W217" s="62"/>
      <c r="X217" s="526">
        <v>1</v>
      </c>
      <c r="Y217" s="526"/>
      <c r="Z217" s="526">
        <v>1</v>
      </c>
      <c r="AA217" s="535">
        <v>1</v>
      </c>
      <c r="AB217" s="526">
        <f>SUM(AC217:AE217)</f>
        <v>1</v>
      </c>
      <c r="AC217" s="526">
        <v>1</v>
      </c>
      <c r="AD217" s="62"/>
      <c r="AE217" s="62"/>
      <c r="AF217" s="62"/>
      <c r="AG217" s="62"/>
      <c r="AH217" s="62"/>
    </row>
    <row r="218" spans="1:34" x14ac:dyDescent="0.3">
      <c r="A218" s="462" t="s">
        <v>704</v>
      </c>
      <c r="B218" s="461" t="s">
        <v>705</v>
      </c>
      <c r="C218" s="461"/>
      <c r="D218" s="468"/>
      <c r="E218" s="468"/>
      <c r="F218" s="630"/>
      <c r="G218" s="630"/>
      <c r="H218" s="630"/>
      <c r="I218" s="468"/>
      <c r="J218" s="468"/>
      <c r="K218" s="468"/>
      <c r="L218" s="468"/>
      <c r="M218" s="521"/>
      <c r="N218" s="468"/>
      <c r="O218" s="62"/>
      <c r="P218" s="62"/>
      <c r="Q218" s="62"/>
      <c r="R218" s="62"/>
      <c r="S218" s="62"/>
      <c r="T218" s="62"/>
      <c r="U218" s="62"/>
      <c r="V218" s="62"/>
      <c r="W218" s="62"/>
      <c r="X218" s="526">
        <v>1</v>
      </c>
      <c r="Y218" s="526"/>
      <c r="Z218" s="526">
        <v>1</v>
      </c>
      <c r="AA218" s="535">
        <v>1</v>
      </c>
      <c r="AB218" s="526">
        <f t="shared" ref="AB218:AB219" si="5">SUM(AC218:AE218)</f>
        <v>1</v>
      </c>
      <c r="AC218" s="526">
        <v>1</v>
      </c>
      <c r="AD218" s="62"/>
      <c r="AE218" s="62"/>
      <c r="AF218" s="62"/>
      <c r="AG218" s="62"/>
      <c r="AH218" s="62"/>
    </row>
    <row r="219" spans="1:34" x14ac:dyDescent="0.3">
      <c r="A219" s="462" t="s">
        <v>706</v>
      </c>
      <c r="B219" s="466" t="s">
        <v>707</v>
      </c>
      <c r="C219" s="466"/>
      <c r="D219" s="468"/>
      <c r="E219" s="468"/>
      <c r="F219" s="630"/>
      <c r="G219" s="630"/>
      <c r="H219" s="630"/>
      <c r="I219" s="468"/>
      <c r="J219" s="468"/>
      <c r="K219" s="468"/>
      <c r="L219" s="468"/>
      <c r="M219" s="521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526">
        <v>1</v>
      </c>
      <c r="Y219" s="526"/>
      <c r="Z219" s="526">
        <v>1</v>
      </c>
      <c r="AA219" s="535">
        <v>1</v>
      </c>
      <c r="AB219" s="526">
        <f t="shared" si="5"/>
        <v>1</v>
      </c>
      <c r="AC219" s="526">
        <v>1</v>
      </c>
      <c r="AD219" s="62"/>
      <c r="AE219" s="62"/>
      <c r="AF219" s="62"/>
      <c r="AG219" s="62"/>
      <c r="AH219" s="62"/>
    </row>
    <row r="220" spans="1:34" x14ac:dyDescent="0.3">
      <c r="A220" s="462"/>
      <c r="B220" s="474" t="s">
        <v>524</v>
      </c>
      <c r="C220" s="474"/>
      <c r="D220" s="171"/>
      <c r="E220" s="171"/>
      <c r="F220" s="627"/>
      <c r="G220" s="627"/>
      <c r="H220" s="627"/>
      <c r="I220" s="171"/>
      <c r="J220" s="171"/>
      <c r="K220" s="171"/>
      <c r="L220" s="171"/>
      <c r="M220" s="171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</row>
    <row r="221" spans="1:34" x14ac:dyDescent="0.3">
      <c r="A221" s="462"/>
      <c r="B221" s="461"/>
      <c r="C221" s="461"/>
      <c r="D221" s="171"/>
      <c r="E221" s="171"/>
      <c r="F221" s="627"/>
      <c r="G221" s="627"/>
      <c r="H221" s="627"/>
      <c r="I221" s="171"/>
      <c r="J221" s="171"/>
      <c r="K221" s="171"/>
      <c r="L221" s="171"/>
      <c r="M221" s="171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</row>
    <row r="222" spans="1:34" x14ac:dyDescent="0.3">
      <c r="A222" s="462"/>
      <c r="B222" s="464" t="s">
        <v>708</v>
      </c>
      <c r="C222" s="464"/>
      <c r="D222" s="171"/>
      <c r="E222" s="171"/>
      <c r="F222" s="627"/>
      <c r="G222" s="627"/>
      <c r="H222" s="627"/>
      <c r="I222" s="171"/>
      <c r="J222" s="171"/>
      <c r="K222" s="171"/>
      <c r="L222" s="171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</row>
    <row r="223" spans="1:34" x14ac:dyDescent="0.3">
      <c r="A223" s="462" t="s">
        <v>709</v>
      </c>
      <c r="B223" s="461" t="s">
        <v>710</v>
      </c>
      <c r="C223" s="461"/>
      <c r="D223" s="468"/>
      <c r="E223" s="468"/>
      <c r="F223" s="630"/>
      <c r="G223" s="630"/>
      <c r="H223" s="630"/>
      <c r="I223" s="468"/>
      <c r="J223" s="468"/>
      <c r="K223" s="468"/>
      <c r="L223" s="468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526">
        <v>1</v>
      </c>
      <c r="AB223" s="526"/>
      <c r="AC223" s="526"/>
      <c r="AD223" s="526"/>
      <c r="AE223" s="526"/>
      <c r="AF223" s="526"/>
      <c r="AG223" s="526"/>
      <c r="AH223" s="526"/>
    </row>
    <row r="224" spans="1:34" x14ac:dyDescent="0.3">
      <c r="A224" s="462" t="s">
        <v>711</v>
      </c>
      <c r="B224" s="461" t="s">
        <v>699</v>
      </c>
      <c r="C224" s="461"/>
      <c r="D224" s="468"/>
      <c r="E224" s="468"/>
      <c r="F224" s="630"/>
      <c r="G224" s="630"/>
      <c r="H224" s="630"/>
      <c r="I224" s="468"/>
      <c r="J224" s="468"/>
      <c r="K224" s="468"/>
      <c r="L224" s="468"/>
      <c r="M224" s="62"/>
      <c r="N224" s="468"/>
      <c r="O224" s="468"/>
      <c r="P224" s="468"/>
      <c r="Q224" s="468"/>
      <c r="R224" s="468"/>
      <c r="S224" s="468"/>
      <c r="T224" s="468"/>
      <c r="U224" s="468"/>
      <c r="V224" s="468"/>
      <c r="W224" s="468"/>
      <c r="X224" s="468"/>
      <c r="Y224" s="468"/>
      <c r="Z224" s="468"/>
      <c r="AA224" s="526">
        <v>1</v>
      </c>
      <c r="AB224" s="518"/>
      <c r="AC224" s="468"/>
      <c r="AD224" s="468"/>
      <c r="AE224" s="468"/>
      <c r="AF224" s="518"/>
      <c r="AG224" s="468"/>
      <c r="AH224" s="468"/>
    </row>
    <row r="225" spans="1:34" x14ac:dyDescent="0.3">
      <c r="A225" s="462" t="s">
        <v>712</v>
      </c>
      <c r="B225" s="466" t="s">
        <v>713</v>
      </c>
      <c r="C225" s="466"/>
      <c r="D225" s="468"/>
      <c r="E225" s="468"/>
      <c r="F225" s="630"/>
      <c r="G225" s="630"/>
      <c r="H225" s="630"/>
      <c r="I225" s="468"/>
      <c r="J225" s="468"/>
      <c r="K225" s="468"/>
      <c r="L225" s="468"/>
      <c r="M225" s="62"/>
      <c r="N225" s="468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526">
        <v>1</v>
      </c>
      <c r="AB225" s="518"/>
      <c r="AC225" s="518"/>
      <c r="AD225" s="468"/>
      <c r="AE225" s="468"/>
      <c r="AF225" s="518"/>
      <c r="AG225" s="526"/>
      <c r="AH225" s="526"/>
    </row>
    <row r="226" spans="1:34" x14ac:dyDescent="0.3">
      <c r="A226" s="462" t="s">
        <v>714</v>
      </c>
      <c r="B226" s="461" t="s">
        <v>715</v>
      </c>
      <c r="C226" s="461"/>
      <c r="D226" s="468"/>
      <c r="E226" s="468"/>
      <c r="F226" s="630"/>
      <c r="G226" s="630"/>
      <c r="H226" s="630"/>
      <c r="I226" s="468"/>
      <c r="J226" s="468"/>
      <c r="K226" s="468"/>
      <c r="L226" s="468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526">
        <v>1</v>
      </c>
      <c r="AB226" s="526"/>
      <c r="AC226" s="526"/>
      <c r="AD226" s="526"/>
      <c r="AE226" s="526"/>
      <c r="AF226" s="526"/>
      <c r="AG226" s="526"/>
      <c r="AH226" s="526"/>
    </row>
    <row r="227" spans="1:34" x14ac:dyDescent="0.3">
      <c r="A227" s="462" t="s">
        <v>716</v>
      </c>
      <c r="B227" s="461" t="s">
        <v>717</v>
      </c>
      <c r="C227" s="461"/>
      <c r="D227" s="468"/>
      <c r="E227" s="468"/>
      <c r="F227" s="630"/>
      <c r="G227" s="630"/>
      <c r="H227" s="630"/>
      <c r="I227" s="468"/>
      <c r="J227" s="468"/>
      <c r="K227" s="468"/>
      <c r="L227" s="468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526" t="s">
        <v>546</v>
      </c>
      <c r="AB227" s="526">
        <v>1</v>
      </c>
      <c r="AC227" s="526"/>
      <c r="AD227" s="526">
        <v>1</v>
      </c>
      <c r="AE227" s="526"/>
      <c r="AF227" s="526">
        <v>1</v>
      </c>
      <c r="AG227" s="526"/>
      <c r="AH227" s="526"/>
    </row>
    <row r="228" spans="1:34" x14ac:dyDescent="0.3">
      <c r="A228" s="462"/>
      <c r="B228" s="474" t="s">
        <v>524</v>
      </c>
      <c r="C228" s="474"/>
      <c r="D228" s="171"/>
      <c r="E228" s="171"/>
      <c r="F228" s="627"/>
      <c r="G228" s="627"/>
      <c r="H228" s="627"/>
      <c r="I228" s="171"/>
      <c r="J228" s="171"/>
      <c r="K228" s="171"/>
      <c r="L228" s="171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</row>
    <row r="229" spans="1:34" x14ac:dyDescent="0.3">
      <c r="A229" s="462"/>
      <c r="B229" s="474"/>
      <c r="C229" s="474"/>
      <c r="D229" s="171"/>
      <c r="E229" s="171"/>
      <c r="F229" s="627"/>
      <c r="G229" s="627"/>
      <c r="H229" s="627"/>
      <c r="I229" s="171"/>
      <c r="J229" s="171"/>
      <c r="K229" s="171"/>
      <c r="L229" s="171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</row>
    <row r="230" spans="1:34" x14ac:dyDescent="0.3">
      <c r="A230" s="462"/>
      <c r="B230" s="483" t="s">
        <v>718</v>
      </c>
      <c r="C230" s="483"/>
      <c r="D230" s="171"/>
      <c r="E230" s="171"/>
      <c r="F230" s="627"/>
      <c r="G230" s="627"/>
      <c r="H230" s="627"/>
      <c r="I230" s="171"/>
      <c r="J230" s="171"/>
      <c r="K230" s="171"/>
      <c r="L230" s="171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</row>
    <row r="231" spans="1:34" x14ac:dyDescent="0.3">
      <c r="A231" s="462" t="s">
        <v>1067</v>
      </c>
      <c r="B231" s="484" t="s">
        <v>1068</v>
      </c>
      <c r="C231" s="483"/>
      <c r="D231" s="171"/>
      <c r="E231" s="171"/>
      <c r="F231" s="627"/>
      <c r="G231" s="627"/>
      <c r="H231" s="627"/>
      <c r="I231" s="171"/>
      <c r="J231" s="171"/>
      <c r="K231" s="171"/>
      <c r="L231" s="171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</row>
    <row r="232" spans="1:34" x14ac:dyDescent="0.3">
      <c r="A232" s="465" t="s">
        <v>1197</v>
      </c>
      <c r="B232" s="485" t="s">
        <v>719</v>
      </c>
      <c r="C232" s="483"/>
      <c r="D232" s="171"/>
      <c r="E232" s="171"/>
      <c r="F232" s="627"/>
      <c r="G232" s="627"/>
      <c r="H232" s="627"/>
      <c r="I232" s="171"/>
      <c r="J232" s="171"/>
      <c r="K232" s="171"/>
      <c r="L232" s="171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</row>
    <row r="233" spans="1:34" x14ac:dyDescent="0.3">
      <c r="A233" s="462" t="s">
        <v>720</v>
      </c>
      <c r="B233" s="243" t="s">
        <v>1331</v>
      </c>
      <c r="C233" s="243"/>
      <c r="D233" s="468"/>
      <c r="E233" s="468"/>
      <c r="F233" s="630"/>
      <c r="G233" s="630"/>
      <c r="H233" s="630"/>
      <c r="I233" s="468"/>
      <c r="J233" s="468"/>
      <c r="K233" s="468"/>
      <c r="L233" s="468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526">
        <v>1</v>
      </c>
      <c r="AB233" s="526"/>
      <c r="AC233" s="526"/>
      <c r="AD233" s="526"/>
      <c r="AE233" s="526"/>
      <c r="AF233" s="526"/>
      <c r="AG233" s="526"/>
      <c r="AH233" s="526"/>
    </row>
    <row r="234" spans="1:34" x14ac:dyDescent="0.3">
      <c r="A234" s="462" t="s">
        <v>889</v>
      </c>
      <c r="B234" s="243" t="s">
        <v>892</v>
      </c>
      <c r="C234" s="243"/>
      <c r="D234" s="468"/>
      <c r="E234" s="468"/>
      <c r="F234" s="630"/>
      <c r="G234" s="630"/>
      <c r="H234" s="630"/>
      <c r="I234" s="468"/>
      <c r="J234" s="468"/>
      <c r="K234" s="468"/>
      <c r="L234" s="468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526">
        <v>1</v>
      </c>
      <c r="AB234" s="526"/>
      <c r="AC234" s="526"/>
      <c r="AD234" s="526"/>
      <c r="AE234" s="526"/>
      <c r="AF234" s="526">
        <f>SUM(AG234:AG234)</f>
        <v>1</v>
      </c>
      <c r="AG234" s="526">
        <v>1</v>
      </c>
      <c r="AH234" s="526"/>
    </row>
    <row r="235" spans="1:34" x14ac:dyDescent="0.3">
      <c r="A235" s="462" t="s">
        <v>721</v>
      </c>
      <c r="B235" s="243" t="s">
        <v>719</v>
      </c>
      <c r="C235" s="243"/>
      <c r="D235" s="468"/>
      <c r="E235" s="468"/>
      <c r="F235" s="630"/>
      <c r="G235" s="630"/>
      <c r="H235" s="630"/>
      <c r="I235" s="468"/>
      <c r="J235" s="468"/>
      <c r="K235" s="468"/>
      <c r="L235" s="468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526">
        <v>1</v>
      </c>
      <c r="AB235" s="526"/>
      <c r="AC235" s="526"/>
      <c r="AD235" s="526"/>
      <c r="AE235" s="526"/>
      <c r="AF235" s="526">
        <f>SUM(AG235:AG235)</f>
        <v>1</v>
      </c>
      <c r="AG235" s="526">
        <v>1</v>
      </c>
      <c r="AH235" s="526"/>
    </row>
    <row r="236" spans="1:34" x14ac:dyDescent="0.3">
      <c r="A236" s="462" t="s">
        <v>723</v>
      </c>
      <c r="B236" s="243" t="s">
        <v>1009</v>
      </c>
      <c r="C236" s="243"/>
      <c r="D236" s="468"/>
      <c r="E236" s="468"/>
      <c r="F236" s="630"/>
      <c r="G236" s="630"/>
      <c r="H236" s="630"/>
      <c r="I236" s="468"/>
      <c r="J236" s="468"/>
      <c r="K236" s="468"/>
      <c r="L236" s="468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526">
        <v>1</v>
      </c>
      <c r="AB236" s="526"/>
      <c r="AC236" s="526"/>
      <c r="AD236" s="526"/>
      <c r="AE236" s="526"/>
      <c r="AF236" s="526">
        <f>SUM(AG236:AG236)</f>
        <v>1</v>
      </c>
      <c r="AG236" s="526">
        <v>1</v>
      </c>
      <c r="AH236" s="526"/>
    </row>
    <row r="237" spans="1:34" x14ac:dyDescent="0.3">
      <c r="A237" s="462" t="s">
        <v>890</v>
      </c>
      <c r="B237" s="243" t="s">
        <v>722</v>
      </c>
      <c r="C237" s="243"/>
      <c r="D237" s="468"/>
      <c r="E237" s="468"/>
      <c r="F237" s="630"/>
      <c r="G237" s="630"/>
      <c r="H237" s="630"/>
      <c r="I237" s="468"/>
      <c r="J237" s="468"/>
      <c r="K237" s="468"/>
      <c r="L237" s="468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526">
        <v>1</v>
      </c>
      <c r="AB237" s="526"/>
      <c r="AC237" s="526"/>
      <c r="AD237" s="526"/>
      <c r="AE237" s="526"/>
      <c r="AF237" s="526">
        <f>SUM(AG237:AG237)</f>
        <v>1</v>
      </c>
      <c r="AG237" s="526">
        <v>1</v>
      </c>
      <c r="AH237" s="526"/>
    </row>
    <row r="238" spans="1:34" x14ac:dyDescent="0.3">
      <c r="A238" s="462"/>
      <c r="B238" s="486" t="s">
        <v>524</v>
      </c>
      <c r="C238" s="486"/>
      <c r="D238" s="171"/>
      <c r="E238" s="171"/>
      <c r="F238" s="627"/>
      <c r="G238" s="627"/>
      <c r="H238" s="627"/>
      <c r="I238" s="171"/>
      <c r="J238" s="171"/>
      <c r="K238" s="171"/>
      <c r="L238" s="171"/>
      <c r="M238" s="52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</row>
    <row r="239" spans="1:34" x14ac:dyDescent="0.3">
      <c r="A239" s="462"/>
      <c r="B239" s="474"/>
      <c r="C239" s="474"/>
      <c r="D239" s="171"/>
      <c r="E239" s="171"/>
      <c r="F239" s="627"/>
      <c r="G239" s="627"/>
      <c r="H239" s="627"/>
      <c r="I239" s="171"/>
      <c r="J239" s="171"/>
      <c r="K239" s="171"/>
      <c r="L239" s="171"/>
      <c r="M239" s="171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</row>
    <row r="240" spans="1:34" x14ac:dyDescent="0.3">
      <c r="A240" s="462"/>
      <c r="B240" s="487" t="s">
        <v>940</v>
      </c>
      <c r="C240" s="487"/>
      <c r="D240" s="171"/>
      <c r="E240" s="171"/>
      <c r="F240" s="627"/>
      <c r="G240" s="627"/>
      <c r="H240" s="627"/>
      <c r="I240" s="171"/>
      <c r="J240" s="171"/>
      <c r="K240" s="171"/>
      <c r="L240" s="171"/>
      <c r="M240" s="171"/>
      <c r="N240" s="468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</row>
    <row r="241" spans="1:34" x14ac:dyDescent="0.3">
      <c r="A241" s="462"/>
      <c r="B241" s="461"/>
      <c r="C241" s="461"/>
      <c r="D241" s="171"/>
      <c r="E241" s="171"/>
      <c r="F241" s="627"/>
      <c r="G241" s="627"/>
      <c r="H241" s="627"/>
      <c r="I241" s="171"/>
      <c r="J241" s="171"/>
      <c r="K241" s="171"/>
      <c r="L241" s="171"/>
      <c r="M241" s="171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</row>
    <row r="242" spans="1:34" x14ac:dyDescent="0.3">
      <c r="A242" s="462"/>
      <c r="B242" s="461"/>
      <c r="C242" s="461"/>
      <c r="D242" s="171"/>
      <c r="E242" s="171"/>
      <c r="F242" s="627"/>
      <c r="G242" s="627"/>
      <c r="H242" s="627"/>
      <c r="I242" s="171"/>
      <c r="J242" s="171"/>
      <c r="K242" s="171"/>
      <c r="L242" s="171"/>
      <c r="M242" s="171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</row>
    <row r="243" spans="1:34" x14ac:dyDescent="0.3">
      <c r="A243" s="462"/>
      <c r="B243" s="461"/>
      <c r="C243" s="461"/>
      <c r="D243" s="171"/>
      <c r="E243" s="171"/>
      <c r="F243" s="627"/>
      <c r="G243" s="627"/>
      <c r="H243" s="627"/>
      <c r="I243" s="171"/>
      <c r="J243" s="171"/>
      <c r="K243" s="171"/>
      <c r="L243" s="171"/>
      <c r="M243" s="171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</row>
    <row r="244" spans="1:34" x14ac:dyDescent="0.3">
      <c r="A244" s="462"/>
      <c r="B244" s="461"/>
      <c r="C244" s="461"/>
      <c r="D244" s="171"/>
      <c r="E244" s="171"/>
      <c r="F244" s="627"/>
      <c r="G244" s="627"/>
      <c r="H244" s="627"/>
      <c r="I244" s="171"/>
      <c r="J244" s="171"/>
      <c r="K244" s="171"/>
      <c r="L244" s="171"/>
      <c r="M244" s="171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</row>
    <row r="245" spans="1:34" x14ac:dyDescent="0.3">
      <c r="A245" s="462"/>
      <c r="B245" s="461"/>
      <c r="C245" s="461"/>
      <c r="D245" s="171"/>
      <c r="E245" s="171"/>
      <c r="F245" s="627"/>
      <c r="G245" s="627"/>
      <c r="H245" s="627"/>
      <c r="I245" s="171"/>
      <c r="J245" s="171"/>
      <c r="K245" s="171"/>
      <c r="L245" s="171"/>
      <c r="M245" s="171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</row>
    <row r="246" spans="1:34" x14ac:dyDescent="0.3">
      <c r="A246" s="460" t="s">
        <v>1332</v>
      </c>
      <c r="B246" s="461"/>
      <c r="C246" s="461"/>
      <c r="D246" s="171"/>
      <c r="E246" s="171"/>
      <c r="F246" s="627"/>
      <c r="G246" s="627"/>
      <c r="H246" s="627"/>
      <c r="I246" s="171"/>
      <c r="J246" s="171"/>
      <c r="K246" s="171"/>
      <c r="L246" s="171"/>
      <c r="M246" s="171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</row>
    <row r="247" spans="1:34" x14ac:dyDescent="0.3">
      <c r="A247" s="462" t="s">
        <v>724</v>
      </c>
      <c r="B247" s="461" t="s">
        <v>725</v>
      </c>
      <c r="C247" s="461" t="s">
        <v>835</v>
      </c>
      <c r="D247" s="468">
        <f t="shared" ref="D247:D272" si="6">+E247+I247+J247+K247</f>
        <v>66192416.159999996</v>
      </c>
      <c r="E247" s="468">
        <f>'7b. LX_AG-sf'!E$241</f>
        <v>43515962.003324836</v>
      </c>
      <c r="F247" s="630"/>
      <c r="G247" s="630"/>
      <c r="H247" s="630"/>
      <c r="I247" s="468">
        <f>'7b. LX_AG-sf'!I$241</f>
        <v>22676454.15667516</v>
      </c>
      <c r="J247" s="468">
        <f>'7b. LX_AG-sf'!J$241</f>
        <v>0</v>
      </c>
      <c r="K247" s="468"/>
      <c r="L247" s="526">
        <v>1</v>
      </c>
      <c r="M247" s="529">
        <f>SUM(N247:W247)</f>
        <v>51544435.908528537</v>
      </c>
      <c r="N247" s="468">
        <f>'7b. LX_AG-sf'!N$241</f>
        <v>16188678.588415425</v>
      </c>
      <c r="O247" s="468">
        <f>'7b. LX_AG-sf'!O$241</f>
        <v>14742342.935831249</v>
      </c>
      <c r="P247" s="468">
        <f>'7b. LX_AG-sf'!P$241</f>
        <v>4057801.875254239</v>
      </c>
      <c r="Q247" s="468">
        <f>'7b. LX_AG-sf'!Q$241</f>
        <v>794748.9146647033</v>
      </c>
      <c r="R247" s="468">
        <f>'7b. LX_AG-sf'!R$241</f>
        <v>10477592.271150392</v>
      </c>
      <c r="S247" s="468">
        <f>'7b. LX_AG-sf'!S$241</f>
        <v>2788537.9736045781</v>
      </c>
      <c r="T247" s="468">
        <f>'7b. LX_AG-sf'!T$241</f>
        <v>868778.21527854819</v>
      </c>
      <c r="U247" s="468">
        <f>'7b. LX_AG-sf'!U$241</f>
        <v>0</v>
      </c>
      <c r="V247" s="468">
        <f>'7b. LX_AG-sf'!V$241</f>
        <v>1463901.2818474146</v>
      </c>
      <c r="W247" s="468">
        <f>'7b. LX_AG-sf'!W$241</f>
        <v>162053.85248199227</v>
      </c>
      <c r="X247" s="518">
        <f>SUM(Y247:Z247)</f>
        <v>11382286.798041336</v>
      </c>
      <c r="Y247" s="468">
        <f>'7b. LX_AG-sf'!Y$241</f>
        <v>5533146.4714714596</v>
      </c>
      <c r="Z247" s="468">
        <f>'7b. LX_AG-sf'!Z$241</f>
        <v>5849140.3265698766</v>
      </c>
      <c r="AA247" s="526">
        <v>1</v>
      </c>
      <c r="AB247" s="468">
        <f>'7b. LX_AG-sf'!AB$241</f>
        <v>15526882.993573921</v>
      </c>
      <c r="AC247" s="468">
        <f>'7b. LX_AG-sf'!AC$241</f>
        <v>14089249.023636159</v>
      </c>
      <c r="AD247" s="468">
        <f>'7b. LX_AG-sf'!AD$241</f>
        <v>1437633.9699377615</v>
      </c>
      <c r="AE247" s="468">
        <f>'7b. LX_AG-sf'!AE$241</f>
        <v>0</v>
      </c>
      <c r="AF247" s="527">
        <f>SUM(AG247:AG247)</f>
        <v>2203529.67</v>
      </c>
      <c r="AG247" s="468">
        <f>'7b. LX_AG-sf'!AG$241</f>
        <v>2203529.67</v>
      </c>
      <c r="AH247" s="526"/>
    </row>
    <row r="248" spans="1:34" x14ac:dyDescent="0.3">
      <c r="A248" s="462" t="s">
        <v>57</v>
      </c>
      <c r="B248" s="461"/>
      <c r="C248" s="461" t="s">
        <v>186</v>
      </c>
      <c r="D248" s="521">
        <f t="shared" si="6"/>
        <v>1</v>
      </c>
      <c r="E248" s="521">
        <v>0.4</v>
      </c>
      <c r="F248" s="629"/>
      <c r="G248" s="629"/>
      <c r="H248" s="629"/>
      <c r="I248" s="535">
        <v>0.6</v>
      </c>
      <c r="J248" s="468"/>
      <c r="K248" s="468"/>
      <c r="L248" s="526"/>
      <c r="M248" s="529"/>
      <c r="N248" s="468"/>
      <c r="O248" s="468"/>
      <c r="P248" s="468"/>
      <c r="Q248" s="468"/>
      <c r="R248" s="468"/>
      <c r="S248" s="468"/>
      <c r="T248" s="468"/>
      <c r="U248" s="468"/>
      <c r="V248" s="468"/>
      <c r="W248" s="468"/>
      <c r="X248" s="518"/>
      <c r="Y248" s="468"/>
      <c r="Z248" s="468"/>
      <c r="AA248" s="526"/>
      <c r="AB248" s="468"/>
      <c r="AC248" s="468"/>
      <c r="AD248" s="468"/>
      <c r="AE248" s="468"/>
      <c r="AF248" s="527"/>
      <c r="AG248" s="468"/>
      <c r="AH248" s="526"/>
    </row>
    <row r="249" spans="1:34" x14ac:dyDescent="0.3">
      <c r="A249" s="462" t="s">
        <v>726</v>
      </c>
      <c r="B249" s="461" t="s">
        <v>727</v>
      </c>
      <c r="C249" s="461" t="s">
        <v>835</v>
      </c>
      <c r="D249" s="468">
        <f t="shared" si="6"/>
        <v>66192416.159999996</v>
      </c>
      <c r="E249" s="468">
        <f>'7b. LX_AG-sf'!E$241</f>
        <v>43515962.003324836</v>
      </c>
      <c r="F249" s="630"/>
      <c r="G249" s="630"/>
      <c r="H249" s="630"/>
      <c r="I249" s="468">
        <f>'7b. LX_AG-sf'!I$241</f>
        <v>22676454.15667516</v>
      </c>
      <c r="J249" s="468">
        <f>'7b. LX_AG-sf'!J$241</f>
        <v>0</v>
      </c>
      <c r="K249" s="468"/>
      <c r="L249" s="526">
        <v>1</v>
      </c>
      <c r="M249" s="529">
        <f>SUM(N249:W249)</f>
        <v>51544435.908528537</v>
      </c>
      <c r="N249" s="468">
        <f>'7b. LX_AG-sf'!N$241</f>
        <v>16188678.588415425</v>
      </c>
      <c r="O249" s="468">
        <f>'7b. LX_AG-sf'!O$241</f>
        <v>14742342.935831249</v>
      </c>
      <c r="P249" s="468">
        <f>'7b. LX_AG-sf'!P$241</f>
        <v>4057801.875254239</v>
      </c>
      <c r="Q249" s="468">
        <f>'7b. LX_AG-sf'!Q$241</f>
        <v>794748.9146647033</v>
      </c>
      <c r="R249" s="468">
        <f>'7b. LX_AG-sf'!R$241</f>
        <v>10477592.271150392</v>
      </c>
      <c r="S249" s="468">
        <f>'7b. LX_AG-sf'!S$241</f>
        <v>2788537.9736045781</v>
      </c>
      <c r="T249" s="468">
        <f>'7b. LX_AG-sf'!T$241</f>
        <v>868778.21527854819</v>
      </c>
      <c r="U249" s="468">
        <f>'7b. LX_AG-sf'!U$241</f>
        <v>0</v>
      </c>
      <c r="V249" s="468">
        <f>'7b. LX_AG-sf'!V$241</f>
        <v>1463901.2818474146</v>
      </c>
      <c r="W249" s="468">
        <f>'7b. LX_AG-sf'!W$241</f>
        <v>162053.85248199227</v>
      </c>
      <c r="X249" s="518">
        <f>SUM(Y249:Z249)</f>
        <v>11382286.798041336</v>
      </c>
      <c r="Y249" s="468">
        <f>'7b. LX_AG-sf'!Y$241</f>
        <v>5533146.4714714596</v>
      </c>
      <c r="Z249" s="468">
        <f>'7b. LX_AG-sf'!Z$241</f>
        <v>5849140.3265698766</v>
      </c>
      <c r="AA249" s="526">
        <v>1</v>
      </c>
      <c r="AB249" s="468">
        <f>'7b. LX_AG-sf'!AB$241</f>
        <v>15526882.993573921</v>
      </c>
      <c r="AC249" s="468">
        <f>'7b. LX_AG-sf'!AC$241</f>
        <v>14089249.023636159</v>
      </c>
      <c r="AD249" s="468">
        <f>'7b. LX_AG-sf'!AD$241</f>
        <v>1437633.9699377615</v>
      </c>
      <c r="AE249" s="468">
        <f>'7b. LX_AG-sf'!AE$241</f>
        <v>0</v>
      </c>
      <c r="AF249" s="527">
        <f>SUM(AG249:AG249)</f>
        <v>2203529.67</v>
      </c>
      <c r="AG249" s="468">
        <f>'7b. LX_AG-sf'!AG$241</f>
        <v>2203529.67</v>
      </c>
      <c r="AH249" s="526"/>
    </row>
    <row r="250" spans="1:34" x14ac:dyDescent="0.3">
      <c r="A250" s="462" t="s">
        <v>59</v>
      </c>
      <c r="B250" s="461"/>
      <c r="C250" s="461" t="s">
        <v>186</v>
      </c>
      <c r="D250" s="521">
        <f t="shared" si="6"/>
        <v>1</v>
      </c>
      <c r="E250" s="541">
        <v>0.4</v>
      </c>
      <c r="F250" s="629"/>
      <c r="G250" s="629"/>
      <c r="H250" s="629"/>
      <c r="I250" s="535">
        <v>0.6</v>
      </c>
      <c r="J250" s="468"/>
      <c r="K250" s="468"/>
      <c r="L250" s="526"/>
      <c r="M250" s="529"/>
      <c r="N250" s="468"/>
      <c r="O250" s="468"/>
      <c r="P250" s="468"/>
      <c r="Q250" s="468"/>
      <c r="R250" s="468"/>
      <c r="S250" s="468"/>
      <c r="T250" s="468"/>
      <c r="U250" s="468"/>
      <c r="V250" s="468"/>
      <c r="W250" s="468"/>
      <c r="X250" s="518"/>
      <c r="Y250" s="468"/>
      <c r="Z250" s="468"/>
      <c r="AA250" s="526"/>
      <c r="AB250" s="468"/>
      <c r="AC250" s="468"/>
      <c r="AD250" s="468"/>
      <c r="AE250" s="468"/>
      <c r="AF250" s="527"/>
      <c r="AG250" s="468"/>
      <c r="AH250" s="526"/>
    </row>
    <row r="251" spans="1:34" x14ac:dyDescent="0.3">
      <c r="A251" s="462" t="s">
        <v>728</v>
      </c>
      <c r="B251" s="461" t="s">
        <v>729</v>
      </c>
      <c r="C251" s="461" t="s">
        <v>835</v>
      </c>
      <c r="D251" s="468">
        <f t="shared" si="6"/>
        <v>66192416.159999996</v>
      </c>
      <c r="E251" s="468">
        <f>'7b. LX_AG-sf'!E$241</f>
        <v>43515962.003324836</v>
      </c>
      <c r="F251" s="630"/>
      <c r="G251" s="630"/>
      <c r="H251" s="630"/>
      <c r="I251" s="468">
        <f>'7b. LX_AG-sf'!I$241</f>
        <v>22676454.15667516</v>
      </c>
      <c r="J251" s="468">
        <f>'7b. LX_AG-sf'!J$241</f>
        <v>0</v>
      </c>
      <c r="K251" s="468"/>
      <c r="L251" s="526">
        <v>1</v>
      </c>
      <c r="M251" s="529">
        <f>SUM(N251:W251)</f>
        <v>51544435.908528537</v>
      </c>
      <c r="N251" s="468">
        <f>'7b. LX_AG-sf'!N$241</f>
        <v>16188678.588415425</v>
      </c>
      <c r="O251" s="468">
        <f>'7b. LX_AG-sf'!O$241</f>
        <v>14742342.935831249</v>
      </c>
      <c r="P251" s="468">
        <f>'7b. LX_AG-sf'!P$241</f>
        <v>4057801.875254239</v>
      </c>
      <c r="Q251" s="468">
        <f>'7b. LX_AG-sf'!Q$241</f>
        <v>794748.9146647033</v>
      </c>
      <c r="R251" s="468">
        <f>'7b. LX_AG-sf'!R$241</f>
        <v>10477592.271150392</v>
      </c>
      <c r="S251" s="468">
        <f>'7b. LX_AG-sf'!S$241</f>
        <v>2788537.9736045781</v>
      </c>
      <c r="T251" s="468">
        <f>'7b. LX_AG-sf'!T$241</f>
        <v>868778.21527854819</v>
      </c>
      <c r="U251" s="468">
        <f>'7b. LX_AG-sf'!U$241</f>
        <v>0</v>
      </c>
      <c r="V251" s="468">
        <f>'7b. LX_AG-sf'!V$241</f>
        <v>1463901.2818474146</v>
      </c>
      <c r="W251" s="468">
        <f>'7b. LX_AG-sf'!W$241</f>
        <v>162053.85248199227</v>
      </c>
      <c r="X251" s="518">
        <f>SUM(Y251:Z251)</f>
        <v>11382286.798041336</v>
      </c>
      <c r="Y251" s="468">
        <f>'7b. LX_AG-sf'!Y$241</f>
        <v>5533146.4714714596</v>
      </c>
      <c r="Z251" s="468">
        <f>'7b. LX_AG-sf'!Z$241</f>
        <v>5849140.3265698766</v>
      </c>
      <c r="AA251" s="526">
        <v>1</v>
      </c>
      <c r="AB251" s="468">
        <f>'7b. LX_AG-sf'!AB$241</f>
        <v>15526882.993573921</v>
      </c>
      <c r="AC251" s="468">
        <f>'7b. LX_AG-sf'!AC$241</f>
        <v>14089249.023636159</v>
      </c>
      <c r="AD251" s="468">
        <f>'7b. LX_AG-sf'!AD$241</f>
        <v>1437633.9699377615</v>
      </c>
      <c r="AE251" s="468">
        <f>'7b. LX_AG-sf'!AE$241</f>
        <v>0</v>
      </c>
      <c r="AF251" s="527">
        <f>SUM(AG251:AG251)</f>
        <v>2203529.67</v>
      </c>
      <c r="AG251" s="468">
        <f>'7b. LX_AG-sf'!AG$241</f>
        <v>2203529.67</v>
      </c>
      <c r="AH251" s="526"/>
    </row>
    <row r="252" spans="1:34" x14ac:dyDescent="0.3">
      <c r="A252" s="462" t="s">
        <v>730</v>
      </c>
      <c r="B252" s="466" t="s">
        <v>731</v>
      </c>
      <c r="C252" s="461" t="s">
        <v>835</v>
      </c>
      <c r="D252" s="468">
        <f t="shared" si="6"/>
        <v>66192416.159999996</v>
      </c>
      <c r="E252" s="468">
        <f>'7b. LX_AG-sf'!E$241</f>
        <v>43515962.003324836</v>
      </c>
      <c r="F252" s="630"/>
      <c r="G252" s="630"/>
      <c r="H252" s="630"/>
      <c r="I252" s="468">
        <f>'7b. LX_AG-sf'!I$241</f>
        <v>22676454.15667516</v>
      </c>
      <c r="J252" s="468">
        <f>'7b. LX_AG-sf'!J$241</f>
        <v>0</v>
      </c>
      <c r="K252" s="468"/>
      <c r="L252" s="526">
        <v>1</v>
      </c>
      <c r="M252" s="529">
        <f>SUM(N252:W252)</f>
        <v>51544435.908528537</v>
      </c>
      <c r="N252" s="468">
        <f>'7b. LX_AG-sf'!N$241</f>
        <v>16188678.588415425</v>
      </c>
      <c r="O252" s="468">
        <f>'7b. LX_AG-sf'!O$241</f>
        <v>14742342.935831249</v>
      </c>
      <c r="P252" s="468">
        <f>'7b. LX_AG-sf'!P$241</f>
        <v>4057801.875254239</v>
      </c>
      <c r="Q252" s="468">
        <f>'7b. LX_AG-sf'!Q$241</f>
        <v>794748.9146647033</v>
      </c>
      <c r="R252" s="468">
        <f>'7b. LX_AG-sf'!R$241</f>
        <v>10477592.271150392</v>
      </c>
      <c r="S252" s="468">
        <f>'7b. LX_AG-sf'!S$241</f>
        <v>2788537.9736045781</v>
      </c>
      <c r="T252" s="468">
        <f>'7b. LX_AG-sf'!T$241</f>
        <v>868778.21527854819</v>
      </c>
      <c r="U252" s="468">
        <f>'7b. LX_AG-sf'!U$241</f>
        <v>0</v>
      </c>
      <c r="V252" s="468">
        <f>'7b. LX_AG-sf'!V$241</f>
        <v>1463901.2818474146</v>
      </c>
      <c r="W252" s="468">
        <f>'7b. LX_AG-sf'!W$241</f>
        <v>162053.85248199227</v>
      </c>
      <c r="X252" s="518">
        <f>SUM(Y252:Z252)</f>
        <v>11382286.798041336</v>
      </c>
      <c r="Y252" s="468">
        <f>'7b. LX_AG-sf'!Y$241</f>
        <v>5533146.4714714596</v>
      </c>
      <c r="Z252" s="468">
        <f>'7b. LX_AG-sf'!Z$241</f>
        <v>5849140.3265698766</v>
      </c>
      <c r="AA252" s="526">
        <v>1</v>
      </c>
      <c r="AB252" s="468">
        <f>'7b. LX_AG-sf'!AB$241</f>
        <v>15526882.993573921</v>
      </c>
      <c r="AC252" s="468">
        <f>'7b. LX_AG-sf'!AC$241</f>
        <v>14089249.023636159</v>
      </c>
      <c r="AD252" s="468">
        <f>'7b. LX_AG-sf'!AD$241</f>
        <v>1437633.9699377615</v>
      </c>
      <c r="AE252" s="468">
        <f>'7b. LX_AG-sf'!AE$241</f>
        <v>0</v>
      </c>
      <c r="AF252" s="527">
        <f>SUM(AG252:AG252)</f>
        <v>2203529.67</v>
      </c>
      <c r="AG252" s="468">
        <f>'7b. LX_AG-sf'!AG$241</f>
        <v>2203529.67</v>
      </c>
      <c r="AH252" s="526"/>
    </row>
    <row r="253" spans="1:34" x14ac:dyDescent="0.3">
      <c r="A253" s="462" t="s">
        <v>61</v>
      </c>
      <c r="B253" s="466"/>
      <c r="C253" s="461" t="s">
        <v>186</v>
      </c>
      <c r="D253" s="521">
        <f t="shared" si="6"/>
        <v>1</v>
      </c>
      <c r="E253" s="521">
        <v>0.4</v>
      </c>
      <c r="F253" s="629"/>
      <c r="G253" s="629"/>
      <c r="H253" s="629"/>
      <c r="I253" s="535">
        <v>0.6</v>
      </c>
      <c r="J253" s="468"/>
      <c r="K253" s="468"/>
      <c r="L253" s="526"/>
      <c r="M253" s="529"/>
      <c r="N253" s="468"/>
      <c r="O253" s="468"/>
      <c r="P253" s="468"/>
      <c r="Q253" s="468"/>
      <c r="R253" s="468"/>
      <c r="S253" s="468"/>
      <c r="T253" s="468"/>
      <c r="U253" s="468"/>
      <c r="V253" s="468"/>
      <c r="W253" s="468"/>
      <c r="X253" s="518"/>
      <c r="Y253" s="468"/>
      <c r="Z253" s="468"/>
      <c r="AA253" s="526"/>
      <c r="AB253" s="468"/>
      <c r="AC253" s="468"/>
      <c r="AD253" s="468"/>
      <c r="AE253" s="468"/>
      <c r="AF253" s="527"/>
      <c r="AG253" s="468"/>
      <c r="AH253" s="526"/>
    </row>
    <row r="254" spans="1:34" x14ac:dyDescent="0.3">
      <c r="A254" s="462" t="s">
        <v>732</v>
      </c>
      <c r="B254" s="461" t="s">
        <v>733</v>
      </c>
      <c r="C254" s="461"/>
      <c r="D254" s="468"/>
      <c r="E254" s="468"/>
      <c r="F254" s="630"/>
      <c r="G254" s="630"/>
      <c r="H254" s="630"/>
      <c r="I254" s="468"/>
      <c r="J254" s="468"/>
      <c r="K254" s="468"/>
      <c r="L254" s="468"/>
      <c r="M254" s="468"/>
      <c r="N254" s="468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</row>
    <row r="255" spans="1:34" x14ac:dyDescent="0.3">
      <c r="A255" s="462"/>
      <c r="B255" s="461" t="s">
        <v>734</v>
      </c>
      <c r="C255" s="461" t="s">
        <v>184</v>
      </c>
      <c r="D255" s="542">
        <f t="shared" si="6"/>
        <v>3255274580.5500002</v>
      </c>
      <c r="E255" s="542">
        <f>+'2b. RB-sf'!E63</f>
        <v>3255274580.5500002</v>
      </c>
      <c r="F255" s="664"/>
      <c r="G255" s="664"/>
      <c r="H255" s="664"/>
      <c r="I255" s="542">
        <f>+'2b. RB-sf'!I63</f>
        <v>0</v>
      </c>
      <c r="J255" s="468"/>
      <c r="K255" s="468"/>
      <c r="L255" s="468"/>
      <c r="M255" s="468"/>
      <c r="N255" s="468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</row>
    <row r="256" spans="1:34" x14ac:dyDescent="0.3">
      <c r="A256" s="462"/>
      <c r="B256" s="461" t="s">
        <v>735</v>
      </c>
      <c r="C256" s="461" t="s">
        <v>185</v>
      </c>
      <c r="D256" s="468"/>
      <c r="E256" s="468"/>
      <c r="F256" s="630"/>
      <c r="G256" s="630"/>
      <c r="H256" s="630"/>
      <c r="I256" s="468"/>
      <c r="J256" s="468"/>
      <c r="K256" s="468"/>
      <c r="L256" s="526">
        <v>1</v>
      </c>
      <c r="M256" s="468"/>
      <c r="N256" s="468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</row>
    <row r="257" spans="1:34" x14ac:dyDescent="0.3">
      <c r="A257" s="462"/>
      <c r="B257" s="461" t="s">
        <v>736</v>
      </c>
      <c r="C257" s="461" t="s">
        <v>182</v>
      </c>
      <c r="D257" s="468"/>
      <c r="E257" s="468"/>
      <c r="F257" s="630"/>
      <c r="G257" s="630"/>
      <c r="H257" s="630"/>
      <c r="I257" s="468"/>
      <c r="J257" s="468"/>
      <c r="K257" s="468"/>
      <c r="L257" s="468"/>
      <c r="M257" s="529">
        <f>SUM(N257:W257)</f>
        <v>2099176485.8880477</v>
      </c>
      <c r="N257" s="468">
        <f>+'2b. RB-sf'!N94</f>
        <v>332550668.0280478</v>
      </c>
      <c r="O257" s="468">
        <f>+'2b. RB-sf'!O94</f>
        <v>597523210.07080626</v>
      </c>
      <c r="P257" s="468">
        <f>+'2b. RB-sf'!P94</f>
        <v>159560465.3049843</v>
      </c>
      <c r="Q257" s="468">
        <f>+'2b. RB-sf'!Q94</f>
        <v>174453717.5478189</v>
      </c>
      <c r="R257" s="468">
        <f>+'2b. RB-sf'!R94</f>
        <v>327478213.15558767</v>
      </c>
      <c r="S257" s="468">
        <f>+'2b. RB-sf'!S94</f>
        <v>80642631.368211746</v>
      </c>
      <c r="T257" s="468">
        <f>+'2b. RB-sf'!T94</f>
        <v>190703738.73218107</v>
      </c>
      <c r="U257" s="468">
        <f>+'2b. RB-sf'!U94</f>
        <v>128955756.09999993</v>
      </c>
      <c r="V257" s="468">
        <f>+'2b. RB-sf'!V94</f>
        <v>107308085.5804099</v>
      </c>
      <c r="W257" s="468">
        <f>+'2b. RB-sf'!W94</f>
        <v>0</v>
      </c>
      <c r="X257" s="527">
        <f>SUM(Y257:Z257)</f>
        <v>141514308.95999998</v>
      </c>
      <c r="Y257" s="468">
        <f>+'2b. RB-sf'!Y94</f>
        <v>141514308.95999998</v>
      </c>
      <c r="Z257" s="468">
        <f>+'2b. RB-sf'!Z94</f>
        <v>0</v>
      </c>
      <c r="AA257" s="526">
        <v>1</v>
      </c>
      <c r="AB257" s="527">
        <f>SUM(AC257:AE257)</f>
        <v>0</v>
      </c>
      <c r="AC257" s="468">
        <f>+'2b. RB-sf'!AC94</f>
        <v>0</v>
      </c>
      <c r="AD257" s="468">
        <f>+'2b. RB-sf'!AD94</f>
        <v>0</v>
      </c>
      <c r="AE257" s="468">
        <f>+'2b. RB-sf'!AE94</f>
        <v>0</v>
      </c>
      <c r="AF257" s="527">
        <f>SUM(AG257:AG257)</f>
        <v>0</v>
      </c>
      <c r="AG257" s="468">
        <f>+'2b. RB-sf'!AG94</f>
        <v>0</v>
      </c>
      <c r="AH257" s="526"/>
    </row>
    <row r="258" spans="1:34" x14ac:dyDescent="0.3">
      <c r="A258" s="462"/>
      <c r="B258" s="461" t="s">
        <v>156</v>
      </c>
      <c r="C258" s="461" t="s">
        <v>183</v>
      </c>
      <c r="D258" s="62"/>
      <c r="E258" s="62"/>
      <c r="F258" s="634"/>
      <c r="G258" s="634"/>
      <c r="H258" s="634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</row>
    <row r="259" spans="1:34" x14ac:dyDescent="0.3">
      <c r="A259" s="462"/>
      <c r="B259" s="461" t="s">
        <v>737</v>
      </c>
      <c r="C259" s="461" t="s">
        <v>158</v>
      </c>
      <c r="D259" s="689">
        <f t="shared" si="6"/>
        <v>1</v>
      </c>
      <c r="E259" s="689">
        <v>1</v>
      </c>
      <c r="F259" s="635"/>
      <c r="G259" s="635"/>
      <c r="H259" s="635"/>
      <c r="I259" s="533">
        <f>+'2b. RB-sf'!I39</f>
        <v>0</v>
      </c>
      <c r="J259" s="468"/>
      <c r="K259" s="468"/>
      <c r="L259" s="468"/>
      <c r="M259" s="468"/>
      <c r="N259" s="468"/>
      <c r="O259" s="62"/>
      <c r="P259" s="62"/>
      <c r="Q259" s="62"/>
      <c r="R259" s="62"/>
      <c r="S259" s="62"/>
      <c r="T259" s="62"/>
      <c r="U259" s="62"/>
      <c r="V259" s="62"/>
      <c r="W259" s="62"/>
      <c r="X259" s="526">
        <v>1</v>
      </c>
      <c r="Y259" s="526"/>
      <c r="Z259" s="526">
        <v>1</v>
      </c>
      <c r="AA259" s="526">
        <v>1</v>
      </c>
      <c r="AB259" s="62"/>
      <c r="AC259" s="62"/>
      <c r="AD259" s="62"/>
      <c r="AE259" s="62"/>
      <c r="AF259" s="62"/>
      <c r="AG259" s="62"/>
      <c r="AH259" s="62"/>
    </row>
    <row r="260" spans="1:34" x14ac:dyDescent="0.3">
      <c r="A260" s="462" t="s">
        <v>546</v>
      </c>
      <c r="B260" s="474" t="s">
        <v>738</v>
      </c>
      <c r="C260" s="474"/>
      <c r="D260" s="171">
        <f t="shared" si="6"/>
        <v>0</v>
      </c>
      <c r="E260" s="171"/>
      <c r="F260" s="627"/>
      <c r="G260" s="627"/>
      <c r="H260" s="627"/>
      <c r="I260" s="171"/>
      <c r="J260" s="171"/>
      <c r="K260" s="171"/>
      <c r="L260" s="171"/>
      <c r="M260" s="171"/>
      <c r="N260" s="468"/>
      <c r="O260" s="62"/>
      <c r="P260" s="62"/>
      <c r="Q260" s="62"/>
      <c r="R260" s="62"/>
      <c r="S260" s="62"/>
      <c r="T260" s="62"/>
      <c r="U260" s="62"/>
      <c r="V260" s="62"/>
      <c r="W260" s="62"/>
      <c r="X260" s="526">
        <v>1</v>
      </c>
      <c r="Y260" s="526"/>
      <c r="Z260" s="526">
        <v>1</v>
      </c>
      <c r="AA260" s="526">
        <v>1</v>
      </c>
      <c r="AB260" s="62"/>
      <c r="AC260" s="62"/>
      <c r="AD260" s="62"/>
      <c r="AE260" s="62"/>
      <c r="AF260" s="62"/>
      <c r="AG260" s="62"/>
      <c r="AH260" s="62"/>
    </row>
    <row r="261" spans="1:34" x14ac:dyDescent="0.3">
      <c r="A261" s="462" t="s">
        <v>739</v>
      </c>
      <c r="B261" s="461" t="s">
        <v>740</v>
      </c>
      <c r="C261" s="461" t="s">
        <v>835</v>
      </c>
      <c r="D261" s="468">
        <f t="shared" si="6"/>
        <v>66192416.159999996</v>
      </c>
      <c r="E261" s="468">
        <f>'7b. LX_AG-sf'!E$241</f>
        <v>43515962.003324836</v>
      </c>
      <c r="F261" s="630"/>
      <c r="G261" s="630"/>
      <c r="H261" s="630"/>
      <c r="I261" s="468">
        <f>'7b. LX_AG-sf'!I$241</f>
        <v>22676454.15667516</v>
      </c>
      <c r="J261" s="468"/>
      <c r="K261" s="468"/>
      <c r="L261" s="526">
        <v>1</v>
      </c>
      <c r="M261" s="529">
        <f>SUM(N261:W261)</f>
        <v>51544435.908528537</v>
      </c>
      <c r="N261" s="468">
        <f>'7b. LX_AG-sf'!N$241</f>
        <v>16188678.588415425</v>
      </c>
      <c r="O261" s="468">
        <f>'7b. LX_AG-sf'!O$241</f>
        <v>14742342.935831249</v>
      </c>
      <c r="P261" s="468">
        <f>'7b. LX_AG-sf'!P$241</f>
        <v>4057801.875254239</v>
      </c>
      <c r="Q261" s="468">
        <f>'7b. LX_AG-sf'!Q$241</f>
        <v>794748.9146647033</v>
      </c>
      <c r="R261" s="468">
        <f>'7b. LX_AG-sf'!R$241</f>
        <v>10477592.271150392</v>
      </c>
      <c r="S261" s="468">
        <f>'7b. LX_AG-sf'!S$241</f>
        <v>2788537.9736045781</v>
      </c>
      <c r="T261" s="468">
        <f>'7b. LX_AG-sf'!T$241</f>
        <v>868778.21527854819</v>
      </c>
      <c r="U261" s="468">
        <f>'7b. LX_AG-sf'!U$241</f>
        <v>0</v>
      </c>
      <c r="V261" s="468">
        <f>'7b. LX_AG-sf'!V$241</f>
        <v>1463901.2818474146</v>
      </c>
      <c r="W261" s="468">
        <f>'7b. LX_AG-sf'!W$241</f>
        <v>162053.85248199227</v>
      </c>
      <c r="X261" s="518">
        <f t="shared" ref="X261:X271" si="7">SUM(Y261:Z261)</f>
        <v>11382286.798041336</v>
      </c>
      <c r="Y261" s="468">
        <f>'7b. LX_AG-sf'!Y$241</f>
        <v>5533146.4714714596</v>
      </c>
      <c r="Z261" s="468">
        <f>'7b. LX_AG-sf'!Z$241</f>
        <v>5849140.3265698766</v>
      </c>
      <c r="AA261" s="526">
        <v>1</v>
      </c>
      <c r="AB261" s="468">
        <f>'7b. LX_AG-sf'!AB$241</f>
        <v>15526882.993573921</v>
      </c>
      <c r="AC261" s="468">
        <f>'7b. LX_AG-sf'!AC$241</f>
        <v>14089249.023636159</v>
      </c>
      <c r="AD261" s="468">
        <f>'7b. LX_AG-sf'!AD$241</f>
        <v>1437633.9699377615</v>
      </c>
      <c r="AE261" s="468">
        <f>'7b. LX_AG-sf'!AE$241</f>
        <v>0</v>
      </c>
      <c r="AF261" s="527">
        <f>SUM(AG261:AG261)</f>
        <v>2203529.67</v>
      </c>
      <c r="AG261" s="468">
        <f>'7b. LX_AG-sf'!AG$241</f>
        <v>2203529.67</v>
      </c>
      <c r="AH261" s="526"/>
    </row>
    <row r="262" spans="1:34" x14ac:dyDescent="0.3">
      <c r="A262" s="462" t="s">
        <v>63</v>
      </c>
      <c r="B262" s="461"/>
      <c r="C262" s="461" t="s">
        <v>186</v>
      </c>
      <c r="D262" s="521">
        <f t="shared" si="6"/>
        <v>1</v>
      </c>
      <c r="E262" s="521">
        <v>0.4</v>
      </c>
      <c r="F262" s="629"/>
      <c r="G262" s="629"/>
      <c r="H262" s="629"/>
      <c r="I262" s="521">
        <v>0.6</v>
      </c>
      <c r="J262" s="468"/>
      <c r="K262" s="468"/>
      <c r="L262" s="526"/>
      <c r="M262" s="529"/>
      <c r="N262" s="468"/>
      <c r="O262" s="468"/>
      <c r="P262" s="468"/>
      <c r="Q262" s="468"/>
      <c r="R262" s="468"/>
      <c r="S262" s="468"/>
      <c r="T262" s="468"/>
      <c r="U262" s="468"/>
      <c r="V262" s="468"/>
      <c r="W262" s="468"/>
      <c r="X262" s="518"/>
      <c r="Y262" s="468"/>
      <c r="Z262" s="468"/>
      <c r="AA262" s="526"/>
      <c r="AB262" s="468"/>
      <c r="AC262" s="468"/>
      <c r="AD262" s="468"/>
      <c r="AE262" s="468"/>
      <c r="AF262" s="527"/>
      <c r="AG262" s="468"/>
      <c r="AH262" s="526"/>
    </row>
    <row r="263" spans="1:34" x14ac:dyDescent="0.3">
      <c r="A263" s="462" t="s">
        <v>741</v>
      </c>
      <c r="B263" s="461" t="s">
        <v>742</v>
      </c>
      <c r="C263" s="461" t="s">
        <v>835</v>
      </c>
      <c r="D263" s="468">
        <f t="shared" si="6"/>
        <v>66192416.159999996</v>
      </c>
      <c r="E263" s="468">
        <f>'7b. LX_AG-sf'!E$241</f>
        <v>43515962.003324836</v>
      </c>
      <c r="F263" s="630"/>
      <c r="G263" s="630"/>
      <c r="H263" s="630"/>
      <c r="I263" s="468">
        <f>'7b. LX_AG-sf'!I$241</f>
        <v>22676454.15667516</v>
      </c>
      <c r="J263" s="468"/>
      <c r="K263" s="468"/>
      <c r="L263" s="526">
        <v>1</v>
      </c>
      <c r="M263" s="529">
        <f>SUM(N263:W263)</f>
        <v>51544435.908528537</v>
      </c>
      <c r="N263" s="468">
        <f>'7b. LX_AG-sf'!N$241</f>
        <v>16188678.588415425</v>
      </c>
      <c r="O263" s="468">
        <f>'7b. LX_AG-sf'!O$241</f>
        <v>14742342.935831249</v>
      </c>
      <c r="P263" s="468">
        <f>'7b. LX_AG-sf'!P$241</f>
        <v>4057801.875254239</v>
      </c>
      <c r="Q263" s="468">
        <f>'7b. LX_AG-sf'!Q$241</f>
        <v>794748.9146647033</v>
      </c>
      <c r="R263" s="468">
        <f>'7b. LX_AG-sf'!R$241</f>
        <v>10477592.271150392</v>
      </c>
      <c r="S263" s="468">
        <f>'7b. LX_AG-sf'!S$241</f>
        <v>2788537.9736045781</v>
      </c>
      <c r="T263" s="468">
        <f>'7b. LX_AG-sf'!T$241</f>
        <v>868778.21527854819</v>
      </c>
      <c r="U263" s="468">
        <f>'7b. LX_AG-sf'!U$241</f>
        <v>0</v>
      </c>
      <c r="V263" s="468">
        <f>'7b. LX_AG-sf'!V$241</f>
        <v>1463901.2818474146</v>
      </c>
      <c r="W263" s="468">
        <f>'7b. LX_AG-sf'!W$241</f>
        <v>162053.85248199227</v>
      </c>
      <c r="X263" s="518">
        <f t="shared" si="7"/>
        <v>11382286.798041336</v>
      </c>
      <c r="Y263" s="468">
        <f>'7b. LX_AG-sf'!Y$241</f>
        <v>5533146.4714714596</v>
      </c>
      <c r="Z263" s="468">
        <f>'7b. LX_AG-sf'!Z$241</f>
        <v>5849140.3265698766</v>
      </c>
      <c r="AA263" s="526">
        <v>1</v>
      </c>
      <c r="AB263" s="468">
        <f>'7b. LX_AG-sf'!AB$241</f>
        <v>15526882.993573921</v>
      </c>
      <c r="AC263" s="468">
        <f>'7b. LX_AG-sf'!AC$241</f>
        <v>14089249.023636159</v>
      </c>
      <c r="AD263" s="468">
        <f>'7b. LX_AG-sf'!AD$241</f>
        <v>1437633.9699377615</v>
      </c>
      <c r="AE263" s="468">
        <f>'7b. LX_AG-sf'!AE$241</f>
        <v>0</v>
      </c>
      <c r="AF263" s="527">
        <f>SUM(AG263:AG263)</f>
        <v>2203529.67</v>
      </c>
      <c r="AG263" s="468">
        <f>'7b. LX_AG-sf'!AG$241</f>
        <v>2203529.67</v>
      </c>
      <c r="AH263" s="526"/>
    </row>
    <row r="264" spans="1:34" x14ac:dyDescent="0.3">
      <c r="A264" s="462" t="s">
        <v>65</v>
      </c>
      <c r="B264" s="461"/>
      <c r="C264" s="461" t="s">
        <v>186</v>
      </c>
      <c r="D264" s="521">
        <f t="shared" si="6"/>
        <v>1</v>
      </c>
      <c r="E264" s="521">
        <v>0.4</v>
      </c>
      <c r="F264" s="629"/>
      <c r="G264" s="629"/>
      <c r="H264" s="629"/>
      <c r="I264" s="521">
        <v>0.6</v>
      </c>
      <c r="J264" s="468"/>
      <c r="K264" s="468"/>
      <c r="L264" s="526"/>
      <c r="M264" s="529"/>
      <c r="N264" s="468"/>
      <c r="O264" s="468"/>
      <c r="P264" s="468"/>
      <c r="Q264" s="468"/>
      <c r="R264" s="468"/>
      <c r="S264" s="468"/>
      <c r="T264" s="468"/>
      <c r="U264" s="468"/>
      <c r="V264" s="468"/>
      <c r="W264" s="468"/>
      <c r="X264" s="518"/>
      <c r="Y264" s="468"/>
      <c r="Z264" s="468"/>
      <c r="AA264" s="526"/>
      <c r="AB264" s="468"/>
      <c r="AC264" s="468"/>
      <c r="AD264" s="468"/>
      <c r="AE264" s="468"/>
      <c r="AF264" s="527"/>
      <c r="AG264" s="468"/>
      <c r="AH264" s="526"/>
    </row>
    <row r="265" spans="1:34" x14ac:dyDescent="0.3">
      <c r="A265" s="462" t="s">
        <v>743</v>
      </c>
      <c r="B265" s="461" t="s">
        <v>744</v>
      </c>
      <c r="C265" s="461" t="s">
        <v>835</v>
      </c>
      <c r="D265" s="468">
        <f t="shared" si="6"/>
        <v>66192416.159999996</v>
      </c>
      <c r="E265" s="468">
        <f>'7b. LX_AG-sf'!E$241</f>
        <v>43515962.003324836</v>
      </c>
      <c r="F265" s="630"/>
      <c r="G265" s="630"/>
      <c r="H265" s="630"/>
      <c r="I265" s="468">
        <f>'7b. LX_AG-sf'!I$241</f>
        <v>22676454.15667516</v>
      </c>
      <c r="J265" s="468"/>
      <c r="K265" s="468"/>
      <c r="L265" s="526">
        <v>1</v>
      </c>
      <c r="M265" s="529">
        <f>SUM(N265:W265)</f>
        <v>51544435.908528537</v>
      </c>
      <c r="N265" s="468">
        <f>'7b. LX_AG-sf'!N$241</f>
        <v>16188678.588415425</v>
      </c>
      <c r="O265" s="468">
        <f>'7b. LX_AG-sf'!O$241</f>
        <v>14742342.935831249</v>
      </c>
      <c r="P265" s="468">
        <f>'7b. LX_AG-sf'!P$241</f>
        <v>4057801.875254239</v>
      </c>
      <c r="Q265" s="468">
        <f>'7b. LX_AG-sf'!Q$241</f>
        <v>794748.9146647033</v>
      </c>
      <c r="R265" s="468">
        <f>'7b. LX_AG-sf'!R$241</f>
        <v>10477592.271150392</v>
      </c>
      <c r="S265" s="468">
        <f>'7b. LX_AG-sf'!S$241</f>
        <v>2788537.9736045781</v>
      </c>
      <c r="T265" s="468">
        <f>'7b. LX_AG-sf'!T$241</f>
        <v>868778.21527854819</v>
      </c>
      <c r="U265" s="468">
        <f>'7b. LX_AG-sf'!U$241</f>
        <v>0</v>
      </c>
      <c r="V265" s="468">
        <f>'7b. LX_AG-sf'!V$241</f>
        <v>1463901.2818474146</v>
      </c>
      <c r="W265" s="468">
        <f>'7b. LX_AG-sf'!W$241</f>
        <v>162053.85248199227</v>
      </c>
      <c r="X265" s="518">
        <f>SUM(Y265:Z265)</f>
        <v>11382286.798041336</v>
      </c>
      <c r="Y265" s="468">
        <f>'7b. LX_AG-sf'!Y$241</f>
        <v>5533146.4714714596</v>
      </c>
      <c r="Z265" s="468">
        <f>'7b. LX_AG-sf'!Z$241</f>
        <v>5849140.3265698766</v>
      </c>
      <c r="AA265" s="526">
        <v>1</v>
      </c>
      <c r="AB265" s="468">
        <f>'7b. LX_AG-sf'!AB$241</f>
        <v>15526882.993573921</v>
      </c>
      <c r="AC265" s="468">
        <f>'7b. LX_AG-sf'!AC$241</f>
        <v>14089249.023636159</v>
      </c>
      <c r="AD265" s="468">
        <f>'7b. LX_AG-sf'!AD$241</f>
        <v>1437633.9699377615</v>
      </c>
      <c r="AE265" s="468">
        <f>'7b. LX_AG-sf'!AE$241</f>
        <v>0</v>
      </c>
      <c r="AF265" s="527">
        <f>SUM(AG265:AG265)</f>
        <v>2203529.67</v>
      </c>
      <c r="AG265" s="468">
        <f>'7b. LX_AG-sf'!AG$241</f>
        <v>2203529.67</v>
      </c>
      <c r="AH265" s="526"/>
    </row>
    <row r="266" spans="1:34" x14ac:dyDescent="0.3">
      <c r="A266" s="462" t="s">
        <v>745</v>
      </c>
      <c r="B266" s="466" t="s">
        <v>746</v>
      </c>
      <c r="C266" s="466"/>
      <c r="D266" s="468">
        <f t="shared" si="6"/>
        <v>66192416.159999996</v>
      </c>
      <c r="E266" s="468">
        <f>'7b. LX_AG-sf'!E$241</f>
        <v>43515962.003324836</v>
      </c>
      <c r="F266" s="630"/>
      <c r="G266" s="630"/>
      <c r="H266" s="630"/>
      <c r="I266" s="468">
        <f>'7b. LX_AG-sf'!I$241</f>
        <v>22676454.15667516</v>
      </c>
      <c r="J266" s="468"/>
      <c r="K266" s="468"/>
      <c r="L266" s="526"/>
      <c r="M266" s="529"/>
      <c r="N266" s="468"/>
      <c r="O266" s="468"/>
      <c r="P266" s="468"/>
      <c r="Q266" s="468"/>
      <c r="R266" s="468"/>
      <c r="S266" s="468"/>
      <c r="T266" s="468"/>
      <c r="U266" s="468"/>
      <c r="V266" s="468"/>
      <c r="W266" s="468"/>
      <c r="X266" s="518">
        <f t="shared" si="7"/>
        <v>11382286.798041336</v>
      </c>
      <c r="Y266" s="468">
        <f>'7b. LX_AG-sf'!Y$241</f>
        <v>5533146.4714714596</v>
      </c>
      <c r="Z266" s="468">
        <f>'7b. LX_AG-sf'!Z$241</f>
        <v>5849140.3265698766</v>
      </c>
      <c r="AA266" s="526">
        <v>1</v>
      </c>
      <c r="AB266" s="468">
        <f>'7b. LX_AG-sf'!AB$241</f>
        <v>15526882.993573921</v>
      </c>
      <c r="AC266" s="468">
        <f>'7b. LX_AG-sf'!AC$241</f>
        <v>14089249.023636159</v>
      </c>
      <c r="AD266" s="468">
        <f>'7b. LX_AG-sf'!AD$241</f>
        <v>1437633.9699377615</v>
      </c>
      <c r="AE266" s="468">
        <f>'7b. LX_AG-sf'!AE$241</f>
        <v>0</v>
      </c>
      <c r="AF266" s="526"/>
      <c r="AG266" s="468"/>
      <c r="AH266" s="526"/>
    </row>
    <row r="267" spans="1:34" x14ac:dyDescent="0.3">
      <c r="A267" s="462" t="s">
        <v>747</v>
      </c>
      <c r="B267" s="484" t="s">
        <v>748</v>
      </c>
      <c r="C267" s="461" t="s">
        <v>835</v>
      </c>
      <c r="D267" s="468">
        <f t="shared" si="6"/>
        <v>66192416.159999996</v>
      </c>
      <c r="E267" s="468">
        <f>'7b. LX_AG-sf'!E$241</f>
        <v>43515962.003324836</v>
      </c>
      <c r="F267" s="630"/>
      <c r="G267" s="630"/>
      <c r="H267" s="630"/>
      <c r="I267" s="468">
        <f>'7b. LX_AG-sf'!I$241</f>
        <v>22676454.15667516</v>
      </c>
      <c r="J267" s="468"/>
      <c r="K267" s="468"/>
      <c r="L267" s="526">
        <v>1</v>
      </c>
      <c r="M267" s="529">
        <f>SUM(N267:W267)</f>
        <v>51544435.908528537</v>
      </c>
      <c r="N267" s="468">
        <f>'7b. LX_AG-sf'!N$241</f>
        <v>16188678.588415425</v>
      </c>
      <c r="O267" s="468">
        <f>'7b. LX_AG-sf'!O$241</f>
        <v>14742342.935831249</v>
      </c>
      <c r="P267" s="468">
        <f>'7b. LX_AG-sf'!P$241</f>
        <v>4057801.875254239</v>
      </c>
      <c r="Q267" s="468">
        <f>'7b. LX_AG-sf'!Q$241</f>
        <v>794748.9146647033</v>
      </c>
      <c r="R267" s="468">
        <f>'7b. LX_AG-sf'!R$241</f>
        <v>10477592.271150392</v>
      </c>
      <c r="S267" s="468">
        <f>'7b. LX_AG-sf'!S$241</f>
        <v>2788537.9736045781</v>
      </c>
      <c r="T267" s="468">
        <f>'7b. LX_AG-sf'!T$241</f>
        <v>868778.21527854819</v>
      </c>
      <c r="U267" s="468">
        <f>'7b. LX_AG-sf'!U$241</f>
        <v>0</v>
      </c>
      <c r="V267" s="468">
        <f>'7b. LX_AG-sf'!V$241</f>
        <v>1463901.2818474146</v>
      </c>
      <c r="W267" s="468">
        <f>'7b. LX_AG-sf'!W$241</f>
        <v>162053.85248199227</v>
      </c>
      <c r="X267" s="518">
        <f t="shared" si="7"/>
        <v>11382286.798041336</v>
      </c>
      <c r="Y267" s="468">
        <f>'7b. LX_AG-sf'!Y$241</f>
        <v>5533146.4714714596</v>
      </c>
      <c r="Z267" s="468">
        <f>'7b. LX_AG-sf'!Z$241</f>
        <v>5849140.3265698766</v>
      </c>
      <c r="AA267" s="526">
        <v>1</v>
      </c>
      <c r="AB267" s="468">
        <f>'7b. LX_AG-sf'!AB$241</f>
        <v>15526882.993573921</v>
      </c>
      <c r="AC267" s="468">
        <f>'7b. LX_AG-sf'!AC$241</f>
        <v>14089249.023636159</v>
      </c>
      <c r="AD267" s="468">
        <f>'7b. LX_AG-sf'!AD$241</f>
        <v>1437633.9699377615</v>
      </c>
      <c r="AE267" s="468">
        <f>'7b. LX_AG-sf'!AE$241</f>
        <v>0</v>
      </c>
      <c r="AF267" s="527">
        <f>SUM(AG267:AG267)</f>
        <v>2203529.67</v>
      </c>
      <c r="AG267" s="468">
        <f>'7b. LX_AG-sf'!AG$241</f>
        <v>2203529.67</v>
      </c>
      <c r="AH267" s="526"/>
    </row>
    <row r="268" spans="1:34" x14ac:dyDescent="0.3">
      <c r="A268" s="556" t="s">
        <v>749</v>
      </c>
      <c r="B268" s="461" t="s">
        <v>750</v>
      </c>
      <c r="C268" s="461" t="s">
        <v>835</v>
      </c>
      <c r="D268" s="468">
        <f t="shared" si="6"/>
        <v>66192416.159999996</v>
      </c>
      <c r="E268" s="468">
        <f>'7b. LX_AG-sf'!E$241</f>
        <v>43515962.003324836</v>
      </c>
      <c r="F268" s="630"/>
      <c r="G268" s="630"/>
      <c r="H268" s="630"/>
      <c r="I268" s="468">
        <f>'7b. LX_AG-sf'!I$241</f>
        <v>22676454.15667516</v>
      </c>
      <c r="J268" s="468"/>
      <c r="K268" s="468"/>
      <c r="L268" s="526">
        <v>1</v>
      </c>
      <c r="M268" s="529">
        <f>SUM(N268:W268)</f>
        <v>51544435.908528537</v>
      </c>
      <c r="N268" s="468">
        <f>'7b. LX_AG-sf'!N$241</f>
        <v>16188678.588415425</v>
      </c>
      <c r="O268" s="468">
        <f>'7b. LX_AG-sf'!O$241</f>
        <v>14742342.935831249</v>
      </c>
      <c r="P268" s="468">
        <f>'7b. LX_AG-sf'!P$241</f>
        <v>4057801.875254239</v>
      </c>
      <c r="Q268" s="468">
        <f>'7b. LX_AG-sf'!Q$241</f>
        <v>794748.9146647033</v>
      </c>
      <c r="R268" s="468">
        <f>'7b. LX_AG-sf'!R$241</f>
        <v>10477592.271150392</v>
      </c>
      <c r="S268" s="468">
        <f>'7b. LX_AG-sf'!S$241</f>
        <v>2788537.9736045781</v>
      </c>
      <c r="T268" s="468">
        <f>'7b. LX_AG-sf'!T$241</f>
        <v>868778.21527854819</v>
      </c>
      <c r="U268" s="468">
        <f>'7b. LX_AG-sf'!U$241</f>
        <v>0</v>
      </c>
      <c r="V268" s="468">
        <f>'7b. LX_AG-sf'!V$241</f>
        <v>1463901.2818474146</v>
      </c>
      <c r="W268" s="468">
        <f>'7b. LX_AG-sf'!W$241</f>
        <v>162053.85248199227</v>
      </c>
      <c r="X268" s="518">
        <f t="shared" si="7"/>
        <v>11382286.798041336</v>
      </c>
      <c r="Y268" s="468">
        <f>'7b. LX_AG-sf'!Y$241</f>
        <v>5533146.4714714596</v>
      </c>
      <c r="Z268" s="468">
        <f>'7b. LX_AG-sf'!Z$241</f>
        <v>5849140.3265698766</v>
      </c>
      <c r="AA268" s="526">
        <v>1</v>
      </c>
      <c r="AB268" s="468">
        <f>'7b. LX_AG-sf'!AB$241</f>
        <v>15526882.993573921</v>
      </c>
      <c r="AC268" s="468">
        <f>'7b. LX_AG-sf'!AC$241</f>
        <v>14089249.023636159</v>
      </c>
      <c r="AD268" s="468">
        <f>'7b. LX_AG-sf'!AD$241</f>
        <v>1437633.9699377615</v>
      </c>
      <c r="AE268" s="468">
        <f>'7b. LX_AG-sf'!AE$241</f>
        <v>0</v>
      </c>
      <c r="AF268" s="527">
        <f>SUM(AG268:AG268)</f>
        <v>2203529.67</v>
      </c>
      <c r="AG268" s="468">
        <f>'7b. LX_AG-sf'!AG$241</f>
        <v>2203529.67</v>
      </c>
      <c r="AH268" s="526"/>
    </row>
    <row r="269" spans="1:34" x14ac:dyDescent="0.3">
      <c r="A269" s="555" t="s">
        <v>67</v>
      </c>
      <c r="B269" s="461"/>
      <c r="C269" s="461" t="s">
        <v>186</v>
      </c>
      <c r="D269" s="521">
        <f t="shared" si="6"/>
        <v>1</v>
      </c>
      <c r="E269" s="521">
        <v>0.4</v>
      </c>
      <c r="F269" s="629"/>
      <c r="G269" s="629"/>
      <c r="H269" s="629"/>
      <c r="I269" s="521">
        <v>0.6</v>
      </c>
      <c r="J269" s="468"/>
      <c r="K269" s="468"/>
      <c r="L269" s="526"/>
      <c r="M269" s="529"/>
      <c r="N269" s="468"/>
      <c r="O269" s="468"/>
      <c r="P269" s="468"/>
      <c r="Q269" s="468"/>
      <c r="R269" s="468"/>
      <c r="S269" s="468"/>
      <c r="T269" s="468"/>
      <c r="U269" s="468"/>
      <c r="V269" s="468"/>
      <c r="W269" s="468"/>
      <c r="X269" s="518"/>
      <c r="Y269" s="468"/>
      <c r="Z269" s="468"/>
      <c r="AA269" s="526"/>
      <c r="AB269" s="468"/>
      <c r="AC269" s="468"/>
      <c r="AD269" s="468"/>
      <c r="AE269" s="468"/>
      <c r="AF269" s="527"/>
      <c r="AG269" s="468"/>
      <c r="AH269" s="526"/>
    </row>
    <row r="270" spans="1:34" x14ac:dyDescent="0.3">
      <c r="A270" s="462" t="s">
        <v>751</v>
      </c>
      <c r="B270" s="461" t="s">
        <v>564</v>
      </c>
      <c r="C270" s="461" t="s">
        <v>835</v>
      </c>
      <c r="D270" s="468">
        <f t="shared" si="6"/>
        <v>66192416.159999996</v>
      </c>
      <c r="E270" s="468">
        <f>'7b. LX_AG-sf'!E$241</f>
        <v>43515962.003324836</v>
      </c>
      <c r="F270" s="630"/>
      <c r="G270" s="630"/>
      <c r="H270" s="630"/>
      <c r="I270" s="468">
        <f>'7b. LX_AG-sf'!I$241</f>
        <v>22676454.15667516</v>
      </c>
      <c r="J270" s="468"/>
      <c r="K270" s="468"/>
      <c r="L270" s="526">
        <v>1</v>
      </c>
      <c r="M270" s="529">
        <f>SUM(N270:W270)</f>
        <v>51544435.908528537</v>
      </c>
      <c r="N270" s="468">
        <f>'7b. LX_AG-sf'!N$241</f>
        <v>16188678.588415425</v>
      </c>
      <c r="O270" s="468">
        <f>'7b. LX_AG-sf'!O$241</f>
        <v>14742342.935831249</v>
      </c>
      <c r="P270" s="468">
        <f>'7b. LX_AG-sf'!P$241</f>
        <v>4057801.875254239</v>
      </c>
      <c r="Q270" s="468">
        <f>'7b. LX_AG-sf'!Q$241</f>
        <v>794748.9146647033</v>
      </c>
      <c r="R270" s="468">
        <f>'7b. LX_AG-sf'!R$241</f>
        <v>10477592.271150392</v>
      </c>
      <c r="S270" s="468">
        <f>'7b. LX_AG-sf'!S$241</f>
        <v>2788537.9736045781</v>
      </c>
      <c r="T270" s="468">
        <f>'7b. LX_AG-sf'!T$241</f>
        <v>868778.21527854819</v>
      </c>
      <c r="U270" s="468">
        <f>'7b. LX_AG-sf'!U$241</f>
        <v>0</v>
      </c>
      <c r="V270" s="468">
        <f>'7b. LX_AG-sf'!V$241</f>
        <v>1463901.2818474146</v>
      </c>
      <c r="W270" s="468">
        <f>'7b. LX_AG-sf'!W$241</f>
        <v>162053.85248199227</v>
      </c>
      <c r="X270" s="518">
        <f t="shared" si="7"/>
        <v>11382286.798041336</v>
      </c>
      <c r="Y270" s="468">
        <f>'7b. LX_AG-sf'!Y$241</f>
        <v>5533146.4714714596</v>
      </c>
      <c r="Z270" s="468">
        <f>'7b. LX_AG-sf'!Z$241</f>
        <v>5849140.3265698766</v>
      </c>
      <c r="AA270" s="526">
        <v>1</v>
      </c>
      <c r="AB270" s="468">
        <f>'7b. LX_AG-sf'!AB$241</f>
        <v>15526882.993573921</v>
      </c>
      <c r="AC270" s="468">
        <f>'7b. LX_AG-sf'!AC$241</f>
        <v>14089249.023636159</v>
      </c>
      <c r="AD270" s="468">
        <f>'7b. LX_AG-sf'!AD$241</f>
        <v>1437633.9699377615</v>
      </c>
      <c r="AE270" s="468">
        <f>'7b. LX_AG-sf'!AE$241</f>
        <v>0</v>
      </c>
      <c r="AF270" s="527">
        <f>SUM(AG270:AG270)</f>
        <v>2203529.67</v>
      </c>
      <c r="AG270" s="468">
        <f>'7b. LX_AG-sf'!AG$241</f>
        <v>2203529.67</v>
      </c>
      <c r="AH270" s="526"/>
    </row>
    <row r="271" spans="1:34" x14ac:dyDescent="0.3">
      <c r="A271" s="462" t="s">
        <v>752</v>
      </c>
      <c r="B271" s="461" t="s">
        <v>753</v>
      </c>
      <c r="C271" s="461" t="s">
        <v>181</v>
      </c>
      <c r="D271" s="542">
        <f t="shared" si="6"/>
        <v>251765004.97653562</v>
      </c>
      <c r="E271" s="542">
        <f>+'2b. RB-sf'!E132</f>
        <v>172693611.58863872</v>
      </c>
      <c r="F271" s="664"/>
      <c r="G271" s="664"/>
      <c r="H271" s="664"/>
      <c r="I271" s="542">
        <f>+'2b. RB-sf'!I132</f>
        <v>79071393.387896895</v>
      </c>
      <c r="J271" s="468"/>
      <c r="K271" s="468"/>
      <c r="L271" s="526">
        <v>1</v>
      </c>
      <c r="M271" s="529">
        <f>SUM(N271:W271)</f>
        <v>129622121.84600744</v>
      </c>
      <c r="N271" s="468">
        <f>+'2b. RB-sf'!N132</f>
        <v>36551114.414431736</v>
      </c>
      <c r="O271" s="468">
        <f>+'2b. RB-sf'!O132</f>
        <v>37001780.178190954</v>
      </c>
      <c r="P271" s="468">
        <f>+'2b. RB-sf'!P132</f>
        <v>10120962.2551952</v>
      </c>
      <c r="Q271" s="468">
        <f>+'2b. RB-sf'!Q132</f>
        <v>3841584.7989588315</v>
      </c>
      <c r="R271" s="468">
        <f>+'2b. RB-sf'!R132</f>
        <v>25035788.721610256</v>
      </c>
      <c r="S271" s="468">
        <f>+'2b. RB-sf'!S132</f>
        <v>6578531.0798142049</v>
      </c>
      <c r="T271" s="468">
        <f>+'2b. RB-sf'!T132</f>
        <v>4199420.878591205</v>
      </c>
      <c r="U271" s="468">
        <f>+'2b. RB-sf'!U132</f>
        <v>1674343.3708938316</v>
      </c>
      <c r="V271" s="468">
        <f>+'2b. RB-sf'!V132</f>
        <v>4297138.3049375787</v>
      </c>
      <c r="W271" s="468">
        <f>+'2b. RB-sf'!W132</f>
        <v>321457.84338360757</v>
      </c>
      <c r="X271" s="527">
        <f t="shared" si="7"/>
        <v>28623771.707195975</v>
      </c>
      <c r="Y271" s="468">
        <f>+'2b. RB-sf'!Y132</f>
        <v>17021134.644086476</v>
      </c>
      <c r="Z271" s="468">
        <f>+'2b. RB-sf'!Z132</f>
        <v>11602637.063109498</v>
      </c>
      <c r="AA271" s="526">
        <v>1</v>
      </c>
      <c r="AB271" s="468">
        <f>SUM(AC271:AE271)</f>
        <v>39046455.428348757</v>
      </c>
      <c r="AC271" s="468">
        <f>+'2b. RB-sf'!AC132</f>
        <v>35431144.438197859</v>
      </c>
      <c r="AD271" s="468">
        <f>+'2b. RB-sf'!AD132</f>
        <v>3615310.9901508992</v>
      </c>
      <c r="AE271" s="468">
        <f>+'2b. RB-sf'!AE132</f>
        <v>0</v>
      </c>
      <c r="AF271" s="527">
        <f>SUM(AG271:AG271)</f>
        <v>5541358.3705311799</v>
      </c>
      <c r="AG271" s="468">
        <f>+'2b. RB-sf'!AG132</f>
        <v>5541358.3705311799</v>
      </c>
      <c r="AH271" s="526"/>
    </row>
    <row r="272" spans="1:34" x14ac:dyDescent="0.3">
      <c r="A272" s="462" t="s">
        <v>69</v>
      </c>
      <c r="B272" s="461"/>
      <c r="C272" s="461" t="s">
        <v>186</v>
      </c>
      <c r="D272" s="521">
        <f t="shared" si="6"/>
        <v>1</v>
      </c>
      <c r="E272" s="521">
        <v>0.4</v>
      </c>
      <c r="F272" s="629"/>
      <c r="G272" s="629"/>
      <c r="H272" s="629"/>
      <c r="I272" s="521">
        <v>0.6</v>
      </c>
      <c r="J272" s="171"/>
      <c r="K272" s="171"/>
      <c r="L272" s="171"/>
      <c r="M272" s="171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</row>
    <row r="273" spans="1:34" x14ac:dyDescent="0.3">
      <c r="A273" s="462"/>
      <c r="B273" s="487" t="s">
        <v>754</v>
      </c>
      <c r="C273" s="487"/>
      <c r="D273" s="171"/>
      <c r="E273" s="171"/>
      <c r="F273" s="627"/>
      <c r="G273" s="627"/>
      <c r="H273" s="627"/>
      <c r="I273" s="171"/>
      <c r="J273" s="171"/>
      <c r="K273" s="171"/>
      <c r="L273" s="171"/>
      <c r="M273" s="171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</row>
    <row r="274" spans="1:34" x14ac:dyDescent="0.3">
      <c r="A274" s="462"/>
      <c r="B274" s="461"/>
      <c r="C274" s="461"/>
      <c r="D274" s="171"/>
      <c r="E274" s="171"/>
      <c r="F274" s="627"/>
      <c r="G274" s="627"/>
      <c r="H274" s="627"/>
      <c r="I274" s="171"/>
      <c r="J274" s="171"/>
      <c r="K274" s="171"/>
      <c r="L274" s="171"/>
      <c r="M274" s="171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</row>
    <row r="275" spans="1:34" x14ac:dyDescent="0.3">
      <c r="A275" s="460" t="s">
        <v>55</v>
      </c>
      <c r="B275" s="461"/>
      <c r="C275" s="461"/>
      <c r="D275" s="171"/>
      <c r="E275" s="171"/>
      <c r="F275" s="627"/>
      <c r="G275" s="627"/>
      <c r="H275" s="627"/>
      <c r="I275" s="171"/>
      <c r="J275" s="171"/>
      <c r="K275" s="171"/>
      <c r="L275" s="171"/>
      <c r="M275" s="171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</row>
    <row r="276" spans="1:34" x14ac:dyDescent="0.3">
      <c r="A276" s="462"/>
      <c r="B276" s="461"/>
      <c r="C276" s="461"/>
      <c r="D276" s="171"/>
      <c r="E276" s="171"/>
      <c r="F276" s="627"/>
      <c r="G276" s="627"/>
      <c r="H276" s="627"/>
      <c r="I276" s="171"/>
      <c r="J276" s="171"/>
      <c r="K276" s="171"/>
      <c r="L276" s="171"/>
      <c r="M276" s="171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</row>
    <row r="277" spans="1:34" x14ac:dyDescent="0.3">
      <c r="A277" s="463" t="s">
        <v>56</v>
      </c>
      <c r="B277" s="62"/>
      <c r="C277" s="62"/>
      <c r="D277" s="171"/>
      <c r="E277" s="171"/>
      <c r="F277" s="627"/>
      <c r="G277" s="627"/>
      <c r="H277" s="627"/>
      <c r="I277" s="171"/>
      <c r="J277" s="171"/>
      <c r="K277" s="171"/>
      <c r="L277" s="171"/>
      <c r="M277" s="171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</row>
    <row r="278" spans="1:34" x14ac:dyDescent="0.3">
      <c r="A278" s="62"/>
      <c r="B278" s="62"/>
      <c r="C278" s="62"/>
      <c r="D278" s="171"/>
      <c r="E278" s="171"/>
      <c r="F278" s="171"/>
      <c r="G278" s="171"/>
      <c r="H278" s="171"/>
      <c r="I278" s="171"/>
      <c r="J278" s="171"/>
      <c r="K278" s="171"/>
      <c r="L278" s="171"/>
      <c r="M278" s="171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</row>
    <row r="279" spans="1:34" x14ac:dyDescent="0.3">
      <c r="A279" s="62"/>
      <c r="B279" s="62"/>
      <c r="C279" s="62"/>
      <c r="D279" s="171"/>
      <c r="E279" s="171"/>
      <c r="F279" s="171"/>
      <c r="G279" s="171"/>
      <c r="H279" s="171"/>
      <c r="I279" s="171"/>
      <c r="J279" s="171"/>
      <c r="K279" s="171"/>
      <c r="L279" s="171"/>
      <c r="M279" s="171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</row>
    <row r="280" spans="1:34" x14ac:dyDescent="0.3">
      <c r="A280" s="62"/>
      <c r="B280" s="62"/>
      <c r="C280" s="62"/>
      <c r="D280" s="171"/>
      <c r="E280" s="171"/>
      <c r="F280" s="171"/>
      <c r="G280" s="171"/>
      <c r="H280" s="171"/>
      <c r="I280" s="171"/>
      <c r="J280" s="171"/>
      <c r="K280" s="171"/>
      <c r="L280" s="171"/>
      <c r="M280" s="171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</row>
    <row r="281" spans="1:34" x14ac:dyDescent="0.3">
      <c r="A281" s="62"/>
      <c r="B281" s="62"/>
      <c r="C281" s="62"/>
      <c r="D281" s="171"/>
      <c r="E281" s="171"/>
      <c r="F281" s="171"/>
      <c r="G281" s="171"/>
      <c r="H281" s="171"/>
      <c r="I281" s="171"/>
      <c r="J281" s="171"/>
      <c r="K281" s="171"/>
      <c r="L281" s="171"/>
      <c r="M281" s="171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</row>
    <row r="282" spans="1:34" x14ac:dyDescent="0.3">
      <c r="A282" s="62"/>
      <c r="B282" s="62"/>
      <c r="C282" s="62"/>
      <c r="D282" s="171"/>
      <c r="E282" s="171"/>
      <c r="F282" s="171"/>
      <c r="G282" s="171"/>
      <c r="H282" s="171"/>
      <c r="I282" s="171"/>
      <c r="J282" s="171"/>
      <c r="K282" s="171"/>
      <c r="L282" s="171"/>
      <c r="M282" s="171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</row>
    <row r="283" spans="1:34" x14ac:dyDescent="0.3">
      <c r="A283" s="62"/>
      <c r="B283" s="62"/>
      <c r="C283" s="62"/>
      <c r="D283" s="171"/>
      <c r="E283" s="171"/>
      <c r="F283" s="171"/>
      <c r="G283" s="171"/>
      <c r="H283" s="171"/>
      <c r="I283" s="171"/>
      <c r="J283" s="171"/>
      <c r="K283" s="171"/>
      <c r="L283" s="171"/>
      <c r="M283" s="171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</row>
    <row r="284" spans="1:34" x14ac:dyDescent="0.3">
      <c r="A284" s="62"/>
      <c r="B284" s="62"/>
      <c r="C284" s="62"/>
      <c r="D284" s="171"/>
      <c r="E284" s="171"/>
      <c r="F284" s="171"/>
      <c r="G284" s="171"/>
      <c r="H284" s="171"/>
      <c r="I284" s="171"/>
      <c r="J284" s="171"/>
      <c r="K284" s="171"/>
      <c r="L284" s="171"/>
      <c r="M284" s="171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</row>
    <row r="285" spans="1:34" x14ac:dyDescent="0.3">
      <c r="A285" s="62"/>
      <c r="B285" s="62"/>
      <c r="C285" s="62"/>
      <c r="D285" s="171"/>
      <c r="E285" s="171"/>
      <c r="F285" s="171"/>
      <c r="G285" s="171"/>
      <c r="H285" s="171"/>
      <c r="I285" s="171"/>
      <c r="J285" s="171"/>
      <c r="K285" s="171"/>
      <c r="L285" s="171"/>
      <c r="M285" s="171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</row>
    <row r="286" spans="1:34" x14ac:dyDescent="0.3">
      <c r="A286" s="62"/>
      <c r="B286" s="62"/>
      <c r="C286" s="62"/>
      <c r="D286" s="171"/>
      <c r="E286" s="171"/>
      <c r="F286" s="171"/>
      <c r="G286" s="171"/>
      <c r="H286" s="171"/>
      <c r="I286" s="171"/>
      <c r="J286" s="171"/>
      <c r="K286" s="171"/>
      <c r="L286" s="171"/>
      <c r="M286" s="171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</row>
    <row r="287" spans="1:34" x14ac:dyDescent="0.3">
      <c r="A287" s="62"/>
      <c r="B287" s="62"/>
      <c r="C287" s="62"/>
      <c r="D287" s="171"/>
      <c r="E287" s="171"/>
      <c r="F287" s="171"/>
      <c r="G287" s="171"/>
      <c r="H287" s="171"/>
      <c r="I287" s="171"/>
      <c r="J287" s="171"/>
      <c r="K287" s="171"/>
      <c r="L287" s="171"/>
      <c r="M287" s="171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</row>
    <row r="288" spans="1:34" x14ac:dyDescent="0.3">
      <c r="A288" s="62"/>
      <c r="B288" s="62"/>
      <c r="C288" s="62"/>
      <c r="D288" s="171"/>
      <c r="E288" s="171"/>
      <c r="F288" s="171"/>
      <c r="G288" s="171"/>
      <c r="H288" s="171"/>
      <c r="I288" s="171"/>
      <c r="J288" s="171"/>
      <c r="K288" s="171"/>
      <c r="L288" s="171"/>
      <c r="M288" s="171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</row>
    <row r="289" spans="1:34" x14ac:dyDescent="0.3">
      <c r="A289" s="62"/>
      <c r="B289" s="62"/>
      <c r="C289" s="62"/>
      <c r="D289" s="171"/>
      <c r="E289" s="171"/>
      <c r="F289" s="171"/>
      <c r="G289" s="171"/>
      <c r="H289" s="171"/>
      <c r="I289" s="171"/>
      <c r="J289" s="171"/>
      <c r="K289" s="171"/>
      <c r="L289" s="171"/>
      <c r="M289" s="171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</row>
    <row r="290" spans="1:34" x14ac:dyDescent="0.3">
      <c r="A290" s="62"/>
      <c r="B290" s="62"/>
      <c r="C290" s="62"/>
      <c r="D290" s="171"/>
      <c r="E290" s="171"/>
      <c r="F290" s="171"/>
      <c r="G290" s="171"/>
      <c r="H290" s="171"/>
      <c r="I290" s="171"/>
      <c r="J290" s="171"/>
      <c r="K290" s="171"/>
      <c r="L290" s="171"/>
      <c r="M290" s="171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</row>
    <row r="291" spans="1:34" x14ac:dyDescent="0.3">
      <c r="A291" s="62"/>
      <c r="B291" s="62"/>
      <c r="C291" s="62"/>
      <c r="D291" s="171"/>
      <c r="E291" s="171"/>
      <c r="F291" s="171"/>
      <c r="G291" s="171"/>
      <c r="H291" s="171"/>
      <c r="I291" s="171"/>
      <c r="J291" s="171"/>
      <c r="K291" s="171"/>
      <c r="L291" s="171"/>
      <c r="M291" s="171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</row>
    <row r="292" spans="1:34" x14ac:dyDescent="0.3">
      <c r="A292" s="62"/>
      <c r="B292" s="62"/>
      <c r="C292" s="62"/>
      <c r="D292" s="171"/>
      <c r="E292" s="171"/>
      <c r="F292" s="171"/>
      <c r="G292" s="171"/>
      <c r="H292" s="171"/>
      <c r="I292" s="171"/>
      <c r="J292" s="171"/>
      <c r="K292" s="171"/>
      <c r="L292" s="171"/>
      <c r="M292" s="171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</row>
    <row r="293" spans="1:34" x14ac:dyDescent="0.3">
      <c r="A293" s="62"/>
      <c r="B293" s="62"/>
      <c r="C293" s="62"/>
      <c r="D293" s="171"/>
      <c r="E293" s="171"/>
      <c r="F293" s="171"/>
      <c r="G293" s="171"/>
      <c r="H293" s="171"/>
      <c r="I293" s="171"/>
      <c r="J293" s="171"/>
      <c r="K293" s="171"/>
      <c r="L293" s="171"/>
      <c r="M293" s="171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</row>
    <row r="294" spans="1:34" x14ac:dyDescent="0.3">
      <c r="A294" s="62"/>
      <c r="B294" s="62"/>
      <c r="C294" s="62"/>
      <c r="D294" s="171"/>
      <c r="E294" s="171"/>
      <c r="F294" s="171"/>
      <c r="G294" s="171"/>
      <c r="H294" s="171"/>
      <c r="I294" s="171"/>
      <c r="J294" s="171"/>
      <c r="K294" s="171"/>
      <c r="L294" s="171"/>
      <c r="M294" s="171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</row>
    <row r="295" spans="1:34" x14ac:dyDescent="0.3">
      <c r="A295" s="62"/>
      <c r="B295" s="62"/>
      <c r="C295" s="62"/>
      <c r="D295" s="171"/>
      <c r="E295" s="171"/>
      <c r="F295" s="171"/>
      <c r="G295" s="171"/>
      <c r="H295" s="171"/>
      <c r="I295" s="171"/>
      <c r="J295" s="171"/>
      <c r="K295" s="171"/>
      <c r="L295" s="171"/>
      <c r="M295" s="171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</row>
    <row r="296" spans="1:34" x14ac:dyDescent="0.3">
      <c r="A296" s="62"/>
      <c r="B296" s="62"/>
      <c r="C296" s="62"/>
      <c r="D296" s="171"/>
      <c r="E296" s="171"/>
      <c r="F296" s="171"/>
      <c r="G296" s="171"/>
      <c r="H296" s="171"/>
      <c r="I296" s="171"/>
      <c r="J296" s="171"/>
      <c r="K296" s="171"/>
      <c r="L296" s="171"/>
      <c r="M296" s="171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</row>
    <row r="297" spans="1:34" x14ac:dyDescent="0.3">
      <c r="A297" s="62"/>
      <c r="B297" s="62"/>
      <c r="C297" s="62"/>
      <c r="D297" s="171"/>
      <c r="E297" s="171"/>
      <c r="F297" s="171"/>
      <c r="G297" s="171"/>
      <c r="H297" s="171"/>
      <c r="I297" s="171"/>
      <c r="J297" s="171"/>
      <c r="K297" s="171"/>
      <c r="L297" s="171"/>
      <c r="M297" s="171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</row>
    <row r="298" spans="1:34" x14ac:dyDescent="0.3">
      <c r="A298" s="62"/>
      <c r="B298" s="62"/>
      <c r="C298" s="62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</row>
    <row r="299" spans="1:34" x14ac:dyDescent="0.3">
      <c r="A299" s="62"/>
      <c r="B299" s="62"/>
      <c r="C299" s="62"/>
      <c r="D299" s="171"/>
      <c r="E299" s="171"/>
      <c r="F299" s="171"/>
      <c r="G299" s="171"/>
      <c r="H299" s="171"/>
      <c r="I299" s="171"/>
      <c r="J299" s="171"/>
      <c r="K299" s="171"/>
      <c r="L299" s="171"/>
      <c r="M299" s="171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</row>
    <row r="300" spans="1:34" x14ac:dyDescent="0.3">
      <c r="A300" s="62"/>
      <c r="B300" s="62"/>
      <c r="C300" s="62"/>
      <c r="D300" s="171"/>
      <c r="E300" s="171"/>
      <c r="F300" s="171"/>
      <c r="G300" s="171"/>
      <c r="H300" s="171"/>
      <c r="I300" s="171"/>
      <c r="J300" s="171"/>
      <c r="K300" s="171"/>
      <c r="L300" s="171"/>
      <c r="M300" s="171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</row>
    <row r="301" spans="1:34" x14ac:dyDescent="0.3">
      <c r="A301" s="62"/>
      <c r="B301" s="62"/>
      <c r="C301" s="62"/>
      <c r="D301" s="171"/>
      <c r="E301" s="171"/>
      <c r="F301" s="171"/>
      <c r="G301" s="171"/>
      <c r="H301" s="171"/>
      <c r="I301" s="171"/>
      <c r="J301" s="171"/>
      <c r="K301" s="171"/>
      <c r="L301" s="171"/>
      <c r="M301" s="171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</row>
    <row r="302" spans="1:34" x14ac:dyDescent="0.3">
      <c r="A302" s="62"/>
      <c r="B302" s="62"/>
      <c r="C302" s="62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</row>
    <row r="303" spans="1:34" x14ac:dyDescent="0.3">
      <c r="A303" s="62"/>
      <c r="B303" s="62"/>
      <c r="C303" s="62"/>
      <c r="D303" s="171"/>
      <c r="E303" s="171"/>
      <c r="F303" s="171"/>
      <c r="G303" s="171"/>
      <c r="H303" s="171"/>
      <c r="I303" s="171"/>
      <c r="J303" s="171"/>
      <c r="K303" s="171"/>
      <c r="L303" s="171"/>
      <c r="M303" s="171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</row>
    <row r="304" spans="1:34" x14ac:dyDescent="0.3">
      <c r="A304" s="62"/>
      <c r="B304" s="62"/>
      <c r="C304" s="62"/>
      <c r="D304" s="171"/>
      <c r="E304" s="171"/>
      <c r="F304" s="171"/>
      <c r="G304" s="171"/>
      <c r="H304" s="171"/>
      <c r="I304" s="171"/>
      <c r="J304" s="171"/>
      <c r="K304" s="171"/>
      <c r="L304" s="171"/>
      <c r="M304" s="171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</row>
    <row r="305" spans="1:34" x14ac:dyDescent="0.3">
      <c r="A305" s="62"/>
      <c r="B305" s="62"/>
      <c r="C305" s="62"/>
      <c r="D305" s="171"/>
      <c r="E305" s="171"/>
      <c r="F305" s="171"/>
      <c r="G305" s="171"/>
      <c r="H305" s="171"/>
      <c r="I305" s="171"/>
      <c r="J305" s="171"/>
      <c r="K305" s="171"/>
      <c r="L305" s="171"/>
      <c r="M305" s="171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</row>
    <row r="306" spans="1:34" x14ac:dyDescent="0.3">
      <c r="A306" s="62"/>
      <c r="B306" s="62"/>
      <c r="C306" s="62"/>
      <c r="D306" s="171"/>
      <c r="E306" s="171"/>
      <c r="F306" s="171"/>
      <c r="G306" s="171"/>
      <c r="H306" s="171"/>
      <c r="I306" s="171"/>
      <c r="J306" s="171"/>
      <c r="K306" s="171"/>
      <c r="L306" s="171"/>
      <c r="M306" s="171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</row>
    <row r="307" spans="1:34" x14ac:dyDescent="0.3">
      <c r="A307" s="62"/>
      <c r="B307" s="62"/>
      <c r="C307" s="62"/>
      <c r="D307" s="171"/>
      <c r="E307" s="171"/>
      <c r="F307" s="171"/>
      <c r="G307" s="171"/>
      <c r="H307" s="171"/>
      <c r="I307" s="171"/>
      <c r="J307" s="171"/>
      <c r="K307" s="171"/>
      <c r="L307" s="171"/>
      <c r="M307" s="171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</row>
    <row r="308" spans="1:34" x14ac:dyDescent="0.3">
      <c r="A308" s="62"/>
      <c r="B308" s="62"/>
      <c r="C308" s="62"/>
      <c r="D308" s="171"/>
      <c r="E308" s="171"/>
      <c r="F308" s="171"/>
      <c r="G308" s="171"/>
      <c r="H308" s="171"/>
      <c r="I308" s="171"/>
      <c r="J308" s="171"/>
      <c r="K308" s="171"/>
      <c r="L308" s="171"/>
      <c r="M308" s="171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</row>
    <row r="309" spans="1:34" x14ac:dyDescent="0.3">
      <c r="A309" s="62"/>
      <c r="B309" s="62"/>
      <c r="C309" s="62"/>
      <c r="D309" s="171"/>
      <c r="E309" s="171"/>
      <c r="F309" s="171"/>
      <c r="G309" s="171"/>
      <c r="H309" s="171"/>
      <c r="I309" s="171"/>
      <c r="J309" s="171"/>
      <c r="K309" s="171"/>
      <c r="L309" s="171"/>
      <c r="M309" s="171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</row>
    <row r="310" spans="1:34" x14ac:dyDescent="0.3">
      <c r="A310" s="62"/>
      <c r="B310" s="62"/>
      <c r="C310" s="62"/>
      <c r="D310" s="171"/>
      <c r="E310" s="171"/>
      <c r="F310" s="171"/>
      <c r="G310" s="171"/>
      <c r="H310" s="171"/>
      <c r="I310" s="171"/>
      <c r="J310" s="171"/>
      <c r="K310" s="171"/>
      <c r="L310" s="171"/>
      <c r="M310" s="171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</row>
    <row r="311" spans="1:34" x14ac:dyDescent="0.3">
      <c r="A311" s="62"/>
      <c r="B311" s="62"/>
      <c r="C311" s="62"/>
      <c r="D311" s="171"/>
      <c r="E311" s="171"/>
      <c r="F311" s="171"/>
      <c r="G311" s="171"/>
      <c r="H311" s="171"/>
      <c r="I311" s="171"/>
      <c r="J311" s="171"/>
      <c r="K311" s="171"/>
      <c r="L311" s="171"/>
      <c r="M311" s="171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</row>
    <row r="312" spans="1:34" x14ac:dyDescent="0.3">
      <c r="A312" s="62"/>
      <c r="B312" s="62"/>
      <c r="C312" s="62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</row>
    <row r="313" spans="1:34" x14ac:dyDescent="0.3">
      <c r="A313" s="62"/>
      <c r="B313" s="62"/>
      <c r="C313" s="62"/>
      <c r="D313" s="171"/>
      <c r="E313" s="171"/>
      <c r="F313" s="171"/>
      <c r="G313" s="171"/>
      <c r="H313" s="171"/>
      <c r="I313" s="171"/>
      <c r="J313" s="171"/>
      <c r="K313" s="171"/>
      <c r="L313" s="171"/>
      <c r="M313" s="171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</row>
    <row r="314" spans="1:34" x14ac:dyDescent="0.3">
      <c r="A314" s="62"/>
      <c r="B314" s="62"/>
      <c r="C314" s="62"/>
      <c r="D314" s="171"/>
      <c r="E314" s="171"/>
      <c r="F314" s="171"/>
      <c r="G314" s="171"/>
      <c r="H314" s="171"/>
      <c r="I314" s="171"/>
      <c r="J314" s="171"/>
      <c r="K314" s="171"/>
      <c r="L314" s="171"/>
      <c r="M314" s="171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</row>
    <row r="315" spans="1:34" x14ac:dyDescent="0.3">
      <c r="A315" s="62"/>
      <c r="B315" s="62"/>
      <c r="C315" s="62"/>
      <c r="D315" s="171"/>
      <c r="E315" s="171"/>
      <c r="F315" s="171"/>
      <c r="G315" s="171"/>
      <c r="H315" s="171"/>
      <c r="I315" s="171"/>
      <c r="J315" s="171"/>
      <c r="K315" s="171"/>
      <c r="L315" s="171"/>
      <c r="M315" s="171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</row>
    <row r="316" spans="1:34" x14ac:dyDescent="0.3">
      <c r="A316" s="62"/>
      <c r="B316" s="62"/>
      <c r="C316" s="62"/>
      <c r="D316" s="171"/>
      <c r="E316" s="171"/>
      <c r="F316" s="171"/>
      <c r="G316" s="171"/>
      <c r="H316" s="171"/>
      <c r="I316" s="171"/>
      <c r="J316" s="171"/>
      <c r="K316" s="171"/>
      <c r="L316" s="171"/>
      <c r="M316" s="171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</row>
    <row r="317" spans="1:34" x14ac:dyDescent="0.3">
      <c r="A317" s="62"/>
      <c r="B317" s="62"/>
      <c r="C317" s="62"/>
      <c r="D317" s="171"/>
      <c r="E317" s="171"/>
      <c r="F317" s="171"/>
      <c r="G317" s="171"/>
      <c r="H317" s="171"/>
      <c r="I317" s="171"/>
      <c r="J317" s="171"/>
      <c r="K317" s="171"/>
      <c r="L317" s="171"/>
      <c r="M317" s="171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</row>
    <row r="318" spans="1:34" x14ac:dyDescent="0.3">
      <c r="A318" s="62"/>
      <c r="B318" s="62"/>
      <c r="C318" s="62"/>
      <c r="D318" s="171"/>
      <c r="E318" s="171"/>
      <c r="F318" s="171"/>
      <c r="G318" s="171"/>
      <c r="H318" s="171"/>
      <c r="I318" s="171"/>
      <c r="J318" s="171"/>
      <c r="K318" s="171"/>
      <c r="L318" s="171"/>
      <c r="M318" s="171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</row>
    <row r="319" spans="1:34" x14ac:dyDescent="0.3">
      <c r="A319" s="62"/>
      <c r="B319" s="62"/>
      <c r="C319" s="62"/>
      <c r="D319" s="171"/>
      <c r="E319" s="171"/>
      <c r="F319" s="171"/>
      <c r="G319" s="171"/>
      <c r="H319" s="171"/>
      <c r="I319" s="171"/>
      <c r="J319" s="171"/>
      <c r="K319" s="171"/>
      <c r="L319" s="171"/>
      <c r="M319" s="171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</row>
    <row r="320" spans="1:34" x14ac:dyDescent="0.3">
      <c r="A320" s="62"/>
      <c r="B320" s="62"/>
      <c r="C320" s="62"/>
      <c r="D320" s="171"/>
      <c r="E320" s="171"/>
      <c r="F320" s="171"/>
      <c r="G320" s="171"/>
      <c r="H320" s="171"/>
      <c r="I320" s="171"/>
      <c r="J320" s="171"/>
      <c r="K320" s="171"/>
      <c r="L320" s="171"/>
      <c r="M320" s="171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</row>
    <row r="321" spans="1:34" x14ac:dyDescent="0.3">
      <c r="A321" s="62"/>
      <c r="B321" s="62"/>
      <c r="C321" s="62"/>
      <c r="D321" s="171"/>
      <c r="E321" s="171"/>
      <c r="F321" s="171"/>
      <c r="G321" s="171"/>
      <c r="H321" s="171"/>
      <c r="I321" s="171"/>
      <c r="J321" s="171"/>
      <c r="K321" s="171"/>
      <c r="L321" s="171"/>
      <c r="M321" s="171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</row>
    <row r="322" spans="1:34" x14ac:dyDescent="0.3">
      <c r="A322" s="62"/>
      <c r="B322" s="62"/>
      <c r="C322" s="62"/>
      <c r="D322" s="171"/>
      <c r="E322" s="171"/>
      <c r="F322" s="171"/>
      <c r="G322" s="171"/>
      <c r="H322" s="171"/>
      <c r="I322" s="171"/>
      <c r="J322" s="171"/>
      <c r="K322" s="171"/>
      <c r="L322" s="171"/>
      <c r="M322" s="171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</row>
    <row r="323" spans="1:34" x14ac:dyDescent="0.3">
      <c r="A323" s="62"/>
      <c r="B323" s="62"/>
      <c r="C323" s="62"/>
      <c r="D323" s="171"/>
      <c r="E323" s="171"/>
      <c r="F323" s="171"/>
      <c r="G323" s="171"/>
      <c r="H323" s="171"/>
      <c r="I323" s="171"/>
      <c r="J323" s="171"/>
      <c r="K323" s="171"/>
      <c r="L323" s="171"/>
      <c r="M323" s="171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</row>
    <row r="324" spans="1:34" x14ac:dyDescent="0.3">
      <c r="A324" s="62"/>
      <c r="B324" s="62"/>
      <c r="C324" s="62"/>
      <c r="D324" s="171"/>
      <c r="E324" s="171"/>
      <c r="F324" s="171"/>
      <c r="G324" s="171"/>
      <c r="H324" s="171"/>
      <c r="I324" s="171"/>
      <c r="J324" s="171"/>
      <c r="K324" s="171"/>
      <c r="L324" s="171"/>
      <c r="M324" s="171"/>
      <c r="N324" s="62"/>
      <c r="O324" s="62"/>
      <c r="P324" s="62"/>
      <c r="Q324" s="62"/>
      <c r="R324" s="62"/>
      <c r="S324" s="62"/>
      <c r="T324" s="62"/>
      <c r="U324" s="62"/>
      <c r="V324" s="62"/>
      <c r="W324" s="62"/>
      <c r="X324" s="62"/>
      <c r="Y324" s="62"/>
      <c r="Z324" s="62"/>
      <c r="AA324" s="62"/>
      <c r="AB324" s="62"/>
      <c r="AC324" s="62"/>
      <c r="AD324" s="62"/>
      <c r="AE324" s="62"/>
      <c r="AF324" s="62"/>
      <c r="AG324" s="62"/>
      <c r="AH324" s="62"/>
    </row>
    <row r="325" spans="1:34" x14ac:dyDescent="0.3">
      <c r="A325" s="62"/>
      <c r="B325" s="62"/>
      <c r="C325" s="62"/>
      <c r="D325" s="171"/>
      <c r="E325" s="171"/>
      <c r="F325" s="171"/>
      <c r="G325" s="171"/>
      <c r="H325" s="171"/>
      <c r="I325" s="171"/>
      <c r="J325" s="171"/>
      <c r="K325" s="171"/>
      <c r="L325" s="171"/>
      <c r="M325" s="171"/>
      <c r="N325" s="62"/>
      <c r="O325" s="62"/>
      <c r="P325" s="62"/>
      <c r="Q325" s="62"/>
      <c r="R325" s="62"/>
      <c r="S325" s="62"/>
      <c r="T325" s="62"/>
      <c r="U325" s="62"/>
      <c r="V325" s="62"/>
      <c r="W325" s="62"/>
      <c r="X325" s="62"/>
      <c r="Y325" s="62"/>
      <c r="Z325" s="62"/>
      <c r="AA325" s="62"/>
      <c r="AB325" s="62"/>
      <c r="AC325" s="62"/>
      <c r="AD325" s="62"/>
      <c r="AE325" s="62"/>
      <c r="AF325" s="62"/>
      <c r="AG325" s="62"/>
      <c r="AH325" s="62"/>
    </row>
    <row r="326" spans="1:34" x14ac:dyDescent="0.3">
      <c r="A326" s="62"/>
      <c r="B326" s="62"/>
      <c r="C326" s="62"/>
      <c r="D326" s="171"/>
      <c r="E326" s="171"/>
      <c r="F326" s="171"/>
      <c r="G326" s="171"/>
      <c r="H326" s="171"/>
      <c r="I326" s="171"/>
      <c r="J326" s="171"/>
      <c r="K326" s="171"/>
      <c r="L326" s="171"/>
      <c r="M326" s="171"/>
      <c r="N326" s="62"/>
      <c r="O326" s="62"/>
      <c r="P326" s="62"/>
      <c r="Q326" s="62"/>
      <c r="R326" s="62"/>
      <c r="S326" s="62"/>
      <c r="T326" s="62"/>
      <c r="U326" s="62"/>
      <c r="V326" s="62"/>
      <c r="W326" s="62"/>
      <c r="X326" s="62"/>
      <c r="Y326" s="62"/>
      <c r="Z326" s="62"/>
      <c r="AA326" s="62"/>
      <c r="AB326" s="62"/>
      <c r="AC326" s="62"/>
      <c r="AD326" s="62"/>
      <c r="AE326" s="62"/>
      <c r="AF326" s="62"/>
      <c r="AG326" s="62"/>
      <c r="AH326" s="62"/>
    </row>
    <row r="327" spans="1:34" x14ac:dyDescent="0.3">
      <c r="A327" s="62"/>
      <c r="B327" s="62"/>
      <c r="C327" s="62"/>
      <c r="D327" s="171"/>
      <c r="E327" s="171"/>
      <c r="F327" s="171"/>
      <c r="G327" s="171"/>
      <c r="H327" s="171"/>
      <c r="I327" s="171"/>
      <c r="J327" s="171"/>
      <c r="K327" s="171"/>
      <c r="L327" s="171"/>
      <c r="M327" s="171"/>
      <c r="N327" s="62"/>
      <c r="O327" s="62"/>
      <c r="P327" s="62"/>
      <c r="Q327" s="62"/>
      <c r="R327" s="62"/>
      <c r="S327" s="62"/>
      <c r="T327" s="62"/>
      <c r="U327" s="62"/>
      <c r="V327" s="62"/>
      <c r="W327" s="62"/>
      <c r="X327" s="62"/>
      <c r="Y327" s="62"/>
      <c r="Z327" s="62"/>
      <c r="AA327" s="62"/>
      <c r="AB327" s="62"/>
      <c r="AC327" s="62"/>
      <c r="AD327" s="62"/>
      <c r="AE327" s="62"/>
      <c r="AF327" s="62"/>
      <c r="AG327" s="62"/>
      <c r="AH327" s="62"/>
    </row>
    <row r="328" spans="1:34" x14ac:dyDescent="0.3">
      <c r="A328" s="62"/>
      <c r="B328" s="62"/>
      <c r="C328" s="62"/>
      <c r="D328" s="171"/>
      <c r="E328" s="171"/>
      <c r="F328" s="171"/>
      <c r="G328" s="171"/>
      <c r="H328" s="171"/>
      <c r="I328" s="171"/>
      <c r="J328" s="171"/>
      <c r="K328" s="171"/>
      <c r="L328" s="171"/>
      <c r="M328" s="171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62"/>
      <c r="Y328" s="62"/>
      <c r="Z328" s="62"/>
      <c r="AA328" s="62"/>
      <c r="AB328" s="62"/>
      <c r="AC328" s="62"/>
      <c r="AD328" s="62"/>
      <c r="AE328" s="62"/>
      <c r="AF328" s="62"/>
      <c r="AG328" s="62"/>
      <c r="AH328" s="62"/>
    </row>
    <row r="329" spans="1:34" x14ac:dyDescent="0.3">
      <c r="A329" s="62"/>
      <c r="B329" s="62"/>
      <c r="C329" s="62"/>
      <c r="D329" s="171"/>
      <c r="E329" s="171"/>
      <c r="F329" s="171"/>
      <c r="G329" s="171"/>
      <c r="H329" s="171"/>
      <c r="I329" s="171"/>
      <c r="J329" s="171"/>
      <c r="K329" s="171"/>
      <c r="L329" s="171"/>
      <c r="M329" s="171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</row>
    <row r="330" spans="1:34" x14ac:dyDescent="0.3">
      <c r="A330" s="62"/>
      <c r="B330" s="62"/>
      <c r="C330" s="62"/>
      <c r="D330" s="171"/>
      <c r="E330" s="171"/>
      <c r="F330" s="171"/>
      <c r="G330" s="171"/>
      <c r="H330" s="171"/>
      <c r="I330" s="171"/>
      <c r="J330" s="171"/>
      <c r="K330" s="171"/>
      <c r="L330" s="171"/>
      <c r="M330" s="171"/>
      <c r="N330" s="62"/>
      <c r="O330" s="62"/>
      <c r="P330" s="62"/>
      <c r="Q330" s="62"/>
      <c r="R330" s="62"/>
      <c r="S330" s="62"/>
      <c r="T330" s="62"/>
      <c r="U330" s="62"/>
      <c r="V330" s="62"/>
      <c r="W330" s="62"/>
      <c r="X330" s="62"/>
      <c r="Y330" s="62"/>
      <c r="Z330" s="62"/>
      <c r="AA330" s="62"/>
      <c r="AB330" s="62"/>
      <c r="AC330" s="62"/>
      <c r="AD330" s="62"/>
      <c r="AE330" s="62"/>
      <c r="AF330" s="62"/>
      <c r="AG330" s="62"/>
      <c r="AH330" s="62"/>
    </row>
    <row r="331" spans="1:34" x14ac:dyDescent="0.3">
      <c r="A331" s="62"/>
      <c r="B331" s="62"/>
      <c r="C331" s="62"/>
      <c r="D331" s="171"/>
      <c r="E331" s="171"/>
      <c r="F331" s="171"/>
      <c r="G331" s="171"/>
      <c r="H331" s="171"/>
      <c r="I331" s="171"/>
      <c r="J331" s="171"/>
      <c r="K331" s="171"/>
      <c r="L331" s="171"/>
      <c r="M331" s="171"/>
      <c r="N331" s="62"/>
      <c r="O331" s="62"/>
      <c r="P331" s="62"/>
      <c r="Q331" s="62"/>
      <c r="R331" s="62"/>
      <c r="S331" s="62"/>
      <c r="T331" s="62"/>
      <c r="U331" s="62"/>
      <c r="V331" s="62"/>
      <c r="W331" s="62"/>
      <c r="X331" s="62"/>
      <c r="Y331" s="62"/>
      <c r="Z331" s="62"/>
      <c r="AA331" s="62"/>
      <c r="AB331" s="62"/>
      <c r="AC331" s="62"/>
      <c r="AD331" s="62"/>
      <c r="AE331" s="62"/>
      <c r="AF331" s="62"/>
      <c r="AG331" s="62"/>
      <c r="AH331" s="62"/>
    </row>
    <row r="332" spans="1:34" x14ac:dyDescent="0.3">
      <c r="A332" s="62"/>
      <c r="B332" s="62"/>
      <c r="C332" s="62"/>
      <c r="D332" s="171"/>
      <c r="E332" s="171"/>
      <c r="F332" s="171"/>
      <c r="G332" s="171"/>
      <c r="H332" s="171"/>
      <c r="I332" s="171"/>
      <c r="J332" s="171"/>
      <c r="K332" s="171"/>
      <c r="L332" s="171"/>
      <c r="M332" s="171"/>
      <c r="N332" s="62"/>
      <c r="O332" s="62"/>
      <c r="P332" s="62"/>
      <c r="Q332" s="62"/>
      <c r="R332" s="62"/>
      <c r="S332" s="62"/>
      <c r="T332" s="62"/>
      <c r="U332" s="62"/>
      <c r="V332" s="62"/>
      <c r="W332" s="62"/>
      <c r="X332" s="62"/>
      <c r="Y332" s="62"/>
      <c r="Z332" s="62"/>
      <c r="AA332" s="62"/>
      <c r="AB332" s="62"/>
      <c r="AC332" s="62"/>
      <c r="AD332" s="62"/>
      <c r="AE332" s="62"/>
      <c r="AF332" s="62"/>
      <c r="AG332" s="62"/>
      <c r="AH332" s="62"/>
    </row>
    <row r="333" spans="1:34" x14ac:dyDescent="0.3">
      <c r="A333" s="62"/>
      <c r="B333" s="62"/>
      <c r="C333" s="62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62"/>
      <c r="AC333" s="62"/>
      <c r="AD333" s="62"/>
      <c r="AE333" s="62"/>
      <c r="AF333" s="62"/>
      <c r="AG333" s="62"/>
      <c r="AH333" s="62"/>
    </row>
    <row r="334" spans="1:34" x14ac:dyDescent="0.3">
      <c r="A334" s="62"/>
      <c r="B334" s="62"/>
      <c r="C334" s="62"/>
      <c r="D334" s="171"/>
      <c r="E334" s="171"/>
      <c r="F334" s="171"/>
      <c r="G334" s="171"/>
      <c r="H334" s="171"/>
      <c r="I334" s="171"/>
      <c r="J334" s="171"/>
      <c r="K334" s="171"/>
      <c r="L334" s="171"/>
      <c r="M334" s="171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62"/>
      <c r="AC334" s="62"/>
      <c r="AD334" s="62"/>
      <c r="AE334" s="62"/>
      <c r="AF334" s="62"/>
      <c r="AG334" s="62"/>
      <c r="AH334" s="62"/>
    </row>
    <row r="335" spans="1:34" x14ac:dyDescent="0.3">
      <c r="A335" s="62"/>
      <c r="B335" s="62"/>
      <c r="C335" s="62"/>
      <c r="D335" s="171"/>
      <c r="E335" s="171"/>
      <c r="F335" s="171"/>
      <c r="G335" s="171"/>
      <c r="H335" s="171"/>
      <c r="I335" s="171"/>
      <c r="J335" s="171"/>
      <c r="K335" s="171"/>
      <c r="L335" s="171"/>
      <c r="M335" s="171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62"/>
      <c r="AC335" s="62"/>
      <c r="AD335" s="62"/>
      <c r="AE335" s="62"/>
      <c r="AF335" s="62"/>
      <c r="AG335" s="62"/>
      <c r="AH335" s="62"/>
    </row>
    <row r="336" spans="1:34" x14ac:dyDescent="0.3">
      <c r="A336" s="62"/>
      <c r="B336" s="62"/>
      <c r="C336" s="62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62"/>
      <c r="O336" s="62"/>
      <c r="P336" s="62"/>
      <c r="Q336" s="62"/>
      <c r="R336" s="62"/>
      <c r="S336" s="62"/>
      <c r="T336" s="62"/>
      <c r="U336" s="62"/>
      <c r="V336" s="62"/>
      <c r="W336" s="62"/>
      <c r="X336" s="62"/>
      <c r="Y336" s="62"/>
      <c r="Z336" s="62"/>
      <c r="AA336" s="62"/>
      <c r="AB336" s="62"/>
      <c r="AC336" s="62"/>
      <c r="AD336" s="62"/>
      <c r="AE336" s="62"/>
      <c r="AF336" s="62"/>
      <c r="AG336" s="62"/>
      <c r="AH336" s="62"/>
    </row>
    <row r="337" spans="1:34" x14ac:dyDescent="0.3">
      <c r="A337" s="62"/>
      <c r="B337" s="62"/>
      <c r="C337" s="62"/>
      <c r="D337" s="171"/>
      <c r="E337" s="171"/>
      <c r="F337" s="171"/>
      <c r="G337" s="171"/>
      <c r="H337" s="171"/>
      <c r="I337" s="171"/>
      <c r="J337" s="171"/>
      <c r="K337" s="171"/>
      <c r="L337" s="171"/>
      <c r="M337" s="171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  <c r="AA337" s="62"/>
      <c r="AB337" s="62"/>
      <c r="AC337" s="62"/>
      <c r="AD337" s="62"/>
      <c r="AE337" s="62"/>
      <c r="AF337" s="62"/>
      <c r="AG337" s="62"/>
      <c r="AH337" s="62"/>
    </row>
    <row r="338" spans="1:34" x14ac:dyDescent="0.3">
      <c r="A338" s="62"/>
      <c r="B338" s="62"/>
      <c r="C338" s="62"/>
      <c r="D338" s="171"/>
      <c r="E338" s="171"/>
      <c r="F338" s="171"/>
      <c r="G338" s="171"/>
      <c r="H338" s="171"/>
      <c r="I338" s="171"/>
      <c r="J338" s="171"/>
      <c r="K338" s="171"/>
      <c r="L338" s="171"/>
      <c r="M338" s="171"/>
      <c r="N338" s="62"/>
      <c r="O338" s="62"/>
      <c r="P338" s="62"/>
      <c r="Q338" s="62"/>
      <c r="R338" s="62"/>
      <c r="S338" s="62"/>
      <c r="T338" s="62"/>
      <c r="U338" s="62"/>
      <c r="V338" s="62"/>
      <c r="W338" s="62"/>
      <c r="X338" s="62"/>
      <c r="Y338" s="62"/>
      <c r="Z338" s="62"/>
      <c r="AA338" s="62"/>
      <c r="AB338" s="62"/>
      <c r="AC338" s="62"/>
      <c r="AD338" s="62"/>
      <c r="AE338" s="62"/>
      <c r="AF338" s="62"/>
      <c r="AG338" s="62"/>
      <c r="AH338" s="62"/>
    </row>
    <row r="339" spans="1:34" x14ac:dyDescent="0.3">
      <c r="A339" s="62"/>
      <c r="B339" s="62"/>
      <c r="C339" s="62"/>
      <c r="D339" s="171"/>
      <c r="E339" s="171"/>
      <c r="F339" s="171"/>
      <c r="G339" s="171"/>
      <c r="H339" s="171"/>
      <c r="I339" s="171"/>
      <c r="J339" s="171"/>
      <c r="K339" s="171"/>
      <c r="L339" s="171"/>
      <c r="M339" s="171"/>
      <c r="N339" s="62"/>
      <c r="O339" s="62"/>
      <c r="P339" s="62"/>
      <c r="Q339" s="62"/>
      <c r="R339" s="62"/>
      <c r="S339" s="62"/>
      <c r="T339" s="62"/>
      <c r="U339" s="62"/>
      <c r="V339" s="62"/>
      <c r="W339" s="62"/>
      <c r="X339" s="62"/>
      <c r="Y339" s="62"/>
      <c r="Z339" s="62"/>
      <c r="AA339" s="62"/>
      <c r="AB339" s="62"/>
      <c r="AC339" s="62"/>
      <c r="AD339" s="62"/>
      <c r="AE339" s="62"/>
      <c r="AF339" s="62"/>
      <c r="AG339" s="62"/>
      <c r="AH339" s="62"/>
    </row>
    <row r="340" spans="1:34" x14ac:dyDescent="0.3">
      <c r="A340" s="62"/>
      <c r="B340" s="62"/>
      <c r="C340" s="62"/>
      <c r="D340" s="171"/>
      <c r="E340" s="171"/>
      <c r="F340" s="171"/>
      <c r="G340" s="171"/>
      <c r="H340" s="171"/>
      <c r="I340" s="171"/>
      <c r="J340" s="171"/>
      <c r="K340" s="171"/>
      <c r="L340" s="171"/>
      <c r="M340" s="171"/>
      <c r="N340" s="62"/>
      <c r="O340" s="62"/>
      <c r="P340" s="62"/>
      <c r="Q340" s="62"/>
      <c r="R340" s="62"/>
      <c r="S340" s="62"/>
      <c r="T340" s="62"/>
      <c r="U340" s="62"/>
      <c r="V340" s="62"/>
      <c r="W340" s="62"/>
      <c r="X340" s="62"/>
      <c r="Y340" s="62"/>
      <c r="Z340" s="62"/>
      <c r="AA340" s="62"/>
      <c r="AB340" s="62"/>
      <c r="AC340" s="62"/>
      <c r="AD340" s="62"/>
      <c r="AE340" s="62"/>
      <c r="AF340" s="62"/>
      <c r="AG340" s="62"/>
      <c r="AH340" s="62"/>
    </row>
    <row r="341" spans="1:34" x14ac:dyDescent="0.3">
      <c r="A341" s="62"/>
      <c r="B341" s="62"/>
      <c r="C341" s="62"/>
      <c r="D341" s="171"/>
      <c r="E341" s="171"/>
      <c r="F341" s="171"/>
      <c r="G341" s="171"/>
      <c r="H341" s="171"/>
      <c r="I341" s="171"/>
      <c r="J341" s="171"/>
      <c r="K341" s="171"/>
      <c r="L341" s="171"/>
      <c r="M341" s="171"/>
      <c r="N341" s="62"/>
      <c r="O341" s="62"/>
      <c r="P341" s="62"/>
      <c r="Q341" s="62"/>
      <c r="R341" s="62"/>
      <c r="S341" s="62"/>
      <c r="T341" s="62"/>
      <c r="U341" s="62"/>
      <c r="V341" s="62"/>
      <c r="W341" s="62"/>
      <c r="X341" s="62"/>
      <c r="Y341" s="62"/>
      <c r="Z341" s="62"/>
      <c r="AA341" s="62"/>
      <c r="AB341" s="62"/>
      <c r="AC341" s="62"/>
      <c r="AD341" s="62"/>
      <c r="AE341" s="62"/>
      <c r="AF341" s="62"/>
      <c r="AG341" s="62"/>
      <c r="AH341" s="62"/>
    </row>
    <row r="342" spans="1:34" x14ac:dyDescent="0.3">
      <c r="A342" s="62"/>
      <c r="B342" s="62"/>
      <c r="C342" s="62"/>
      <c r="D342" s="171"/>
      <c r="E342" s="171"/>
      <c r="F342" s="171"/>
      <c r="G342" s="171"/>
      <c r="H342" s="171"/>
      <c r="I342" s="171"/>
      <c r="J342" s="171"/>
      <c r="K342" s="171"/>
      <c r="L342" s="171"/>
      <c r="M342" s="171"/>
      <c r="N342" s="62"/>
      <c r="O342" s="62"/>
      <c r="P342" s="62"/>
      <c r="Q342" s="62"/>
      <c r="R342" s="62"/>
      <c r="S342" s="62"/>
      <c r="T342" s="62"/>
      <c r="U342" s="62"/>
      <c r="V342" s="62"/>
      <c r="W342" s="62"/>
      <c r="X342" s="62"/>
      <c r="Y342" s="62"/>
      <c r="Z342" s="62"/>
      <c r="AA342" s="62"/>
      <c r="AB342" s="62"/>
      <c r="AC342" s="62"/>
      <c r="AD342" s="62"/>
      <c r="AE342" s="62"/>
      <c r="AF342" s="62"/>
      <c r="AG342" s="62"/>
      <c r="AH342" s="62"/>
    </row>
    <row r="343" spans="1:34" x14ac:dyDescent="0.3">
      <c r="A343" s="62"/>
      <c r="B343" s="62"/>
      <c r="C343" s="62"/>
      <c r="D343" s="171"/>
      <c r="E343" s="171"/>
      <c r="F343" s="171"/>
      <c r="G343" s="171"/>
      <c r="H343" s="171"/>
      <c r="I343" s="171"/>
      <c r="J343" s="171"/>
      <c r="K343" s="171"/>
      <c r="L343" s="171"/>
      <c r="M343" s="171"/>
      <c r="N343" s="62"/>
      <c r="O343" s="62"/>
      <c r="P343" s="62"/>
      <c r="Q343" s="62"/>
      <c r="R343" s="62"/>
      <c r="S343" s="62"/>
      <c r="T343" s="62"/>
      <c r="U343" s="62"/>
      <c r="V343" s="62"/>
      <c r="W343" s="62"/>
      <c r="X343" s="62"/>
      <c r="Y343" s="62"/>
      <c r="Z343" s="62"/>
      <c r="AA343" s="62"/>
      <c r="AB343" s="62"/>
      <c r="AC343" s="62"/>
      <c r="AD343" s="62"/>
      <c r="AE343" s="62"/>
      <c r="AF343" s="62"/>
      <c r="AG343" s="62"/>
      <c r="AH343" s="62"/>
    </row>
    <row r="344" spans="1:34" x14ac:dyDescent="0.3">
      <c r="A344" s="62"/>
      <c r="B344" s="62"/>
      <c r="C344" s="62"/>
      <c r="D344" s="171"/>
      <c r="E344" s="171"/>
      <c r="F344" s="171"/>
      <c r="G344" s="171"/>
      <c r="H344" s="171"/>
      <c r="I344" s="171"/>
      <c r="J344" s="171"/>
      <c r="K344" s="171"/>
      <c r="L344" s="171"/>
      <c r="M344" s="171"/>
      <c r="N344" s="62"/>
      <c r="O344" s="62"/>
      <c r="P344" s="62"/>
      <c r="Q344" s="62"/>
      <c r="R344" s="62"/>
      <c r="S344" s="62"/>
      <c r="T344" s="62"/>
      <c r="U344" s="62"/>
      <c r="V344" s="62"/>
      <c r="W344" s="62"/>
      <c r="X344" s="62"/>
      <c r="Y344" s="62"/>
      <c r="Z344" s="62"/>
      <c r="AA344" s="62"/>
      <c r="AB344" s="62"/>
      <c r="AC344" s="62"/>
      <c r="AD344" s="62"/>
      <c r="AE344" s="62"/>
      <c r="AF344" s="62"/>
      <c r="AG344" s="62"/>
      <c r="AH344" s="62"/>
    </row>
    <row r="345" spans="1:34" x14ac:dyDescent="0.3">
      <c r="A345" s="62"/>
      <c r="B345" s="62"/>
      <c r="C345" s="62"/>
      <c r="D345" s="171"/>
      <c r="E345" s="171"/>
      <c r="F345" s="171"/>
      <c r="G345" s="171"/>
      <c r="H345" s="171"/>
      <c r="I345" s="171"/>
      <c r="J345" s="171"/>
      <c r="K345" s="171"/>
      <c r="L345" s="171"/>
      <c r="M345" s="171"/>
      <c r="N345" s="62"/>
      <c r="O345" s="62"/>
      <c r="P345" s="62"/>
      <c r="Q345" s="62"/>
      <c r="R345" s="62"/>
      <c r="S345" s="62"/>
      <c r="T345" s="62"/>
      <c r="U345" s="62"/>
      <c r="V345" s="62"/>
      <c r="W345" s="62"/>
      <c r="X345" s="62"/>
      <c r="Y345" s="62"/>
      <c r="Z345" s="62"/>
      <c r="AA345" s="62"/>
      <c r="AB345" s="62"/>
      <c r="AC345" s="62"/>
      <c r="AD345" s="62"/>
      <c r="AE345" s="62"/>
      <c r="AF345" s="62"/>
      <c r="AG345" s="62"/>
      <c r="AH345" s="62"/>
    </row>
    <row r="346" spans="1:34" x14ac:dyDescent="0.3">
      <c r="A346" s="62"/>
      <c r="B346" s="62"/>
      <c r="C346" s="62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</row>
    <row r="347" spans="1:34" x14ac:dyDescent="0.3">
      <c r="A347" s="62"/>
      <c r="B347" s="62"/>
      <c r="C347" s="62"/>
      <c r="D347" s="171"/>
      <c r="E347" s="171"/>
      <c r="F347" s="171"/>
      <c r="G347" s="171"/>
      <c r="H347" s="171"/>
      <c r="I347" s="171"/>
      <c r="J347" s="171"/>
      <c r="K347" s="171"/>
      <c r="L347" s="171"/>
      <c r="M347" s="171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</row>
    <row r="348" spans="1:34" x14ac:dyDescent="0.3">
      <c r="A348" s="62"/>
      <c r="B348" s="62"/>
      <c r="C348" s="62"/>
      <c r="D348" s="171"/>
      <c r="E348" s="171"/>
      <c r="F348" s="171"/>
      <c r="G348" s="171"/>
      <c r="H348" s="171"/>
      <c r="I348" s="171"/>
      <c r="J348" s="171"/>
      <c r="K348" s="171"/>
      <c r="L348" s="171"/>
      <c r="M348" s="171"/>
      <c r="N348" s="62"/>
      <c r="O348" s="62"/>
      <c r="P348" s="62"/>
      <c r="Q348" s="62"/>
      <c r="R348" s="62"/>
      <c r="S348" s="62"/>
      <c r="T348" s="62"/>
      <c r="U348" s="62"/>
      <c r="V348" s="62"/>
      <c r="W348" s="62"/>
      <c r="X348" s="62"/>
      <c r="Y348" s="62"/>
      <c r="Z348" s="62"/>
      <c r="AA348" s="62"/>
      <c r="AB348" s="62"/>
      <c r="AC348" s="62"/>
      <c r="AD348" s="62"/>
      <c r="AE348" s="62"/>
      <c r="AF348" s="62"/>
      <c r="AG348" s="62"/>
      <c r="AH348" s="62"/>
    </row>
    <row r="349" spans="1:34" x14ac:dyDescent="0.3">
      <c r="A349" s="62"/>
      <c r="B349" s="62"/>
      <c r="C349" s="62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  <c r="N349" s="62"/>
      <c r="O349" s="62"/>
      <c r="P349" s="62"/>
      <c r="Q349" s="62"/>
      <c r="R349" s="62"/>
      <c r="S349" s="62"/>
      <c r="T349" s="62"/>
      <c r="U349" s="62"/>
      <c r="V349" s="62"/>
      <c r="W349" s="62"/>
      <c r="X349" s="62"/>
      <c r="Y349" s="62"/>
      <c r="Z349" s="62"/>
      <c r="AA349" s="62"/>
      <c r="AB349" s="62"/>
      <c r="AC349" s="62"/>
      <c r="AD349" s="62"/>
      <c r="AE349" s="62"/>
      <c r="AF349" s="62"/>
      <c r="AG349" s="62"/>
      <c r="AH349" s="62"/>
    </row>
    <row r="350" spans="1:34" x14ac:dyDescent="0.3">
      <c r="A350" s="62"/>
      <c r="B350" s="62"/>
      <c r="C350" s="62"/>
      <c r="D350" s="171"/>
      <c r="E350" s="171"/>
      <c r="F350" s="171"/>
      <c r="G350" s="171"/>
      <c r="H350" s="171"/>
      <c r="I350" s="171"/>
      <c r="J350" s="171"/>
      <c r="K350" s="171"/>
      <c r="L350" s="171"/>
      <c r="M350" s="171"/>
      <c r="N350" s="62"/>
      <c r="O350" s="62"/>
      <c r="P350" s="62"/>
      <c r="Q350" s="62"/>
      <c r="R350" s="62"/>
      <c r="S350" s="62"/>
      <c r="T350" s="62"/>
      <c r="U350" s="62"/>
      <c r="V350" s="62"/>
      <c r="W350" s="62"/>
      <c r="X350" s="62"/>
      <c r="Y350" s="62"/>
      <c r="Z350" s="62"/>
      <c r="AA350" s="62"/>
      <c r="AB350" s="62"/>
      <c r="AC350" s="62"/>
      <c r="AD350" s="62"/>
      <c r="AE350" s="62"/>
      <c r="AF350" s="62"/>
      <c r="AG350" s="62"/>
      <c r="AH350" s="62"/>
    </row>
    <row r="351" spans="1:34" x14ac:dyDescent="0.3">
      <c r="A351" s="62"/>
      <c r="B351" s="62"/>
      <c r="C351" s="62"/>
      <c r="D351" s="171"/>
      <c r="E351" s="171"/>
      <c r="F351" s="171"/>
      <c r="G351" s="171"/>
      <c r="H351" s="171"/>
      <c r="I351" s="171"/>
      <c r="J351" s="171"/>
      <c r="K351" s="171"/>
      <c r="L351" s="171"/>
      <c r="M351" s="171"/>
      <c r="N351" s="62"/>
      <c r="O351" s="62"/>
      <c r="P351" s="62"/>
      <c r="Q351" s="62"/>
      <c r="R351" s="62"/>
      <c r="S351" s="62"/>
      <c r="T351" s="62"/>
      <c r="U351" s="62"/>
      <c r="V351" s="62"/>
      <c r="W351" s="62"/>
      <c r="X351" s="62"/>
      <c r="Y351" s="62"/>
      <c r="Z351" s="62"/>
      <c r="AA351" s="62"/>
      <c r="AB351" s="62"/>
      <c r="AC351" s="62"/>
      <c r="AD351" s="62"/>
      <c r="AE351" s="62"/>
      <c r="AF351" s="62"/>
      <c r="AG351" s="62"/>
      <c r="AH351" s="62"/>
    </row>
    <row r="352" spans="1:34" x14ac:dyDescent="0.3">
      <c r="A352" s="62"/>
      <c r="B352" s="62"/>
      <c r="C352" s="62"/>
      <c r="D352" s="171"/>
      <c r="E352" s="171"/>
      <c r="F352" s="171"/>
      <c r="G352" s="171"/>
      <c r="H352" s="171"/>
      <c r="I352" s="171"/>
      <c r="J352" s="171"/>
      <c r="K352" s="171"/>
      <c r="L352" s="171"/>
      <c r="M352" s="171"/>
      <c r="N352" s="62"/>
      <c r="O352" s="62"/>
      <c r="P352" s="62"/>
      <c r="Q352" s="62"/>
      <c r="R352" s="62"/>
      <c r="S352" s="62"/>
      <c r="T352" s="62"/>
      <c r="U352" s="62"/>
      <c r="V352" s="62"/>
      <c r="W352" s="62"/>
      <c r="X352" s="62"/>
      <c r="Y352" s="62"/>
      <c r="Z352" s="62"/>
      <c r="AA352" s="62"/>
      <c r="AB352" s="62"/>
      <c r="AC352" s="62"/>
      <c r="AD352" s="62"/>
      <c r="AE352" s="62"/>
      <c r="AF352" s="62"/>
      <c r="AG352" s="62"/>
      <c r="AH352" s="62"/>
    </row>
    <row r="353" spans="1:34" x14ac:dyDescent="0.3">
      <c r="A353" s="62"/>
      <c r="B353" s="62"/>
      <c r="C353" s="62"/>
      <c r="D353" s="171"/>
      <c r="E353" s="171"/>
      <c r="F353" s="171"/>
      <c r="G353" s="171"/>
      <c r="H353" s="171"/>
      <c r="I353" s="171"/>
      <c r="J353" s="171"/>
      <c r="K353" s="171"/>
      <c r="L353" s="171"/>
      <c r="M353" s="171"/>
      <c r="N353" s="62"/>
      <c r="O353" s="62"/>
      <c r="P353" s="62"/>
      <c r="Q353" s="62"/>
      <c r="R353" s="62"/>
      <c r="S353" s="62"/>
      <c r="T353" s="62"/>
      <c r="U353" s="62"/>
      <c r="V353" s="62"/>
      <c r="W353" s="62"/>
      <c r="X353" s="62"/>
      <c r="Y353" s="62"/>
      <c r="Z353" s="62"/>
      <c r="AA353" s="62"/>
      <c r="AB353" s="62"/>
      <c r="AC353" s="62"/>
      <c r="AD353" s="62"/>
      <c r="AE353" s="62"/>
      <c r="AF353" s="62"/>
      <c r="AG353" s="62"/>
      <c r="AH353" s="62"/>
    </row>
    <row r="354" spans="1:34" x14ac:dyDescent="0.3">
      <c r="A354" s="62"/>
      <c r="B354" s="62"/>
      <c r="C354" s="62"/>
      <c r="D354" s="171"/>
      <c r="E354" s="171"/>
      <c r="F354" s="171"/>
      <c r="G354" s="171"/>
      <c r="H354" s="171"/>
      <c r="I354" s="171"/>
      <c r="J354" s="171"/>
      <c r="K354" s="171"/>
      <c r="L354" s="171"/>
      <c r="M354" s="171"/>
      <c r="N354" s="62"/>
      <c r="O354" s="62"/>
      <c r="P354" s="62"/>
      <c r="Q354" s="62"/>
      <c r="R354" s="62"/>
      <c r="S354" s="62"/>
      <c r="T354" s="62"/>
      <c r="U354" s="62"/>
      <c r="V354" s="62"/>
      <c r="W354" s="62"/>
      <c r="X354" s="62"/>
      <c r="Y354" s="62"/>
      <c r="Z354" s="62"/>
      <c r="AA354" s="62"/>
      <c r="AB354" s="62"/>
      <c r="AC354" s="62"/>
      <c r="AD354" s="62"/>
      <c r="AE354" s="62"/>
      <c r="AF354" s="62"/>
      <c r="AG354" s="62"/>
      <c r="AH354" s="62"/>
    </row>
    <row r="355" spans="1:34" x14ac:dyDescent="0.3">
      <c r="A355" s="62"/>
      <c r="B355" s="62"/>
      <c r="C355" s="62"/>
      <c r="D355" s="171"/>
      <c r="E355" s="171"/>
      <c r="F355" s="171"/>
      <c r="G355" s="171"/>
      <c r="H355" s="171"/>
      <c r="I355" s="171"/>
      <c r="J355" s="171"/>
      <c r="K355" s="171"/>
      <c r="L355" s="171"/>
      <c r="M355" s="171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</row>
    <row r="356" spans="1:34" x14ac:dyDescent="0.3">
      <c r="A356" s="62"/>
      <c r="B356" s="62"/>
      <c r="C356" s="62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  <c r="N356" s="62"/>
      <c r="O356" s="62"/>
      <c r="P356" s="62"/>
      <c r="Q356" s="62"/>
      <c r="R356" s="62"/>
      <c r="S356" s="62"/>
      <c r="T356" s="62"/>
      <c r="U356" s="62"/>
      <c r="V356" s="62"/>
      <c r="W356" s="62"/>
      <c r="X356" s="62"/>
      <c r="Y356" s="62"/>
      <c r="Z356" s="62"/>
      <c r="AA356" s="62"/>
      <c r="AB356" s="62"/>
      <c r="AC356" s="62"/>
      <c r="AD356" s="62"/>
      <c r="AE356" s="62"/>
      <c r="AF356" s="62"/>
      <c r="AG356" s="62"/>
      <c r="AH356" s="62"/>
    </row>
    <row r="357" spans="1:34" x14ac:dyDescent="0.3">
      <c r="A357" s="62"/>
      <c r="B357" s="62"/>
      <c r="C357" s="62"/>
      <c r="D357" s="171"/>
      <c r="E357" s="171"/>
      <c r="F357" s="171"/>
      <c r="G357" s="171"/>
      <c r="H357" s="171"/>
      <c r="I357" s="171"/>
      <c r="J357" s="171"/>
      <c r="K357" s="171"/>
      <c r="L357" s="171"/>
      <c r="M357" s="171"/>
      <c r="N357" s="62"/>
      <c r="O357" s="62"/>
      <c r="P357" s="62"/>
      <c r="Q357" s="62"/>
      <c r="R357" s="62"/>
      <c r="S357" s="62"/>
      <c r="T357" s="62"/>
      <c r="U357" s="62"/>
      <c r="V357" s="62"/>
      <c r="W357" s="62"/>
      <c r="X357" s="62"/>
      <c r="Y357" s="62"/>
      <c r="Z357" s="62"/>
      <c r="AA357" s="62"/>
      <c r="AB357" s="62"/>
      <c r="AC357" s="62"/>
      <c r="AD357" s="62"/>
      <c r="AE357" s="62"/>
      <c r="AF357" s="62"/>
      <c r="AG357" s="62"/>
      <c r="AH357" s="62"/>
    </row>
    <row r="358" spans="1:34" x14ac:dyDescent="0.3">
      <c r="A358" s="62"/>
      <c r="B358" s="62"/>
      <c r="C358" s="62"/>
      <c r="D358" s="171"/>
      <c r="E358" s="171"/>
      <c r="F358" s="171"/>
      <c r="G358" s="171"/>
      <c r="H358" s="171"/>
      <c r="I358" s="171"/>
      <c r="J358" s="171"/>
      <c r="K358" s="171"/>
      <c r="L358" s="171"/>
      <c r="M358" s="171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  <c r="AA358" s="62"/>
      <c r="AB358" s="62"/>
      <c r="AC358" s="62"/>
      <c r="AD358" s="62"/>
      <c r="AE358" s="62"/>
      <c r="AF358" s="62"/>
      <c r="AG358" s="62"/>
      <c r="AH358" s="62"/>
    </row>
    <row r="359" spans="1:34" x14ac:dyDescent="0.3">
      <c r="A359" s="62"/>
      <c r="B359" s="62"/>
      <c r="C359" s="62"/>
      <c r="D359" s="171"/>
      <c r="E359" s="171"/>
      <c r="F359" s="171"/>
      <c r="G359" s="171"/>
      <c r="H359" s="171"/>
      <c r="I359" s="171"/>
      <c r="J359" s="171"/>
      <c r="K359" s="171"/>
      <c r="L359" s="171"/>
      <c r="M359" s="171"/>
      <c r="N359" s="62"/>
      <c r="O359" s="62"/>
      <c r="P359" s="62"/>
      <c r="Q359" s="62"/>
      <c r="R359" s="62"/>
      <c r="S359" s="62"/>
      <c r="T359" s="62"/>
      <c r="U359" s="62"/>
      <c r="V359" s="62"/>
      <c r="W359" s="62"/>
      <c r="X359" s="62"/>
      <c r="Y359" s="62"/>
      <c r="Z359" s="62"/>
      <c r="AA359" s="62"/>
      <c r="AB359" s="62"/>
      <c r="AC359" s="62"/>
      <c r="AD359" s="62"/>
      <c r="AE359" s="62"/>
      <c r="AF359" s="62"/>
      <c r="AG359" s="62"/>
      <c r="AH359" s="62"/>
    </row>
    <row r="360" spans="1:34" x14ac:dyDescent="0.3">
      <c r="A360" s="62"/>
      <c r="B360" s="62"/>
      <c r="C360" s="62"/>
      <c r="D360" s="171"/>
      <c r="E360" s="171"/>
      <c r="F360" s="171"/>
      <c r="G360" s="171"/>
      <c r="H360" s="171"/>
      <c r="I360" s="171"/>
      <c r="J360" s="171"/>
      <c r="K360" s="171"/>
      <c r="L360" s="171"/>
      <c r="M360" s="171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62"/>
      <c r="Y360" s="62"/>
      <c r="Z360" s="62"/>
      <c r="AA360" s="62"/>
      <c r="AB360" s="62"/>
      <c r="AC360" s="62"/>
      <c r="AD360" s="62"/>
      <c r="AE360" s="62"/>
      <c r="AF360" s="62"/>
      <c r="AG360" s="62"/>
      <c r="AH360" s="62"/>
    </row>
    <row r="361" spans="1:34" x14ac:dyDescent="0.3">
      <c r="A361" s="62"/>
      <c r="B361" s="62"/>
      <c r="C361" s="62"/>
      <c r="D361" s="171"/>
      <c r="E361" s="171"/>
      <c r="F361" s="171"/>
      <c r="G361" s="171"/>
      <c r="H361" s="171"/>
      <c r="I361" s="171"/>
      <c r="J361" s="171"/>
      <c r="K361" s="171"/>
      <c r="L361" s="171"/>
      <c r="M361" s="171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62"/>
      <c r="Z361" s="62"/>
      <c r="AA361" s="62"/>
      <c r="AB361" s="62"/>
      <c r="AC361" s="62"/>
      <c r="AD361" s="62"/>
      <c r="AE361" s="62"/>
      <c r="AF361" s="62"/>
      <c r="AG361" s="62"/>
      <c r="AH361" s="62"/>
    </row>
    <row r="362" spans="1:34" x14ac:dyDescent="0.3">
      <c r="A362" s="62"/>
      <c r="B362" s="62"/>
      <c r="C362" s="62"/>
      <c r="D362" s="171"/>
      <c r="E362" s="171"/>
      <c r="F362" s="171"/>
      <c r="G362" s="171"/>
      <c r="H362" s="171"/>
      <c r="I362" s="171"/>
      <c r="J362" s="171"/>
      <c r="K362" s="171"/>
      <c r="L362" s="171"/>
      <c r="M362" s="171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62"/>
      <c r="AA362" s="62"/>
      <c r="AB362" s="62"/>
      <c r="AC362" s="62"/>
      <c r="AD362" s="62"/>
      <c r="AE362" s="62"/>
      <c r="AF362" s="62"/>
      <c r="AG362" s="62"/>
      <c r="AH362" s="62"/>
    </row>
    <row r="363" spans="1:34" x14ac:dyDescent="0.3">
      <c r="A363" s="62"/>
      <c r="B363" s="62"/>
      <c r="C363" s="62"/>
      <c r="D363" s="171"/>
      <c r="E363" s="171"/>
      <c r="F363" s="171"/>
      <c r="G363" s="171"/>
      <c r="H363" s="171"/>
      <c r="I363" s="171"/>
      <c r="J363" s="171"/>
      <c r="K363" s="171"/>
      <c r="L363" s="171"/>
      <c r="M363" s="171"/>
      <c r="N363" s="62"/>
      <c r="O363" s="62"/>
      <c r="P363" s="62"/>
      <c r="Q363" s="62"/>
      <c r="R363" s="62"/>
      <c r="S363" s="62"/>
      <c r="T363" s="62"/>
      <c r="U363" s="62"/>
      <c r="V363" s="62"/>
      <c r="W363" s="62"/>
      <c r="X363" s="62"/>
      <c r="Y363" s="62"/>
      <c r="Z363" s="62"/>
      <c r="AA363" s="62"/>
      <c r="AB363" s="62"/>
      <c r="AC363" s="62"/>
      <c r="AD363" s="62"/>
      <c r="AE363" s="62"/>
      <c r="AF363" s="62"/>
      <c r="AG363" s="62"/>
      <c r="AH363" s="62"/>
    </row>
    <row r="364" spans="1:34" x14ac:dyDescent="0.3">
      <c r="A364" s="62"/>
      <c r="B364" s="62"/>
      <c r="C364" s="62"/>
      <c r="D364" s="171"/>
      <c r="E364" s="171"/>
      <c r="F364" s="171"/>
      <c r="G364" s="171"/>
      <c r="H364" s="171"/>
      <c r="I364" s="171"/>
      <c r="J364" s="171"/>
      <c r="K364" s="171"/>
      <c r="L364" s="171"/>
      <c r="M364" s="171"/>
      <c r="N364" s="62"/>
      <c r="O364" s="62"/>
      <c r="P364" s="62"/>
      <c r="Q364" s="62"/>
      <c r="R364" s="62"/>
      <c r="S364" s="62"/>
      <c r="T364" s="62"/>
      <c r="U364" s="62"/>
      <c r="V364" s="62"/>
      <c r="W364" s="62"/>
      <c r="X364" s="62"/>
      <c r="Y364" s="62"/>
      <c r="Z364" s="62"/>
      <c r="AA364" s="62"/>
      <c r="AB364" s="62"/>
      <c r="AC364" s="62"/>
      <c r="AD364" s="62"/>
      <c r="AE364" s="62"/>
      <c r="AF364" s="62"/>
      <c r="AG364" s="62"/>
      <c r="AH364" s="62"/>
    </row>
    <row r="365" spans="1:34" x14ac:dyDescent="0.3">
      <c r="A365" s="62"/>
      <c r="B365" s="62"/>
      <c r="C365" s="62"/>
      <c r="D365" s="171"/>
      <c r="E365" s="171"/>
      <c r="F365" s="171"/>
      <c r="G365" s="171"/>
      <c r="H365" s="171"/>
      <c r="I365" s="171"/>
      <c r="J365" s="171"/>
      <c r="K365" s="171"/>
      <c r="L365" s="171"/>
      <c r="M365" s="171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</row>
    <row r="366" spans="1:34" x14ac:dyDescent="0.3">
      <c r="A366" s="62"/>
      <c r="B366" s="62"/>
      <c r="C366" s="62"/>
      <c r="D366" s="171"/>
      <c r="E366" s="171"/>
      <c r="F366" s="171"/>
      <c r="G366" s="171"/>
      <c r="H366" s="171"/>
      <c r="I366" s="171"/>
      <c r="J366" s="171"/>
      <c r="K366" s="171"/>
      <c r="L366" s="171"/>
      <c r="M366" s="171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</row>
    <row r="367" spans="1:34" x14ac:dyDescent="0.3">
      <c r="A367" s="62"/>
      <c r="B367" s="62"/>
      <c r="C367" s="62"/>
      <c r="D367" s="171"/>
      <c r="E367" s="171"/>
      <c r="F367" s="171"/>
      <c r="G367" s="171"/>
      <c r="H367" s="171"/>
      <c r="I367" s="171"/>
      <c r="J367" s="171"/>
      <c r="K367" s="171"/>
      <c r="L367" s="171"/>
      <c r="M367" s="171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</row>
    <row r="368" spans="1:34" x14ac:dyDescent="0.3">
      <c r="A368" s="62"/>
      <c r="B368" s="62"/>
      <c r="C368" s="62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</row>
    <row r="369" spans="1:34" x14ac:dyDescent="0.3">
      <c r="A369" s="62"/>
      <c r="B369" s="62"/>
      <c r="C369" s="62"/>
      <c r="D369" s="171"/>
      <c r="E369" s="171"/>
      <c r="F369" s="171"/>
      <c r="G369" s="171"/>
      <c r="H369" s="171"/>
      <c r="I369" s="171"/>
      <c r="J369" s="171"/>
      <c r="K369" s="171"/>
      <c r="L369" s="171"/>
      <c r="M369" s="171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</row>
    <row r="370" spans="1:34" x14ac:dyDescent="0.3">
      <c r="A370" s="62"/>
      <c r="B370" s="62"/>
      <c r="C370" s="62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62"/>
      <c r="O370" s="62"/>
      <c r="P370" s="62"/>
      <c r="Q370" s="62"/>
      <c r="R370" s="62"/>
      <c r="S370" s="62"/>
      <c r="T370" s="62"/>
      <c r="U370" s="62"/>
      <c r="V370" s="62"/>
      <c r="W370" s="62"/>
      <c r="X370" s="62"/>
      <c r="Y370" s="62"/>
      <c r="Z370" s="62"/>
      <c r="AA370" s="62"/>
      <c r="AB370" s="62"/>
      <c r="AC370" s="62"/>
      <c r="AD370" s="62"/>
      <c r="AE370" s="62"/>
      <c r="AF370" s="62"/>
      <c r="AG370" s="62"/>
      <c r="AH370" s="62"/>
    </row>
    <row r="371" spans="1:34" x14ac:dyDescent="0.3">
      <c r="A371" s="62"/>
      <c r="B371" s="62"/>
      <c r="C371" s="62"/>
      <c r="D371" s="171"/>
      <c r="E371" s="171"/>
      <c r="F371" s="171"/>
      <c r="G371" s="171"/>
      <c r="H371" s="171"/>
      <c r="I371" s="171"/>
      <c r="J371" s="171"/>
      <c r="K371" s="171"/>
      <c r="L371" s="171"/>
      <c r="M371" s="171"/>
      <c r="N371" s="62"/>
      <c r="O371" s="62"/>
      <c r="P371" s="62"/>
      <c r="Q371" s="62"/>
      <c r="R371" s="62"/>
      <c r="S371" s="62"/>
      <c r="T371" s="62"/>
      <c r="U371" s="62"/>
      <c r="V371" s="62"/>
      <c r="W371" s="62"/>
      <c r="X371" s="62"/>
      <c r="Y371" s="62"/>
      <c r="Z371" s="62"/>
      <c r="AA371" s="62"/>
      <c r="AB371" s="62"/>
      <c r="AC371" s="62"/>
      <c r="AD371" s="62"/>
      <c r="AE371" s="62"/>
      <c r="AF371" s="62"/>
      <c r="AG371" s="62"/>
      <c r="AH371" s="62"/>
    </row>
    <row r="372" spans="1:34" x14ac:dyDescent="0.3">
      <c r="A372" s="62"/>
      <c r="B372" s="62"/>
      <c r="C372" s="62"/>
      <c r="D372" s="171"/>
      <c r="E372" s="171"/>
      <c r="F372" s="171"/>
      <c r="G372" s="171"/>
      <c r="H372" s="171"/>
      <c r="I372" s="171"/>
      <c r="J372" s="171"/>
      <c r="K372" s="171"/>
      <c r="L372" s="171"/>
      <c r="M372" s="171"/>
      <c r="N372" s="62"/>
      <c r="O372" s="62"/>
      <c r="P372" s="62"/>
      <c r="Q372" s="62"/>
      <c r="R372" s="62"/>
      <c r="S372" s="62"/>
      <c r="T372" s="62"/>
      <c r="U372" s="62"/>
      <c r="V372" s="62"/>
      <c r="W372" s="62"/>
      <c r="X372" s="62"/>
      <c r="Y372" s="62"/>
      <c r="Z372" s="62"/>
      <c r="AA372" s="62"/>
      <c r="AB372" s="62"/>
      <c r="AC372" s="62"/>
      <c r="AD372" s="62"/>
      <c r="AE372" s="62"/>
      <c r="AF372" s="62"/>
      <c r="AG372" s="62"/>
      <c r="AH372" s="62"/>
    </row>
    <row r="373" spans="1:34" x14ac:dyDescent="0.3">
      <c r="A373" s="62"/>
      <c r="B373" s="62"/>
      <c r="C373" s="62"/>
      <c r="D373" s="171"/>
      <c r="E373" s="171"/>
      <c r="F373" s="171"/>
      <c r="G373" s="171"/>
      <c r="H373" s="171"/>
      <c r="I373" s="171"/>
      <c r="J373" s="171"/>
      <c r="K373" s="171"/>
      <c r="L373" s="171"/>
      <c r="M373" s="171"/>
      <c r="N373" s="62"/>
      <c r="O373" s="62"/>
      <c r="P373" s="62"/>
      <c r="Q373" s="62"/>
      <c r="R373" s="62"/>
      <c r="S373" s="62"/>
      <c r="T373" s="62"/>
      <c r="U373" s="62"/>
      <c r="V373" s="62"/>
      <c r="W373" s="62"/>
      <c r="X373" s="62"/>
      <c r="Y373" s="62"/>
      <c r="Z373" s="62"/>
      <c r="AA373" s="62"/>
      <c r="AB373" s="62"/>
      <c r="AC373" s="62"/>
      <c r="AD373" s="62"/>
      <c r="AE373" s="62"/>
      <c r="AF373" s="62"/>
      <c r="AG373" s="62"/>
      <c r="AH373" s="62"/>
    </row>
    <row r="374" spans="1:34" x14ac:dyDescent="0.3">
      <c r="A374" s="62"/>
      <c r="B374" s="62"/>
      <c r="C374" s="62"/>
      <c r="D374" s="171"/>
      <c r="E374" s="171"/>
      <c r="F374" s="171"/>
      <c r="G374" s="171"/>
      <c r="H374" s="171"/>
      <c r="I374" s="171"/>
      <c r="J374" s="171"/>
      <c r="K374" s="171"/>
      <c r="L374" s="171"/>
      <c r="M374" s="171"/>
      <c r="N374" s="62"/>
      <c r="O374" s="62"/>
      <c r="P374" s="62"/>
      <c r="Q374" s="62"/>
      <c r="R374" s="62"/>
      <c r="S374" s="62"/>
      <c r="T374" s="62"/>
      <c r="U374" s="62"/>
      <c r="V374" s="62"/>
      <c r="W374" s="62"/>
      <c r="X374" s="62"/>
      <c r="Y374" s="62"/>
      <c r="Z374" s="62"/>
      <c r="AA374" s="62"/>
      <c r="AB374" s="62"/>
      <c r="AC374" s="62"/>
      <c r="AD374" s="62"/>
      <c r="AE374" s="62"/>
      <c r="AF374" s="62"/>
      <c r="AG374" s="62"/>
      <c r="AH374" s="62"/>
    </row>
    <row r="375" spans="1:34" x14ac:dyDescent="0.3">
      <c r="A375" s="62"/>
      <c r="B375" s="62"/>
      <c r="C375" s="62"/>
      <c r="D375" s="171"/>
      <c r="E375" s="171"/>
      <c r="F375" s="171"/>
      <c r="G375" s="171"/>
      <c r="H375" s="171"/>
      <c r="I375" s="171"/>
      <c r="J375" s="171"/>
      <c r="K375" s="171"/>
      <c r="L375" s="171"/>
      <c r="M375" s="171"/>
      <c r="N375" s="62"/>
      <c r="O375" s="62"/>
      <c r="P375" s="62"/>
      <c r="Q375" s="62"/>
      <c r="R375" s="62"/>
      <c r="S375" s="62"/>
      <c r="T375" s="62"/>
      <c r="U375" s="62"/>
      <c r="V375" s="62"/>
      <c r="W375" s="62"/>
      <c r="X375" s="62"/>
      <c r="Y375" s="62"/>
      <c r="Z375" s="62"/>
      <c r="AA375" s="62"/>
      <c r="AB375" s="62"/>
      <c r="AC375" s="62"/>
      <c r="AD375" s="62"/>
      <c r="AE375" s="62"/>
      <c r="AF375" s="62"/>
      <c r="AG375" s="62"/>
      <c r="AH375" s="62"/>
    </row>
    <row r="376" spans="1:34" x14ac:dyDescent="0.3">
      <c r="A376" s="62"/>
      <c r="B376" s="62"/>
      <c r="C376" s="62"/>
      <c r="D376" s="171"/>
      <c r="E376" s="171"/>
      <c r="F376" s="171"/>
      <c r="G376" s="171"/>
      <c r="H376" s="171"/>
      <c r="I376" s="171"/>
      <c r="J376" s="171"/>
      <c r="K376" s="171"/>
      <c r="L376" s="171"/>
      <c r="M376" s="171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</row>
    <row r="377" spans="1:34" x14ac:dyDescent="0.3">
      <c r="A377" s="62"/>
      <c r="B377" s="62"/>
      <c r="C377" s="62"/>
      <c r="D377" s="171"/>
      <c r="E377" s="171"/>
      <c r="F377" s="171"/>
      <c r="G377" s="171"/>
      <c r="H377" s="171"/>
      <c r="I377" s="171"/>
      <c r="J377" s="171"/>
      <c r="K377" s="171"/>
      <c r="L377" s="171"/>
      <c r="M377" s="171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</row>
    <row r="378" spans="1:34" x14ac:dyDescent="0.3">
      <c r="A378" s="62"/>
      <c r="B378" s="62"/>
      <c r="C378" s="62"/>
      <c r="D378" s="171"/>
      <c r="E378" s="171"/>
      <c r="F378" s="171"/>
      <c r="G378" s="171"/>
      <c r="H378" s="171"/>
      <c r="I378" s="171"/>
      <c r="J378" s="171"/>
      <c r="K378" s="171"/>
      <c r="L378" s="171"/>
      <c r="M378" s="171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</row>
    <row r="379" spans="1:34" x14ac:dyDescent="0.3">
      <c r="A379" s="62"/>
      <c r="B379" s="62"/>
      <c r="C379" s="62"/>
      <c r="D379" s="171"/>
      <c r="E379" s="171"/>
      <c r="F379" s="171"/>
      <c r="G379" s="171"/>
      <c r="H379" s="171"/>
      <c r="I379" s="171"/>
      <c r="J379" s="171"/>
      <c r="K379" s="171"/>
      <c r="L379" s="171"/>
      <c r="M379" s="171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  <c r="AA379" s="62"/>
      <c r="AB379" s="62"/>
      <c r="AC379" s="62"/>
      <c r="AD379" s="62"/>
      <c r="AE379" s="62"/>
      <c r="AF379" s="62"/>
      <c r="AG379" s="62"/>
      <c r="AH379" s="62"/>
    </row>
    <row r="380" spans="1:34" x14ac:dyDescent="0.3">
      <c r="A380" s="62"/>
      <c r="B380" s="62"/>
      <c r="C380" s="62"/>
      <c r="D380" s="171"/>
      <c r="E380" s="171"/>
      <c r="F380" s="171"/>
      <c r="G380" s="171"/>
      <c r="H380" s="171"/>
      <c r="I380" s="171"/>
      <c r="J380" s="171"/>
      <c r="K380" s="171"/>
      <c r="L380" s="171"/>
      <c r="M380" s="171"/>
      <c r="N380" s="62"/>
      <c r="O380" s="62"/>
      <c r="P380" s="62"/>
      <c r="Q380" s="62"/>
      <c r="R380" s="62"/>
      <c r="S380" s="62"/>
      <c r="T380" s="62"/>
      <c r="U380" s="62"/>
      <c r="V380" s="62"/>
      <c r="W380" s="62"/>
      <c r="X380" s="62"/>
      <c r="Y380" s="62"/>
      <c r="Z380" s="62"/>
      <c r="AA380" s="62"/>
      <c r="AB380" s="62"/>
      <c r="AC380" s="62"/>
      <c r="AD380" s="62"/>
      <c r="AE380" s="62"/>
      <c r="AF380" s="62"/>
      <c r="AG380" s="62"/>
      <c r="AH380" s="62"/>
    </row>
    <row r="381" spans="1:34" x14ac:dyDescent="0.3">
      <c r="A381" s="62"/>
      <c r="B381" s="62"/>
      <c r="C381" s="62"/>
      <c r="D381" s="171"/>
      <c r="E381" s="171"/>
      <c r="F381" s="171"/>
      <c r="G381" s="171"/>
      <c r="H381" s="171"/>
      <c r="I381" s="171"/>
      <c r="J381" s="171"/>
      <c r="K381" s="171"/>
      <c r="L381" s="171"/>
      <c r="M381" s="171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</row>
    <row r="382" spans="1:34" x14ac:dyDescent="0.3">
      <c r="A382" s="62"/>
      <c r="B382" s="62"/>
      <c r="C382" s="62"/>
      <c r="D382" s="171"/>
      <c r="E382" s="171"/>
      <c r="F382" s="171"/>
      <c r="G382" s="171"/>
      <c r="H382" s="171"/>
      <c r="I382" s="171"/>
      <c r="J382" s="171"/>
      <c r="K382" s="171"/>
      <c r="L382" s="171"/>
      <c r="M382" s="171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</row>
    <row r="383" spans="1:34" x14ac:dyDescent="0.3">
      <c r="A383" s="62"/>
      <c r="B383" s="62"/>
      <c r="C383" s="62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  <c r="N383" s="62"/>
      <c r="O383" s="62"/>
      <c r="P383" s="62"/>
      <c r="Q383" s="62"/>
      <c r="R383" s="62"/>
      <c r="S383" s="62"/>
      <c r="T383" s="62"/>
      <c r="U383" s="62"/>
      <c r="V383" s="62"/>
      <c r="W383" s="62"/>
      <c r="X383" s="62"/>
      <c r="Y383" s="62"/>
      <c r="Z383" s="62"/>
      <c r="AA383" s="62"/>
      <c r="AB383" s="62"/>
      <c r="AC383" s="62"/>
      <c r="AD383" s="62"/>
      <c r="AE383" s="62"/>
      <c r="AF383" s="62"/>
      <c r="AG383" s="62"/>
      <c r="AH383" s="62"/>
    </row>
    <row r="384" spans="1:34" x14ac:dyDescent="0.3">
      <c r="A384" s="62"/>
      <c r="B384" s="62"/>
      <c r="C384" s="62"/>
      <c r="D384" s="171"/>
      <c r="E384" s="171"/>
      <c r="F384" s="171"/>
      <c r="G384" s="171"/>
      <c r="H384" s="171"/>
      <c r="I384" s="171"/>
      <c r="J384" s="171"/>
      <c r="K384" s="171"/>
      <c r="L384" s="171"/>
      <c r="M384" s="171"/>
      <c r="N384" s="62"/>
      <c r="O384" s="62"/>
      <c r="P384" s="62"/>
      <c r="Q384" s="62"/>
      <c r="R384" s="62"/>
      <c r="S384" s="62"/>
      <c r="T384" s="62"/>
      <c r="U384" s="62"/>
      <c r="V384" s="62"/>
      <c r="W384" s="62"/>
      <c r="X384" s="62"/>
      <c r="Y384" s="62"/>
      <c r="Z384" s="62"/>
      <c r="AA384" s="62"/>
      <c r="AB384" s="62"/>
      <c r="AC384" s="62"/>
      <c r="AD384" s="62"/>
      <c r="AE384" s="62"/>
      <c r="AF384" s="62"/>
      <c r="AG384" s="62"/>
      <c r="AH384" s="62"/>
    </row>
    <row r="385" spans="1:34" x14ac:dyDescent="0.3">
      <c r="A385" s="62"/>
      <c r="B385" s="62"/>
      <c r="C385" s="62"/>
      <c r="D385" s="171"/>
      <c r="E385" s="171"/>
      <c r="F385" s="171"/>
      <c r="G385" s="171"/>
      <c r="H385" s="171"/>
      <c r="I385" s="171"/>
      <c r="J385" s="171"/>
      <c r="K385" s="171"/>
      <c r="L385" s="171"/>
      <c r="M385" s="171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</row>
    <row r="386" spans="1:34" x14ac:dyDescent="0.3">
      <c r="A386" s="62"/>
      <c r="B386" s="62"/>
      <c r="C386" s="62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</row>
    <row r="387" spans="1:34" x14ac:dyDescent="0.3">
      <c r="A387" s="62"/>
      <c r="B387" s="62"/>
      <c r="C387" s="62"/>
      <c r="D387" s="171"/>
      <c r="E387" s="171"/>
      <c r="F387" s="171"/>
      <c r="G387" s="171"/>
      <c r="H387" s="171"/>
      <c r="I387" s="171"/>
      <c r="J387" s="171"/>
      <c r="K387" s="171"/>
      <c r="L387" s="171"/>
      <c r="M387" s="171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62"/>
      <c r="Z387" s="62"/>
      <c r="AA387" s="62"/>
      <c r="AB387" s="62"/>
      <c r="AC387" s="62"/>
      <c r="AD387" s="62"/>
      <c r="AE387" s="62"/>
      <c r="AF387" s="62"/>
      <c r="AG387" s="62"/>
      <c r="AH387" s="62"/>
    </row>
    <row r="388" spans="1:34" x14ac:dyDescent="0.3">
      <c r="A388" s="62"/>
      <c r="B388" s="62"/>
      <c r="C388" s="62"/>
      <c r="D388" s="171"/>
      <c r="E388" s="171"/>
      <c r="F388" s="171"/>
      <c r="G388" s="171"/>
      <c r="H388" s="171"/>
      <c r="I388" s="171"/>
      <c r="J388" s="171"/>
      <c r="K388" s="171"/>
      <c r="L388" s="171"/>
      <c r="M388" s="171"/>
      <c r="N388" s="62"/>
      <c r="O388" s="62"/>
      <c r="P388" s="62"/>
      <c r="Q388" s="62"/>
      <c r="R388" s="62"/>
      <c r="S388" s="62"/>
      <c r="T388" s="62"/>
      <c r="U388" s="62"/>
      <c r="V388" s="62"/>
      <c r="W388" s="62"/>
      <c r="X388" s="62"/>
      <c r="Y388" s="62"/>
      <c r="Z388" s="62"/>
      <c r="AA388" s="62"/>
      <c r="AB388" s="62"/>
      <c r="AC388" s="62"/>
      <c r="AD388" s="62"/>
      <c r="AE388" s="62"/>
      <c r="AF388" s="62"/>
      <c r="AG388" s="62"/>
      <c r="AH388" s="62"/>
    </row>
    <row r="389" spans="1:34" x14ac:dyDescent="0.3">
      <c r="A389" s="62"/>
      <c r="B389" s="62"/>
      <c r="C389" s="62"/>
      <c r="D389" s="171"/>
      <c r="E389" s="171"/>
      <c r="F389" s="171"/>
      <c r="G389" s="171"/>
      <c r="H389" s="171"/>
      <c r="I389" s="171"/>
      <c r="J389" s="171"/>
      <c r="K389" s="171"/>
      <c r="L389" s="171"/>
      <c r="M389" s="171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</row>
    <row r="390" spans="1:34" x14ac:dyDescent="0.3">
      <c r="A390" s="62"/>
      <c r="B390" s="62"/>
      <c r="C390" s="62"/>
      <c r="D390" s="171"/>
      <c r="E390" s="171"/>
      <c r="F390" s="171"/>
      <c r="G390" s="171"/>
      <c r="H390" s="171"/>
      <c r="I390" s="171"/>
      <c r="J390" s="171"/>
      <c r="K390" s="171"/>
      <c r="L390" s="171"/>
      <c r="M390" s="171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</row>
    <row r="391" spans="1:34" x14ac:dyDescent="0.3">
      <c r="A391" s="62"/>
      <c r="B391" s="62"/>
      <c r="C391" s="62"/>
      <c r="D391" s="171"/>
      <c r="E391" s="171"/>
      <c r="F391" s="171"/>
      <c r="G391" s="171"/>
      <c r="H391" s="171"/>
      <c r="I391" s="171"/>
      <c r="J391" s="171"/>
      <c r="K391" s="171"/>
      <c r="L391" s="171"/>
      <c r="M391" s="171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</row>
    <row r="392" spans="1:34" x14ac:dyDescent="0.3">
      <c r="A392" s="62"/>
      <c r="B392" s="62"/>
      <c r="C392" s="62"/>
      <c r="D392" s="171"/>
      <c r="E392" s="171"/>
      <c r="F392" s="171"/>
      <c r="G392" s="171"/>
      <c r="H392" s="171"/>
      <c r="I392" s="171"/>
      <c r="J392" s="171"/>
      <c r="K392" s="171"/>
      <c r="L392" s="171"/>
      <c r="M392" s="171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</row>
    <row r="393" spans="1:34" x14ac:dyDescent="0.3">
      <c r="A393" s="62"/>
      <c r="B393" s="62"/>
      <c r="C393" s="62"/>
      <c r="D393" s="171"/>
      <c r="E393" s="171"/>
      <c r="F393" s="171"/>
      <c r="G393" s="171"/>
      <c r="H393" s="171"/>
      <c r="I393" s="171"/>
      <c r="J393" s="171"/>
      <c r="K393" s="171"/>
      <c r="L393" s="171"/>
      <c r="M393" s="171"/>
      <c r="N393" s="62"/>
      <c r="O393" s="62"/>
      <c r="P393" s="62"/>
      <c r="Q393" s="62"/>
      <c r="R393" s="62"/>
      <c r="S393" s="62"/>
      <c r="T393" s="62"/>
      <c r="U393" s="62"/>
      <c r="V393" s="62"/>
      <c r="W393" s="62"/>
      <c r="X393" s="62"/>
      <c r="Y393" s="62"/>
      <c r="Z393" s="62"/>
      <c r="AA393" s="62"/>
      <c r="AB393" s="62"/>
      <c r="AC393" s="62"/>
      <c r="AD393" s="62"/>
      <c r="AE393" s="62"/>
      <c r="AF393" s="62"/>
      <c r="AG393" s="62"/>
      <c r="AH393" s="62"/>
    </row>
    <row r="394" spans="1:34" x14ac:dyDescent="0.3">
      <c r="A394" s="62"/>
      <c r="B394" s="62"/>
      <c r="C394" s="62"/>
      <c r="D394" s="171"/>
      <c r="E394" s="171"/>
      <c r="F394" s="171"/>
      <c r="G394" s="171"/>
      <c r="H394" s="171"/>
      <c r="I394" s="171"/>
      <c r="J394" s="171"/>
      <c r="K394" s="171"/>
      <c r="L394" s="171"/>
      <c r="M394" s="171"/>
      <c r="N394" s="62"/>
      <c r="O394" s="62"/>
      <c r="P394" s="62"/>
      <c r="Q394" s="62"/>
      <c r="R394" s="62"/>
      <c r="S394" s="62"/>
      <c r="T394" s="62"/>
      <c r="U394" s="62"/>
      <c r="V394" s="62"/>
      <c r="W394" s="62"/>
      <c r="X394" s="62"/>
      <c r="Y394" s="62"/>
      <c r="Z394" s="62"/>
      <c r="AA394" s="62"/>
      <c r="AB394" s="62"/>
      <c r="AC394" s="62"/>
      <c r="AD394" s="62"/>
      <c r="AE394" s="62"/>
      <c r="AF394" s="62"/>
      <c r="AG394" s="62"/>
      <c r="AH394" s="62"/>
    </row>
    <row r="395" spans="1:34" x14ac:dyDescent="0.3">
      <c r="A395" s="62"/>
      <c r="B395" s="62"/>
      <c r="C395" s="62"/>
      <c r="D395" s="171"/>
      <c r="E395" s="171"/>
      <c r="F395" s="171"/>
      <c r="G395" s="171"/>
      <c r="H395" s="171"/>
      <c r="I395" s="171"/>
      <c r="J395" s="171"/>
      <c r="K395" s="171"/>
      <c r="L395" s="171"/>
      <c r="M395" s="171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</row>
    <row r="396" spans="1:34" x14ac:dyDescent="0.3">
      <c r="A396" s="62"/>
      <c r="B396" s="62"/>
      <c r="C396" s="62"/>
      <c r="D396" s="171"/>
      <c r="E396" s="171"/>
      <c r="F396" s="171"/>
      <c r="G396" s="171"/>
      <c r="H396" s="171"/>
      <c r="I396" s="171"/>
      <c r="J396" s="171"/>
      <c r="K396" s="171"/>
      <c r="L396" s="171"/>
      <c r="M396" s="171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</row>
    <row r="397" spans="1:34" x14ac:dyDescent="0.3">
      <c r="A397" s="62"/>
      <c r="B397" s="62"/>
      <c r="C397" s="62"/>
      <c r="D397" s="171"/>
      <c r="E397" s="171"/>
      <c r="F397" s="171"/>
      <c r="G397" s="171"/>
      <c r="H397" s="171"/>
      <c r="I397" s="171"/>
      <c r="J397" s="171"/>
      <c r="K397" s="171"/>
      <c r="L397" s="171"/>
      <c r="M397" s="171"/>
      <c r="N397" s="62"/>
      <c r="O397" s="62"/>
      <c r="P397" s="62"/>
      <c r="Q397" s="62"/>
      <c r="R397" s="62"/>
      <c r="S397" s="62"/>
      <c r="T397" s="62"/>
      <c r="U397" s="62"/>
      <c r="V397" s="62"/>
      <c r="W397" s="62"/>
      <c r="X397" s="62"/>
      <c r="Y397" s="62"/>
      <c r="Z397" s="62"/>
      <c r="AA397" s="62"/>
      <c r="AB397" s="62"/>
      <c r="AC397" s="62"/>
      <c r="AD397" s="62"/>
      <c r="AE397" s="62"/>
      <c r="AF397" s="62"/>
      <c r="AG397" s="62"/>
      <c r="AH397" s="62"/>
    </row>
    <row r="398" spans="1:34" x14ac:dyDescent="0.3">
      <c r="A398" s="62"/>
      <c r="B398" s="62"/>
      <c r="C398" s="62"/>
      <c r="D398" s="171"/>
      <c r="E398" s="171"/>
      <c r="F398" s="171"/>
      <c r="G398" s="171"/>
      <c r="H398" s="171"/>
      <c r="I398" s="171"/>
      <c r="J398" s="171"/>
      <c r="K398" s="171"/>
      <c r="L398" s="171"/>
      <c r="M398" s="171"/>
      <c r="N398" s="62"/>
      <c r="O398" s="62"/>
      <c r="P398" s="62"/>
      <c r="Q398" s="62"/>
      <c r="R398" s="62"/>
      <c r="S398" s="62"/>
      <c r="T398" s="62"/>
      <c r="U398" s="62"/>
      <c r="V398" s="62"/>
      <c r="W398" s="62"/>
      <c r="X398" s="62"/>
      <c r="Y398" s="62"/>
      <c r="Z398" s="62"/>
      <c r="AA398" s="62"/>
      <c r="AB398" s="62"/>
      <c r="AC398" s="62"/>
      <c r="AD398" s="62"/>
      <c r="AE398" s="62"/>
      <c r="AF398" s="62"/>
      <c r="AG398" s="62"/>
      <c r="AH398" s="62"/>
    </row>
    <row r="399" spans="1:34" x14ac:dyDescent="0.3">
      <c r="A399" s="62"/>
      <c r="B399" s="62"/>
      <c r="C399" s="62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</row>
    <row r="400" spans="1:34" x14ac:dyDescent="0.3">
      <c r="A400" s="62"/>
      <c r="B400" s="62"/>
      <c r="C400" s="62"/>
      <c r="D400" s="171"/>
      <c r="E400" s="171"/>
      <c r="F400" s="171"/>
      <c r="G400" s="171"/>
      <c r="H400" s="171"/>
      <c r="I400" s="171"/>
      <c r="J400" s="171"/>
      <c r="K400" s="171"/>
      <c r="L400" s="171"/>
      <c r="M400" s="171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</row>
    <row r="401" spans="1:34" x14ac:dyDescent="0.3">
      <c r="A401" s="62"/>
      <c r="B401" s="62"/>
      <c r="C401" s="62"/>
      <c r="D401" s="171"/>
      <c r="E401" s="171"/>
      <c r="F401" s="171"/>
      <c r="G401" s="171"/>
      <c r="H401" s="171"/>
      <c r="I401" s="171"/>
      <c r="J401" s="171"/>
      <c r="K401" s="171"/>
      <c r="L401" s="171"/>
      <c r="M401" s="171"/>
      <c r="N401" s="62"/>
      <c r="O401" s="62"/>
      <c r="P401" s="62"/>
      <c r="Q401" s="62"/>
      <c r="R401" s="62"/>
      <c r="S401" s="62"/>
      <c r="T401" s="62"/>
      <c r="U401" s="62"/>
      <c r="V401" s="62"/>
      <c r="W401" s="62"/>
      <c r="X401" s="62"/>
      <c r="Y401" s="62"/>
      <c r="Z401" s="62"/>
      <c r="AA401" s="62"/>
      <c r="AB401" s="62"/>
      <c r="AC401" s="62"/>
      <c r="AD401" s="62"/>
      <c r="AE401" s="62"/>
      <c r="AF401" s="62"/>
      <c r="AG401" s="62"/>
      <c r="AH401" s="62"/>
    </row>
    <row r="402" spans="1:34" x14ac:dyDescent="0.3">
      <c r="A402" s="62"/>
      <c r="B402" s="62"/>
      <c r="C402" s="62"/>
      <c r="D402" s="171"/>
      <c r="E402" s="171"/>
      <c r="F402" s="171"/>
      <c r="G402" s="171"/>
      <c r="H402" s="171"/>
      <c r="I402" s="171"/>
      <c r="J402" s="171"/>
      <c r="K402" s="171"/>
      <c r="L402" s="171"/>
      <c r="M402" s="171"/>
      <c r="N402" s="62"/>
      <c r="O402" s="62"/>
      <c r="P402" s="62"/>
      <c r="Q402" s="62"/>
      <c r="R402" s="62"/>
      <c r="S402" s="62"/>
      <c r="T402" s="62"/>
      <c r="U402" s="62"/>
      <c r="V402" s="62"/>
      <c r="W402" s="62"/>
      <c r="X402" s="62"/>
      <c r="Y402" s="62"/>
      <c r="Z402" s="62"/>
      <c r="AA402" s="62"/>
      <c r="AB402" s="62"/>
      <c r="AC402" s="62"/>
      <c r="AD402" s="62"/>
      <c r="AE402" s="62"/>
      <c r="AF402" s="62"/>
      <c r="AG402" s="62"/>
      <c r="AH402" s="62"/>
    </row>
    <row r="403" spans="1:34" x14ac:dyDescent="0.3">
      <c r="A403" s="62"/>
      <c r="B403" s="62"/>
      <c r="C403" s="62"/>
      <c r="D403" s="171"/>
      <c r="E403" s="171"/>
      <c r="F403" s="171"/>
      <c r="G403" s="171"/>
      <c r="H403" s="171"/>
      <c r="I403" s="171"/>
      <c r="J403" s="171"/>
      <c r="K403" s="171"/>
      <c r="L403" s="171"/>
      <c r="M403" s="171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</row>
    <row r="404" spans="1:34" x14ac:dyDescent="0.3">
      <c r="A404" s="62"/>
      <c r="B404" s="62"/>
      <c r="C404" s="62"/>
      <c r="D404" s="171"/>
      <c r="E404" s="171"/>
      <c r="F404" s="171"/>
      <c r="G404" s="171"/>
      <c r="H404" s="171"/>
      <c r="I404" s="171"/>
      <c r="J404" s="171"/>
      <c r="K404" s="171"/>
      <c r="L404" s="171"/>
      <c r="M404" s="171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</row>
    <row r="405" spans="1:34" x14ac:dyDescent="0.3">
      <c r="A405" s="62"/>
      <c r="B405" s="62"/>
      <c r="C405" s="62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62"/>
      <c r="O405" s="62"/>
      <c r="P405" s="62"/>
      <c r="Q405" s="62"/>
      <c r="R405" s="62"/>
      <c r="S405" s="62"/>
      <c r="T405" s="62"/>
      <c r="U405" s="62"/>
      <c r="V405" s="62"/>
      <c r="W405" s="62"/>
      <c r="X405" s="62"/>
      <c r="Y405" s="62"/>
      <c r="Z405" s="62"/>
      <c r="AA405" s="62"/>
      <c r="AB405" s="62"/>
      <c r="AC405" s="62"/>
      <c r="AD405" s="62"/>
      <c r="AE405" s="62"/>
      <c r="AF405" s="62"/>
      <c r="AG405" s="62"/>
      <c r="AH405" s="62"/>
    </row>
    <row r="406" spans="1:34" x14ac:dyDescent="0.3">
      <c r="A406" s="62"/>
      <c r="B406" s="62"/>
      <c r="C406" s="62"/>
      <c r="D406" s="171"/>
      <c r="E406" s="171"/>
      <c r="F406" s="171"/>
      <c r="G406" s="171"/>
      <c r="H406" s="171"/>
      <c r="I406" s="171"/>
      <c r="J406" s="171"/>
      <c r="K406" s="171"/>
      <c r="L406" s="171"/>
      <c r="M406" s="171"/>
      <c r="N406" s="62"/>
      <c r="O406" s="62"/>
      <c r="P406" s="62"/>
      <c r="Q406" s="62"/>
      <c r="R406" s="62"/>
      <c r="S406" s="62"/>
      <c r="T406" s="62"/>
      <c r="U406" s="62"/>
      <c r="V406" s="62"/>
      <c r="W406" s="62"/>
      <c r="X406" s="62"/>
      <c r="Y406" s="62"/>
      <c r="Z406" s="62"/>
      <c r="AA406" s="62"/>
      <c r="AB406" s="62"/>
      <c r="AC406" s="62"/>
      <c r="AD406" s="62"/>
      <c r="AE406" s="62"/>
      <c r="AF406" s="62"/>
      <c r="AG406" s="62"/>
      <c r="AH406" s="62"/>
    </row>
    <row r="407" spans="1:34" x14ac:dyDescent="0.3">
      <c r="A407" s="62"/>
      <c r="B407" s="62"/>
      <c r="C407" s="62"/>
      <c r="D407" s="171"/>
      <c r="E407" s="171"/>
      <c r="F407" s="171"/>
      <c r="G407" s="171"/>
      <c r="H407" s="171"/>
      <c r="I407" s="171"/>
      <c r="J407" s="171"/>
      <c r="K407" s="171"/>
      <c r="L407" s="171"/>
      <c r="M407" s="171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</row>
    <row r="408" spans="1:34" x14ac:dyDescent="0.3">
      <c r="A408" s="62"/>
      <c r="B408" s="62"/>
      <c r="C408" s="62"/>
      <c r="D408" s="171"/>
      <c r="E408" s="171"/>
      <c r="F408" s="171"/>
      <c r="G408" s="171"/>
      <c r="H408" s="171"/>
      <c r="I408" s="171"/>
      <c r="J408" s="171"/>
      <c r="K408" s="171"/>
      <c r="L408" s="171"/>
      <c r="M408" s="171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</row>
    <row r="409" spans="1:34" x14ac:dyDescent="0.3">
      <c r="A409" s="62"/>
      <c r="B409" s="62"/>
      <c r="C409" s="62"/>
      <c r="D409" s="171"/>
      <c r="E409" s="171"/>
      <c r="F409" s="171"/>
      <c r="G409" s="171"/>
      <c r="H409" s="171"/>
      <c r="I409" s="171"/>
      <c r="J409" s="171"/>
      <c r="K409" s="171"/>
      <c r="L409" s="171"/>
      <c r="M409" s="171"/>
      <c r="N409" s="62"/>
      <c r="O409" s="62"/>
      <c r="P409" s="62"/>
      <c r="Q409" s="62"/>
      <c r="R409" s="62"/>
      <c r="S409" s="62"/>
      <c r="T409" s="62"/>
      <c r="U409" s="62"/>
      <c r="V409" s="62"/>
      <c r="W409" s="62"/>
      <c r="X409" s="62"/>
      <c r="Y409" s="62"/>
      <c r="Z409" s="62"/>
      <c r="AA409" s="62"/>
      <c r="AB409" s="62"/>
      <c r="AC409" s="62"/>
      <c r="AD409" s="62"/>
      <c r="AE409" s="62"/>
      <c r="AF409" s="62"/>
      <c r="AG409" s="62"/>
      <c r="AH409" s="62"/>
    </row>
    <row r="410" spans="1:34" x14ac:dyDescent="0.3">
      <c r="A410" s="62"/>
      <c r="B410" s="62"/>
      <c r="C410" s="62"/>
      <c r="D410" s="171"/>
      <c r="E410" s="171"/>
      <c r="F410" s="171"/>
      <c r="G410" s="171"/>
      <c r="H410" s="171"/>
      <c r="I410" s="171"/>
      <c r="J410" s="171"/>
      <c r="K410" s="171"/>
      <c r="L410" s="171"/>
      <c r="M410" s="171"/>
      <c r="N410" s="62"/>
      <c r="O410" s="62"/>
      <c r="P410" s="62"/>
      <c r="Q410" s="62"/>
      <c r="R410" s="62"/>
      <c r="S410" s="62"/>
      <c r="T410" s="62"/>
      <c r="U410" s="62"/>
      <c r="V410" s="62"/>
      <c r="W410" s="62"/>
      <c r="X410" s="62"/>
      <c r="Y410" s="62"/>
      <c r="Z410" s="62"/>
      <c r="AA410" s="62"/>
      <c r="AB410" s="62"/>
      <c r="AC410" s="62"/>
      <c r="AD410" s="62"/>
      <c r="AE410" s="62"/>
      <c r="AF410" s="62"/>
      <c r="AG410" s="62"/>
      <c r="AH410" s="62"/>
    </row>
    <row r="411" spans="1:34" x14ac:dyDescent="0.3">
      <c r="A411" s="62"/>
      <c r="B411" s="62"/>
      <c r="C411" s="62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</row>
    <row r="412" spans="1:34" x14ac:dyDescent="0.3">
      <c r="A412" s="62"/>
      <c r="B412" s="62"/>
      <c r="C412" s="62"/>
      <c r="D412" s="171"/>
      <c r="E412" s="171"/>
      <c r="F412" s="171"/>
      <c r="G412" s="171"/>
      <c r="H412" s="171"/>
      <c r="I412" s="171"/>
      <c r="J412" s="171"/>
      <c r="K412" s="171"/>
      <c r="L412" s="171"/>
      <c r="M412" s="171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</row>
    <row r="413" spans="1:34" x14ac:dyDescent="0.3">
      <c r="A413" s="62"/>
      <c r="B413" s="62"/>
      <c r="C413" s="62"/>
      <c r="D413" s="171"/>
      <c r="E413" s="171"/>
      <c r="F413" s="171"/>
      <c r="G413" s="171"/>
      <c r="H413" s="171"/>
      <c r="I413" s="171"/>
      <c r="J413" s="171"/>
      <c r="K413" s="171"/>
      <c r="L413" s="171"/>
      <c r="M413" s="171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</row>
    <row r="414" spans="1:34" x14ac:dyDescent="0.3">
      <c r="A414" s="62"/>
      <c r="B414" s="62"/>
      <c r="C414" s="62"/>
      <c r="D414" s="171"/>
      <c r="E414" s="171"/>
      <c r="F414" s="171"/>
      <c r="G414" s="171"/>
      <c r="H414" s="171"/>
      <c r="I414" s="171"/>
      <c r="J414" s="171"/>
      <c r="K414" s="171"/>
      <c r="L414" s="171"/>
      <c r="M414" s="171"/>
      <c r="N414" s="62"/>
      <c r="O414" s="62"/>
      <c r="P414" s="62"/>
      <c r="Q414" s="62"/>
      <c r="R414" s="62"/>
      <c r="S414" s="62"/>
      <c r="T414" s="62"/>
      <c r="U414" s="62"/>
      <c r="V414" s="62"/>
      <c r="W414" s="62"/>
      <c r="X414" s="62"/>
      <c r="Y414" s="62"/>
      <c r="Z414" s="62"/>
      <c r="AA414" s="62"/>
      <c r="AB414" s="62"/>
      <c r="AC414" s="62"/>
      <c r="AD414" s="62"/>
      <c r="AE414" s="62"/>
      <c r="AF414" s="62"/>
      <c r="AG414" s="62"/>
      <c r="AH414" s="62"/>
    </row>
    <row r="415" spans="1:34" x14ac:dyDescent="0.3">
      <c r="A415" s="62"/>
      <c r="B415" s="62"/>
      <c r="C415" s="62"/>
      <c r="D415" s="171"/>
      <c r="E415" s="171"/>
      <c r="F415" s="171"/>
      <c r="G415" s="171"/>
      <c r="H415" s="171"/>
      <c r="I415" s="171"/>
      <c r="J415" s="171"/>
      <c r="K415" s="171"/>
      <c r="L415" s="171"/>
      <c r="M415" s="171"/>
      <c r="N415" s="62"/>
      <c r="O415" s="62"/>
      <c r="P415" s="62"/>
      <c r="Q415" s="62"/>
      <c r="R415" s="62"/>
      <c r="S415" s="62"/>
      <c r="T415" s="62"/>
      <c r="U415" s="62"/>
      <c r="V415" s="62"/>
      <c r="W415" s="62"/>
      <c r="X415" s="62"/>
      <c r="Y415" s="62"/>
      <c r="Z415" s="62"/>
      <c r="AA415" s="62"/>
      <c r="AB415" s="62"/>
      <c r="AC415" s="62"/>
      <c r="AD415" s="62"/>
      <c r="AE415" s="62"/>
      <c r="AF415" s="62"/>
      <c r="AG415" s="62"/>
      <c r="AH415" s="62"/>
    </row>
    <row r="416" spans="1:34" x14ac:dyDescent="0.3">
      <c r="A416" s="62"/>
      <c r="B416" s="62"/>
      <c r="C416" s="62"/>
      <c r="D416" s="171"/>
      <c r="E416" s="171"/>
      <c r="F416" s="171"/>
      <c r="G416" s="171"/>
      <c r="H416" s="171"/>
      <c r="I416" s="171"/>
      <c r="J416" s="171"/>
      <c r="K416" s="171"/>
      <c r="L416" s="171"/>
      <c r="M416" s="171"/>
      <c r="N416" s="62"/>
      <c r="O416" s="62"/>
      <c r="P416" s="62"/>
      <c r="Q416" s="62"/>
      <c r="R416" s="62"/>
      <c r="S416" s="62"/>
      <c r="T416" s="62"/>
      <c r="U416" s="62"/>
      <c r="V416" s="62"/>
      <c r="W416" s="62"/>
      <c r="X416" s="62"/>
      <c r="Y416" s="62"/>
      <c r="Z416" s="62"/>
      <c r="AA416" s="62"/>
      <c r="AB416" s="62"/>
      <c r="AC416" s="62"/>
      <c r="AD416" s="62"/>
      <c r="AE416" s="62"/>
      <c r="AF416" s="62"/>
      <c r="AG416" s="62"/>
      <c r="AH416" s="62"/>
    </row>
    <row r="417" spans="1:34" x14ac:dyDescent="0.3">
      <c r="A417" s="62"/>
      <c r="B417" s="62"/>
      <c r="C417" s="62"/>
      <c r="D417" s="171"/>
      <c r="E417" s="171"/>
      <c r="F417" s="171"/>
      <c r="G417" s="171"/>
      <c r="H417" s="171"/>
      <c r="I417" s="171"/>
      <c r="J417" s="171"/>
      <c r="K417" s="171"/>
      <c r="L417" s="171"/>
      <c r="M417" s="171"/>
      <c r="N417" s="62"/>
      <c r="O417" s="62"/>
      <c r="P417" s="62"/>
      <c r="Q417" s="62"/>
      <c r="R417" s="62"/>
      <c r="S417" s="62"/>
      <c r="T417" s="62"/>
      <c r="U417" s="62"/>
      <c r="V417" s="62"/>
      <c r="W417" s="62"/>
      <c r="X417" s="62"/>
      <c r="Y417" s="62"/>
      <c r="Z417" s="62"/>
      <c r="AA417" s="62"/>
      <c r="AB417" s="62"/>
      <c r="AC417" s="62"/>
      <c r="AD417" s="62"/>
      <c r="AE417" s="62"/>
      <c r="AF417" s="62"/>
      <c r="AG417" s="62"/>
      <c r="AH417" s="62"/>
    </row>
    <row r="418" spans="1:34" x14ac:dyDescent="0.3">
      <c r="A418" s="62"/>
      <c r="B418" s="62"/>
      <c r="C418" s="62"/>
      <c r="D418" s="171"/>
      <c r="E418" s="171"/>
      <c r="F418" s="171"/>
      <c r="G418" s="171"/>
      <c r="H418" s="171"/>
      <c r="I418" s="171"/>
      <c r="J418" s="171"/>
      <c r="K418" s="171"/>
      <c r="L418" s="171"/>
      <c r="M418" s="171"/>
      <c r="N418" s="62"/>
      <c r="O418" s="62"/>
      <c r="P418" s="62"/>
      <c r="Q418" s="62"/>
      <c r="R418" s="62"/>
      <c r="S418" s="62"/>
      <c r="T418" s="62"/>
      <c r="U418" s="62"/>
      <c r="V418" s="62"/>
      <c r="W418" s="62"/>
      <c r="X418" s="62"/>
      <c r="Y418" s="62"/>
      <c r="Z418" s="62"/>
      <c r="AA418" s="62"/>
      <c r="AB418" s="62"/>
      <c r="AC418" s="62"/>
      <c r="AD418" s="62"/>
      <c r="AE418" s="62"/>
      <c r="AF418" s="62"/>
      <c r="AG418" s="62"/>
      <c r="AH418" s="62"/>
    </row>
    <row r="419" spans="1:34" x14ac:dyDescent="0.3">
      <c r="A419" s="62"/>
      <c r="B419" s="62"/>
      <c r="C419" s="62"/>
      <c r="D419" s="171"/>
      <c r="E419" s="171"/>
      <c r="F419" s="171"/>
      <c r="G419" s="171"/>
      <c r="H419" s="171"/>
      <c r="I419" s="171"/>
      <c r="J419" s="171"/>
      <c r="K419" s="171"/>
      <c r="L419" s="171"/>
      <c r="M419" s="171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62"/>
      <c r="Y419" s="62"/>
      <c r="Z419" s="62"/>
      <c r="AA419" s="62"/>
      <c r="AB419" s="62"/>
      <c r="AC419" s="62"/>
      <c r="AD419" s="62"/>
      <c r="AE419" s="62"/>
      <c r="AF419" s="62"/>
      <c r="AG419" s="62"/>
      <c r="AH419" s="62"/>
    </row>
    <row r="420" spans="1:34" x14ac:dyDescent="0.3">
      <c r="A420" s="62"/>
      <c r="B420" s="62"/>
      <c r="C420" s="62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62"/>
      <c r="Z420" s="62"/>
      <c r="AA420" s="62"/>
      <c r="AB420" s="62"/>
      <c r="AC420" s="62"/>
      <c r="AD420" s="62"/>
      <c r="AE420" s="62"/>
      <c r="AF420" s="62"/>
      <c r="AG420" s="62"/>
      <c r="AH420" s="62"/>
    </row>
    <row r="421" spans="1:34" x14ac:dyDescent="0.3">
      <c r="A421" s="62"/>
      <c r="B421" s="62"/>
      <c r="C421" s="62"/>
      <c r="D421" s="171"/>
      <c r="E421" s="171"/>
      <c r="F421" s="171"/>
      <c r="G421" s="171"/>
      <c r="H421" s="171"/>
      <c r="I421" s="171"/>
      <c r="J421" s="171"/>
      <c r="K421" s="171"/>
      <c r="L421" s="171"/>
      <c r="M421" s="171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</row>
    <row r="422" spans="1:34" x14ac:dyDescent="0.3">
      <c r="A422" s="62"/>
      <c r="B422" s="62"/>
      <c r="C422" s="62"/>
      <c r="D422" s="171"/>
      <c r="E422" s="171"/>
      <c r="F422" s="171"/>
      <c r="G422" s="171"/>
      <c r="H422" s="171"/>
      <c r="I422" s="171"/>
      <c r="J422" s="171"/>
      <c r="K422" s="171"/>
      <c r="L422" s="171"/>
      <c r="M422" s="171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</row>
    <row r="423" spans="1:34" x14ac:dyDescent="0.3">
      <c r="A423" s="62"/>
      <c r="B423" s="62"/>
      <c r="C423" s="62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62"/>
      <c r="O423" s="62"/>
      <c r="P423" s="62"/>
      <c r="Q423" s="62"/>
      <c r="R423" s="62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2"/>
      <c r="AD423" s="62"/>
      <c r="AE423" s="62"/>
      <c r="AF423" s="62"/>
      <c r="AG423" s="62"/>
      <c r="AH423" s="62"/>
    </row>
    <row r="424" spans="1:34" x14ac:dyDescent="0.3">
      <c r="A424" s="62"/>
      <c r="B424" s="62"/>
      <c r="C424" s="62"/>
      <c r="D424" s="171"/>
      <c r="E424" s="171"/>
      <c r="F424" s="171"/>
      <c r="G424" s="171"/>
      <c r="H424" s="171"/>
      <c r="I424" s="171"/>
      <c r="J424" s="171"/>
      <c r="K424" s="171"/>
      <c r="L424" s="171"/>
      <c r="M424" s="171"/>
      <c r="N424" s="62"/>
      <c r="O424" s="62"/>
      <c r="P424" s="62"/>
      <c r="Q424" s="62"/>
      <c r="R424" s="62"/>
      <c r="S424" s="62"/>
      <c r="T424" s="62"/>
      <c r="U424" s="62"/>
      <c r="V424" s="62"/>
      <c r="W424" s="62"/>
      <c r="X424" s="62"/>
      <c r="Y424" s="62"/>
      <c r="Z424" s="62"/>
      <c r="AA424" s="62"/>
      <c r="AB424" s="62"/>
      <c r="AC424" s="62"/>
      <c r="AD424" s="62"/>
      <c r="AE424" s="62"/>
      <c r="AF424" s="62"/>
      <c r="AG424" s="62"/>
      <c r="AH424" s="62"/>
    </row>
    <row r="425" spans="1:34" x14ac:dyDescent="0.3">
      <c r="A425" s="62"/>
      <c r="B425" s="62"/>
      <c r="C425" s="62"/>
      <c r="D425" s="171"/>
      <c r="E425" s="171"/>
      <c r="F425" s="171"/>
      <c r="G425" s="171"/>
      <c r="H425" s="171"/>
      <c r="I425" s="171"/>
      <c r="J425" s="171"/>
      <c r="K425" s="171"/>
      <c r="L425" s="171"/>
      <c r="M425" s="171"/>
      <c r="N425" s="62"/>
      <c r="O425" s="62"/>
      <c r="P425" s="62"/>
      <c r="Q425" s="62"/>
      <c r="R425" s="62"/>
      <c r="S425" s="62"/>
      <c r="T425" s="62"/>
      <c r="U425" s="62"/>
      <c r="V425" s="62"/>
      <c r="W425" s="62"/>
      <c r="X425" s="62"/>
      <c r="Y425" s="62"/>
      <c r="Z425" s="62"/>
      <c r="AA425" s="62"/>
      <c r="AB425" s="62"/>
      <c r="AC425" s="62"/>
      <c r="AD425" s="62"/>
      <c r="AE425" s="62"/>
      <c r="AF425" s="62"/>
      <c r="AG425" s="62"/>
      <c r="AH425" s="62"/>
    </row>
    <row r="426" spans="1:34" x14ac:dyDescent="0.3">
      <c r="A426" s="62"/>
      <c r="B426" s="62"/>
      <c r="C426" s="62"/>
      <c r="D426" s="171"/>
      <c r="E426" s="171"/>
      <c r="F426" s="171"/>
      <c r="G426" s="171"/>
      <c r="H426" s="171"/>
      <c r="I426" s="171"/>
      <c r="J426" s="171"/>
      <c r="K426" s="171"/>
      <c r="L426" s="171"/>
      <c r="M426" s="171"/>
      <c r="N426" s="62"/>
      <c r="O426" s="62"/>
      <c r="P426" s="62"/>
      <c r="Q426" s="62"/>
      <c r="R426" s="62"/>
      <c r="S426" s="62"/>
      <c r="T426" s="62"/>
      <c r="U426" s="62"/>
      <c r="V426" s="62"/>
      <c r="W426" s="62"/>
      <c r="X426" s="62"/>
      <c r="Y426" s="62"/>
      <c r="Z426" s="62"/>
      <c r="AA426" s="62"/>
      <c r="AB426" s="62"/>
      <c r="AC426" s="62"/>
      <c r="AD426" s="62"/>
      <c r="AE426" s="62"/>
      <c r="AF426" s="62"/>
      <c r="AG426" s="62"/>
      <c r="AH426" s="62"/>
    </row>
    <row r="427" spans="1:34" x14ac:dyDescent="0.3">
      <c r="A427" s="62"/>
      <c r="B427" s="62"/>
      <c r="C427" s="62"/>
      <c r="D427" s="171"/>
      <c r="E427" s="171"/>
      <c r="F427" s="171"/>
      <c r="G427" s="171"/>
      <c r="H427" s="171"/>
      <c r="I427" s="171"/>
      <c r="J427" s="171"/>
      <c r="K427" s="171"/>
      <c r="L427" s="171"/>
      <c r="M427" s="171"/>
      <c r="N427" s="62"/>
      <c r="O427" s="62"/>
      <c r="P427" s="62"/>
      <c r="Q427" s="62"/>
      <c r="R427" s="62"/>
      <c r="S427" s="62"/>
      <c r="T427" s="62"/>
      <c r="U427" s="62"/>
      <c r="V427" s="62"/>
      <c r="W427" s="62"/>
      <c r="X427" s="62"/>
      <c r="Y427" s="62"/>
      <c r="Z427" s="62"/>
      <c r="AA427" s="62"/>
      <c r="AB427" s="62"/>
      <c r="AC427" s="62"/>
      <c r="AD427" s="62"/>
      <c r="AE427" s="62"/>
      <c r="AF427" s="62"/>
      <c r="AG427" s="62"/>
      <c r="AH427" s="62"/>
    </row>
    <row r="428" spans="1:34" x14ac:dyDescent="0.3">
      <c r="A428" s="62"/>
      <c r="B428" s="62"/>
      <c r="C428" s="62"/>
      <c r="D428" s="171"/>
      <c r="E428" s="171"/>
      <c r="F428" s="171"/>
      <c r="G428" s="171"/>
      <c r="H428" s="171"/>
      <c r="I428" s="171"/>
      <c r="J428" s="171"/>
      <c r="K428" s="171"/>
      <c r="L428" s="171"/>
      <c r="M428" s="171"/>
      <c r="N428" s="62"/>
      <c r="O428" s="62"/>
      <c r="P428" s="62"/>
      <c r="Q428" s="62"/>
      <c r="R428" s="62"/>
      <c r="S428" s="62"/>
      <c r="T428" s="62"/>
      <c r="U428" s="62"/>
      <c r="V428" s="62"/>
      <c r="W428" s="62"/>
      <c r="X428" s="62"/>
      <c r="Y428" s="62"/>
      <c r="Z428" s="62"/>
      <c r="AA428" s="62"/>
      <c r="AB428" s="62"/>
      <c r="AC428" s="62"/>
      <c r="AD428" s="62"/>
      <c r="AE428" s="62"/>
      <c r="AF428" s="62"/>
      <c r="AG428" s="62"/>
      <c r="AH428" s="62"/>
    </row>
    <row r="429" spans="1:34" x14ac:dyDescent="0.3">
      <c r="A429" s="62"/>
      <c r="B429" s="62"/>
      <c r="C429" s="62"/>
      <c r="D429" s="171"/>
      <c r="E429" s="171"/>
      <c r="F429" s="171"/>
      <c r="G429" s="171"/>
      <c r="H429" s="171"/>
      <c r="I429" s="171"/>
      <c r="J429" s="171"/>
      <c r="K429" s="171"/>
      <c r="L429" s="171"/>
      <c r="M429" s="171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</row>
    <row r="430" spans="1:34" x14ac:dyDescent="0.3">
      <c r="A430" s="62"/>
      <c r="B430" s="62"/>
      <c r="C430" s="62"/>
      <c r="D430" s="171"/>
      <c r="E430" s="171"/>
      <c r="F430" s="171"/>
      <c r="G430" s="171"/>
      <c r="H430" s="171"/>
      <c r="I430" s="171"/>
      <c r="J430" s="171"/>
      <c r="K430" s="171"/>
      <c r="L430" s="171"/>
      <c r="M430" s="171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</row>
    <row r="431" spans="1:34" x14ac:dyDescent="0.3">
      <c r="A431" s="62"/>
      <c r="B431" s="62"/>
      <c r="C431" s="62"/>
      <c r="D431" s="171"/>
      <c r="E431" s="171"/>
      <c r="F431" s="171"/>
      <c r="G431" s="171"/>
      <c r="H431" s="171"/>
      <c r="I431" s="171"/>
      <c r="J431" s="171"/>
      <c r="K431" s="171"/>
      <c r="L431" s="171"/>
      <c r="M431" s="171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</row>
    <row r="432" spans="1:34" x14ac:dyDescent="0.3">
      <c r="A432" s="62"/>
      <c r="B432" s="62"/>
      <c r="C432" s="62"/>
      <c r="D432" s="171"/>
      <c r="E432" s="171"/>
      <c r="F432" s="171"/>
      <c r="G432" s="171"/>
      <c r="H432" s="171"/>
      <c r="I432" s="171"/>
      <c r="J432" s="171"/>
      <c r="K432" s="171"/>
      <c r="L432" s="171"/>
      <c r="M432" s="171"/>
      <c r="N432" s="62"/>
      <c r="O432" s="62"/>
      <c r="P432" s="62"/>
      <c r="Q432" s="62"/>
      <c r="R432" s="62"/>
      <c r="S432" s="62"/>
      <c r="T432" s="62"/>
      <c r="U432" s="62"/>
      <c r="V432" s="62"/>
      <c r="W432" s="62"/>
      <c r="X432" s="62"/>
      <c r="Y432" s="62"/>
      <c r="Z432" s="62"/>
      <c r="AA432" s="62"/>
      <c r="AB432" s="62"/>
      <c r="AC432" s="62"/>
      <c r="AD432" s="62"/>
      <c r="AE432" s="62"/>
      <c r="AF432" s="62"/>
      <c r="AG432" s="62"/>
      <c r="AH432" s="62"/>
    </row>
    <row r="433" spans="1:34" x14ac:dyDescent="0.3">
      <c r="A433" s="62"/>
      <c r="B433" s="62"/>
      <c r="C433" s="62"/>
      <c r="D433" s="171"/>
      <c r="E433" s="171"/>
      <c r="F433" s="171"/>
      <c r="G433" s="171"/>
      <c r="H433" s="171"/>
      <c r="I433" s="171"/>
      <c r="J433" s="171"/>
      <c r="K433" s="171"/>
      <c r="L433" s="171"/>
      <c r="M433" s="171"/>
      <c r="N433" s="62"/>
      <c r="O433" s="62"/>
      <c r="P433" s="62"/>
      <c r="Q433" s="62"/>
      <c r="R433" s="62"/>
      <c r="S433" s="62"/>
      <c r="T433" s="62"/>
      <c r="U433" s="62"/>
      <c r="V433" s="62"/>
      <c r="W433" s="62"/>
      <c r="X433" s="62"/>
      <c r="Y433" s="62"/>
      <c r="Z433" s="62"/>
      <c r="AA433" s="62"/>
      <c r="AB433" s="62"/>
      <c r="AC433" s="62"/>
      <c r="AD433" s="62"/>
      <c r="AE433" s="62"/>
      <c r="AF433" s="62"/>
      <c r="AG433" s="62"/>
      <c r="AH433" s="62"/>
    </row>
    <row r="434" spans="1:34" x14ac:dyDescent="0.3">
      <c r="A434" s="62"/>
      <c r="B434" s="62"/>
      <c r="C434" s="62"/>
      <c r="D434" s="171"/>
      <c r="E434" s="171"/>
      <c r="F434" s="171"/>
      <c r="G434" s="171"/>
      <c r="H434" s="171"/>
      <c r="I434" s="171"/>
      <c r="J434" s="171"/>
      <c r="K434" s="171"/>
      <c r="L434" s="171"/>
      <c r="M434" s="171"/>
      <c r="N434" s="62"/>
      <c r="O434" s="62"/>
      <c r="P434" s="62"/>
      <c r="Q434" s="62"/>
      <c r="R434" s="62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2"/>
      <c r="AD434" s="62"/>
      <c r="AE434" s="62"/>
      <c r="AF434" s="62"/>
      <c r="AG434" s="62"/>
      <c r="AH434" s="62"/>
    </row>
    <row r="435" spans="1:34" x14ac:dyDescent="0.3">
      <c r="A435" s="62"/>
      <c r="B435" s="62"/>
      <c r="C435" s="62"/>
      <c r="D435" s="171"/>
      <c r="E435" s="171"/>
      <c r="F435" s="171"/>
      <c r="G435" s="171"/>
      <c r="H435" s="171"/>
      <c r="I435" s="171"/>
      <c r="J435" s="171"/>
      <c r="K435" s="171"/>
      <c r="L435" s="171"/>
      <c r="M435" s="171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</row>
    <row r="436" spans="1:34" x14ac:dyDescent="0.3">
      <c r="A436" s="62"/>
      <c r="B436" s="62"/>
      <c r="C436" s="62"/>
      <c r="D436" s="171"/>
      <c r="E436" s="171"/>
      <c r="F436" s="171"/>
      <c r="G436" s="171"/>
      <c r="H436" s="171"/>
      <c r="I436" s="171"/>
      <c r="J436" s="171"/>
      <c r="K436" s="171"/>
      <c r="L436" s="171"/>
      <c r="M436" s="171"/>
      <c r="N436" s="62"/>
      <c r="O436" s="62"/>
      <c r="P436" s="62"/>
      <c r="Q436" s="62"/>
      <c r="R436" s="62"/>
      <c r="S436" s="62"/>
      <c r="T436" s="62"/>
      <c r="U436" s="62"/>
      <c r="V436" s="62"/>
      <c r="W436" s="62"/>
      <c r="X436" s="62"/>
      <c r="Y436" s="62"/>
      <c r="Z436" s="62"/>
      <c r="AA436" s="62"/>
      <c r="AB436" s="62"/>
      <c r="AC436" s="62"/>
      <c r="AD436" s="62"/>
      <c r="AE436" s="62"/>
      <c r="AF436" s="62"/>
      <c r="AG436" s="62"/>
      <c r="AH436" s="62"/>
    </row>
    <row r="437" spans="1:34" x14ac:dyDescent="0.3">
      <c r="A437" s="62"/>
      <c r="B437" s="62"/>
      <c r="C437" s="62"/>
      <c r="D437" s="171"/>
      <c r="E437" s="171"/>
      <c r="F437" s="171"/>
      <c r="G437" s="171"/>
      <c r="H437" s="171"/>
      <c r="I437" s="171"/>
      <c r="J437" s="171"/>
      <c r="K437" s="171"/>
      <c r="L437" s="171"/>
      <c r="M437" s="171"/>
      <c r="N437" s="62"/>
      <c r="O437" s="62"/>
      <c r="P437" s="62"/>
      <c r="Q437" s="62"/>
      <c r="R437" s="62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2"/>
      <c r="AD437" s="62"/>
      <c r="AE437" s="62"/>
      <c r="AF437" s="62"/>
      <c r="AG437" s="62"/>
      <c r="AH437" s="62"/>
    </row>
    <row r="438" spans="1:34" x14ac:dyDescent="0.3">
      <c r="A438" s="62"/>
      <c r="B438" s="62"/>
      <c r="C438" s="62"/>
      <c r="D438" s="171"/>
      <c r="E438" s="171"/>
      <c r="F438" s="171"/>
      <c r="G438" s="171"/>
      <c r="H438" s="171"/>
      <c r="I438" s="171"/>
      <c r="J438" s="171"/>
      <c r="K438" s="171"/>
      <c r="L438" s="171"/>
      <c r="M438" s="171"/>
      <c r="N438" s="62"/>
      <c r="O438" s="62"/>
      <c r="P438" s="62"/>
      <c r="Q438" s="62"/>
      <c r="R438" s="62"/>
      <c r="S438" s="62"/>
      <c r="T438" s="62"/>
      <c r="U438" s="62"/>
      <c r="V438" s="62"/>
      <c r="W438" s="62"/>
      <c r="X438" s="62"/>
      <c r="Y438" s="62"/>
      <c r="Z438" s="62"/>
      <c r="AA438" s="62"/>
      <c r="AB438" s="62"/>
      <c r="AC438" s="62"/>
      <c r="AD438" s="62"/>
      <c r="AE438" s="62"/>
      <c r="AF438" s="62"/>
      <c r="AG438" s="62"/>
      <c r="AH438" s="62"/>
    </row>
    <row r="439" spans="1:34" x14ac:dyDescent="0.3">
      <c r="A439" s="62"/>
      <c r="B439" s="62"/>
      <c r="C439" s="62"/>
      <c r="D439" s="171"/>
      <c r="E439" s="171"/>
      <c r="F439" s="171"/>
      <c r="G439" s="171"/>
      <c r="H439" s="171"/>
      <c r="I439" s="171"/>
      <c r="J439" s="171"/>
      <c r="K439" s="171"/>
      <c r="L439" s="171"/>
      <c r="M439" s="171"/>
      <c r="N439" s="62"/>
      <c r="O439" s="62"/>
      <c r="P439" s="62"/>
      <c r="Q439" s="62"/>
      <c r="R439" s="62"/>
      <c r="S439" s="62"/>
      <c r="T439" s="62"/>
      <c r="U439" s="62"/>
      <c r="V439" s="62"/>
      <c r="W439" s="62"/>
      <c r="X439" s="62"/>
      <c r="Y439" s="62"/>
      <c r="Z439" s="62"/>
      <c r="AA439" s="62"/>
      <c r="AB439" s="62"/>
      <c r="AC439" s="62"/>
      <c r="AD439" s="62"/>
      <c r="AE439" s="62"/>
      <c r="AF439" s="62"/>
      <c r="AG439" s="62"/>
      <c r="AH439" s="62"/>
    </row>
    <row r="440" spans="1:34" x14ac:dyDescent="0.3">
      <c r="A440" s="62"/>
      <c r="B440" s="62"/>
      <c r="C440" s="62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62"/>
      <c r="O440" s="62"/>
      <c r="P440" s="62"/>
      <c r="Q440" s="62"/>
      <c r="R440" s="62"/>
      <c r="S440" s="62"/>
      <c r="T440" s="62"/>
      <c r="U440" s="62"/>
      <c r="V440" s="62"/>
      <c r="W440" s="62"/>
      <c r="X440" s="62"/>
      <c r="Y440" s="62"/>
      <c r="Z440" s="62"/>
      <c r="AA440" s="62"/>
      <c r="AB440" s="62"/>
      <c r="AC440" s="62"/>
      <c r="AD440" s="62"/>
      <c r="AE440" s="62"/>
      <c r="AF440" s="62"/>
      <c r="AG440" s="62"/>
      <c r="AH440" s="62"/>
    </row>
    <row r="441" spans="1:34" x14ac:dyDescent="0.3">
      <c r="A441" s="62"/>
      <c r="B441" s="62"/>
      <c r="C441" s="62"/>
      <c r="D441" s="171"/>
      <c r="E441" s="171"/>
      <c r="F441" s="171"/>
      <c r="G441" s="171"/>
      <c r="H441" s="171"/>
      <c r="I441" s="171"/>
      <c r="J441" s="171"/>
      <c r="K441" s="171"/>
      <c r="L441" s="171"/>
      <c r="M441" s="171"/>
      <c r="N441" s="62"/>
      <c r="O441" s="62"/>
      <c r="P441" s="62"/>
      <c r="Q441" s="62"/>
      <c r="R441" s="62"/>
      <c r="S441" s="62"/>
      <c r="T441" s="62"/>
      <c r="U441" s="62"/>
      <c r="V441" s="62"/>
      <c r="W441" s="62"/>
      <c r="X441" s="62"/>
      <c r="Y441" s="62"/>
      <c r="Z441" s="62"/>
      <c r="AA441" s="62"/>
      <c r="AB441" s="62"/>
      <c r="AC441" s="62"/>
      <c r="AD441" s="62"/>
      <c r="AE441" s="62"/>
      <c r="AF441" s="62"/>
      <c r="AG441" s="62"/>
      <c r="AH441" s="62"/>
    </row>
    <row r="442" spans="1:34" x14ac:dyDescent="0.3">
      <c r="A442" s="62"/>
      <c r="B442" s="62"/>
      <c r="C442" s="62"/>
      <c r="D442" s="171"/>
      <c r="E442" s="171"/>
      <c r="F442" s="171"/>
      <c r="G442" s="171"/>
      <c r="H442" s="171"/>
      <c r="I442" s="171"/>
      <c r="J442" s="171"/>
      <c r="K442" s="171"/>
      <c r="L442" s="171"/>
      <c r="M442" s="171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  <c r="AA442" s="62"/>
      <c r="AB442" s="62"/>
      <c r="AC442" s="62"/>
      <c r="AD442" s="62"/>
      <c r="AE442" s="62"/>
      <c r="AF442" s="62"/>
      <c r="AG442" s="62"/>
      <c r="AH442" s="62"/>
    </row>
    <row r="443" spans="1:34" x14ac:dyDescent="0.3">
      <c r="A443" s="62"/>
      <c r="B443" s="62"/>
      <c r="C443" s="62"/>
      <c r="D443" s="171"/>
      <c r="E443" s="171"/>
      <c r="F443" s="171"/>
      <c r="G443" s="171"/>
      <c r="H443" s="171"/>
      <c r="I443" s="171"/>
      <c r="J443" s="171"/>
      <c r="K443" s="171"/>
      <c r="L443" s="171"/>
      <c r="M443" s="171"/>
      <c r="N443" s="62"/>
      <c r="O443" s="62"/>
      <c r="P443" s="62"/>
      <c r="Q443" s="62"/>
      <c r="R443" s="62"/>
      <c r="S443" s="62"/>
      <c r="T443" s="62"/>
      <c r="U443" s="62"/>
      <c r="V443" s="62"/>
      <c r="W443" s="62"/>
      <c r="X443" s="62"/>
      <c r="Y443" s="62"/>
      <c r="Z443" s="62"/>
      <c r="AA443" s="62"/>
      <c r="AB443" s="62"/>
      <c r="AC443" s="62"/>
      <c r="AD443" s="62"/>
      <c r="AE443" s="62"/>
      <c r="AF443" s="62"/>
      <c r="AG443" s="62"/>
      <c r="AH443" s="62"/>
    </row>
    <row r="444" spans="1:34" x14ac:dyDescent="0.3">
      <c r="A444" s="62"/>
      <c r="B444" s="62"/>
      <c r="C444" s="62"/>
      <c r="D444" s="171"/>
      <c r="E444" s="171"/>
      <c r="F444" s="171"/>
      <c r="G444" s="171"/>
      <c r="H444" s="171"/>
      <c r="I444" s="171"/>
      <c r="J444" s="171"/>
      <c r="K444" s="171"/>
      <c r="L444" s="171"/>
      <c r="M444" s="171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2"/>
      <c r="Z444" s="62"/>
      <c r="AA444" s="62"/>
      <c r="AB444" s="62"/>
      <c r="AC444" s="62"/>
      <c r="AD444" s="62"/>
      <c r="AE444" s="62"/>
      <c r="AF444" s="62"/>
      <c r="AG444" s="62"/>
      <c r="AH444" s="62"/>
    </row>
    <row r="445" spans="1:34" x14ac:dyDescent="0.3">
      <c r="A445" s="62"/>
      <c r="B445" s="62"/>
      <c r="C445" s="62"/>
      <c r="D445" s="171"/>
      <c r="E445" s="171"/>
      <c r="F445" s="171"/>
      <c r="G445" s="171"/>
      <c r="H445" s="171"/>
      <c r="I445" s="171"/>
      <c r="J445" s="171"/>
      <c r="K445" s="171"/>
      <c r="L445" s="171"/>
      <c r="M445" s="171"/>
      <c r="N445" s="62"/>
      <c r="O445" s="62"/>
      <c r="P445" s="62"/>
      <c r="Q445" s="62"/>
      <c r="R445" s="62"/>
      <c r="S445" s="62"/>
      <c r="T445" s="62"/>
      <c r="U445" s="62"/>
      <c r="V445" s="62"/>
      <c r="W445" s="62"/>
      <c r="X445" s="62"/>
      <c r="Y445" s="62"/>
      <c r="Z445" s="62"/>
      <c r="AA445" s="62"/>
      <c r="AB445" s="62"/>
      <c r="AC445" s="62"/>
      <c r="AD445" s="62"/>
      <c r="AE445" s="62"/>
      <c r="AF445" s="62"/>
      <c r="AG445" s="62"/>
      <c r="AH445" s="62"/>
    </row>
    <row r="446" spans="1:34" x14ac:dyDescent="0.3">
      <c r="A446" s="62"/>
      <c r="B446" s="62"/>
      <c r="C446" s="62"/>
      <c r="D446" s="171"/>
      <c r="E446" s="171"/>
      <c r="F446" s="171"/>
      <c r="G446" s="171"/>
      <c r="H446" s="171"/>
      <c r="I446" s="171"/>
      <c r="J446" s="171"/>
      <c r="K446" s="171"/>
      <c r="L446" s="171"/>
      <c r="M446" s="171"/>
      <c r="N446" s="62"/>
      <c r="O446" s="62"/>
      <c r="P446" s="62"/>
      <c r="Q446" s="62"/>
      <c r="R446" s="62"/>
      <c r="S446" s="62"/>
      <c r="T446" s="62"/>
      <c r="U446" s="62"/>
      <c r="V446" s="62"/>
      <c r="W446" s="62"/>
      <c r="X446" s="62"/>
      <c r="Y446" s="62"/>
      <c r="Z446" s="62"/>
      <c r="AA446" s="62"/>
      <c r="AB446" s="62"/>
      <c r="AC446" s="62"/>
      <c r="AD446" s="62"/>
      <c r="AE446" s="62"/>
      <c r="AF446" s="62"/>
      <c r="AG446" s="62"/>
      <c r="AH446" s="62"/>
    </row>
    <row r="447" spans="1:34" x14ac:dyDescent="0.3">
      <c r="A447" s="62"/>
      <c r="B447" s="62"/>
      <c r="C447" s="62"/>
      <c r="D447" s="171"/>
      <c r="E447" s="171"/>
      <c r="F447" s="171"/>
      <c r="G447" s="171"/>
      <c r="H447" s="171"/>
      <c r="I447" s="171"/>
      <c r="J447" s="171"/>
      <c r="K447" s="171"/>
      <c r="L447" s="171"/>
      <c r="M447" s="171"/>
      <c r="N447" s="62"/>
      <c r="O447" s="62"/>
      <c r="P447" s="62"/>
      <c r="Q447" s="62"/>
      <c r="R447" s="62"/>
      <c r="S447" s="62"/>
      <c r="T447" s="62"/>
      <c r="U447" s="62"/>
      <c r="V447" s="62"/>
      <c r="W447" s="62"/>
      <c r="X447" s="62"/>
      <c r="Y447" s="62"/>
      <c r="Z447" s="62"/>
      <c r="AA447" s="62"/>
      <c r="AB447" s="62"/>
      <c r="AC447" s="62"/>
      <c r="AD447" s="62"/>
      <c r="AE447" s="62"/>
      <c r="AF447" s="62"/>
      <c r="AG447" s="62"/>
      <c r="AH447" s="62"/>
    </row>
    <row r="448" spans="1:34" x14ac:dyDescent="0.3">
      <c r="A448" s="62"/>
      <c r="B448" s="62"/>
      <c r="C448" s="62"/>
      <c r="D448" s="171"/>
      <c r="E448" s="171"/>
      <c r="F448" s="171"/>
      <c r="G448" s="171"/>
      <c r="H448" s="171"/>
      <c r="I448" s="171"/>
      <c r="J448" s="171"/>
      <c r="K448" s="171"/>
      <c r="L448" s="171"/>
      <c r="M448" s="171"/>
      <c r="N448" s="62"/>
      <c r="O448" s="62"/>
      <c r="P448" s="62"/>
      <c r="Q448" s="62"/>
      <c r="R448" s="62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2"/>
      <c r="AD448" s="62"/>
      <c r="AE448" s="62"/>
      <c r="AF448" s="62"/>
      <c r="AG448" s="62"/>
      <c r="AH448" s="62"/>
    </row>
    <row r="449" spans="1:34" x14ac:dyDescent="0.3">
      <c r="A449" s="62"/>
      <c r="B449" s="62"/>
      <c r="C449" s="62"/>
      <c r="D449" s="171"/>
      <c r="E449" s="171"/>
      <c r="F449" s="171"/>
      <c r="G449" s="171"/>
      <c r="H449" s="171"/>
      <c r="I449" s="171"/>
      <c r="J449" s="171"/>
      <c r="K449" s="171"/>
      <c r="L449" s="171"/>
      <c r="M449" s="171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</row>
    <row r="450" spans="1:34" x14ac:dyDescent="0.3">
      <c r="A450" s="62"/>
      <c r="B450" s="62"/>
      <c r="C450" s="62"/>
      <c r="D450" s="171"/>
      <c r="E450" s="171"/>
      <c r="F450" s="171"/>
      <c r="G450" s="171"/>
      <c r="H450" s="171"/>
      <c r="I450" s="171"/>
      <c r="J450" s="171"/>
      <c r="K450" s="171"/>
      <c r="L450" s="171"/>
      <c r="M450" s="171"/>
      <c r="N450" s="62"/>
      <c r="O450" s="62"/>
      <c r="P450" s="62"/>
      <c r="Q450" s="62"/>
      <c r="R450" s="62"/>
      <c r="S450" s="62"/>
      <c r="T450" s="62"/>
      <c r="U450" s="62"/>
      <c r="V450" s="62"/>
      <c r="W450" s="62"/>
      <c r="X450" s="62"/>
      <c r="Y450" s="62"/>
      <c r="Z450" s="62"/>
      <c r="AA450" s="62"/>
      <c r="AB450" s="62"/>
      <c r="AC450" s="62"/>
      <c r="AD450" s="62"/>
      <c r="AE450" s="62"/>
      <c r="AF450" s="62"/>
      <c r="AG450" s="62"/>
      <c r="AH450" s="62"/>
    </row>
    <row r="451" spans="1:34" x14ac:dyDescent="0.3">
      <c r="A451" s="62"/>
      <c r="B451" s="62"/>
      <c r="C451" s="62"/>
      <c r="D451" s="171"/>
      <c r="E451" s="171"/>
      <c r="F451" s="171"/>
      <c r="G451" s="171"/>
      <c r="H451" s="171"/>
      <c r="I451" s="171"/>
      <c r="J451" s="171"/>
      <c r="K451" s="171"/>
      <c r="L451" s="171"/>
      <c r="M451" s="171"/>
      <c r="N451" s="62"/>
      <c r="O451" s="62"/>
      <c r="P451" s="62"/>
      <c r="Q451" s="62"/>
      <c r="R451" s="62"/>
      <c r="S451" s="62"/>
      <c r="T451" s="62"/>
      <c r="U451" s="62"/>
      <c r="V451" s="62"/>
      <c r="W451" s="62"/>
      <c r="X451" s="62"/>
      <c r="Y451" s="62"/>
      <c r="Z451" s="62"/>
      <c r="AA451" s="62"/>
      <c r="AB451" s="62"/>
      <c r="AC451" s="62"/>
      <c r="AD451" s="62"/>
      <c r="AE451" s="62"/>
      <c r="AF451" s="62"/>
      <c r="AG451" s="62"/>
      <c r="AH451" s="62"/>
    </row>
    <row r="452" spans="1:34" x14ac:dyDescent="0.3">
      <c r="A452" s="62"/>
      <c r="B452" s="62"/>
      <c r="C452" s="62"/>
      <c r="D452" s="171"/>
      <c r="E452" s="171"/>
      <c r="F452" s="171"/>
      <c r="G452" s="171"/>
      <c r="H452" s="171"/>
      <c r="I452" s="171"/>
      <c r="J452" s="171"/>
      <c r="K452" s="171"/>
      <c r="L452" s="171"/>
      <c r="M452" s="171"/>
      <c r="N452" s="62"/>
      <c r="O452" s="62"/>
      <c r="P452" s="62"/>
      <c r="Q452" s="62"/>
      <c r="R452" s="62"/>
      <c r="S452" s="62"/>
      <c r="T452" s="62"/>
      <c r="U452" s="62"/>
      <c r="V452" s="62"/>
      <c r="W452" s="62"/>
      <c r="X452" s="62"/>
      <c r="Y452" s="62"/>
      <c r="Z452" s="62"/>
      <c r="AA452" s="62"/>
      <c r="AB452" s="62"/>
      <c r="AC452" s="62"/>
      <c r="AD452" s="62"/>
      <c r="AE452" s="62"/>
      <c r="AF452" s="62"/>
      <c r="AG452" s="62"/>
      <c r="AH452" s="62"/>
    </row>
    <row r="453" spans="1:34" x14ac:dyDescent="0.3">
      <c r="A453" s="62"/>
      <c r="B453" s="62"/>
      <c r="C453" s="62"/>
      <c r="D453" s="171"/>
      <c r="E453" s="171"/>
      <c r="F453" s="171"/>
      <c r="G453" s="171"/>
      <c r="H453" s="171"/>
      <c r="I453" s="171"/>
      <c r="J453" s="171"/>
      <c r="K453" s="171"/>
      <c r="L453" s="171"/>
      <c r="M453" s="171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</row>
    <row r="454" spans="1:34" x14ac:dyDescent="0.3">
      <c r="A454" s="62"/>
      <c r="B454" s="62"/>
      <c r="C454" s="62"/>
      <c r="D454" s="171"/>
      <c r="E454" s="171"/>
      <c r="F454" s="171"/>
      <c r="G454" s="171"/>
      <c r="H454" s="171"/>
      <c r="I454" s="171"/>
      <c r="J454" s="171"/>
      <c r="K454" s="171"/>
      <c r="L454" s="171"/>
      <c r="M454" s="171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</row>
    <row r="455" spans="1:34" x14ac:dyDescent="0.3">
      <c r="A455" s="62"/>
      <c r="B455" s="62"/>
      <c r="C455" s="62"/>
      <c r="D455" s="171"/>
      <c r="E455" s="171"/>
      <c r="F455" s="171"/>
      <c r="G455" s="171"/>
      <c r="H455" s="171"/>
      <c r="I455" s="171"/>
      <c r="J455" s="171"/>
      <c r="K455" s="171"/>
      <c r="L455" s="171"/>
      <c r="M455" s="171"/>
      <c r="N455" s="62"/>
      <c r="O455" s="62"/>
      <c r="P455" s="62"/>
      <c r="Q455" s="62"/>
      <c r="R455" s="62"/>
      <c r="S455" s="62"/>
      <c r="T455" s="62"/>
      <c r="U455" s="62"/>
      <c r="V455" s="62"/>
      <c r="W455" s="62"/>
      <c r="X455" s="62"/>
      <c r="Y455" s="62"/>
      <c r="Z455" s="62"/>
      <c r="AA455" s="62"/>
      <c r="AB455" s="62"/>
      <c r="AC455" s="62"/>
      <c r="AD455" s="62"/>
      <c r="AE455" s="62"/>
      <c r="AF455" s="62"/>
      <c r="AG455" s="62"/>
      <c r="AH455" s="62"/>
    </row>
    <row r="456" spans="1:34" x14ac:dyDescent="0.3">
      <c r="A456" s="62"/>
      <c r="B456" s="62"/>
      <c r="C456" s="62"/>
      <c r="D456" s="171"/>
      <c r="E456" s="171"/>
      <c r="F456" s="171"/>
      <c r="G456" s="171"/>
      <c r="H456" s="171"/>
      <c r="I456" s="171"/>
      <c r="J456" s="171"/>
      <c r="K456" s="171"/>
      <c r="L456" s="171"/>
      <c r="M456" s="171"/>
      <c r="N456" s="62"/>
      <c r="O456" s="62"/>
      <c r="P456" s="62"/>
      <c r="Q456" s="62"/>
      <c r="R456" s="62"/>
      <c r="S456" s="62"/>
      <c r="T456" s="62"/>
      <c r="U456" s="62"/>
      <c r="V456" s="62"/>
      <c r="W456" s="62"/>
      <c r="X456" s="62"/>
      <c r="Y456" s="62"/>
      <c r="Z456" s="62"/>
      <c r="AA456" s="62"/>
      <c r="AB456" s="62"/>
      <c r="AC456" s="62"/>
      <c r="AD456" s="62"/>
      <c r="AE456" s="62"/>
      <c r="AF456" s="62"/>
      <c r="AG456" s="62"/>
      <c r="AH456" s="62"/>
    </row>
    <row r="457" spans="1:34" x14ac:dyDescent="0.3">
      <c r="A457" s="62"/>
      <c r="B457" s="62"/>
      <c r="C457" s="62"/>
      <c r="D457" s="171"/>
      <c r="E457" s="171"/>
      <c r="F457" s="171"/>
      <c r="G457" s="171"/>
      <c r="H457" s="171"/>
      <c r="I457" s="171"/>
      <c r="J457" s="171"/>
      <c r="K457" s="171"/>
      <c r="L457" s="171"/>
      <c r="M457" s="171"/>
      <c r="N457" s="62"/>
      <c r="O457" s="62"/>
      <c r="P457" s="62"/>
      <c r="Q457" s="62"/>
      <c r="R457" s="62"/>
      <c r="S457" s="62"/>
      <c r="T457" s="62"/>
      <c r="U457" s="62"/>
      <c r="V457" s="62"/>
      <c r="W457" s="62"/>
      <c r="X457" s="62"/>
      <c r="Y457" s="62"/>
      <c r="Z457" s="62"/>
      <c r="AA457" s="62"/>
      <c r="AB457" s="62"/>
      <c r="AC457" s="62"/>
      <c r="AD457" s="62"/>
      <c r="AE457" s="62"/>
      <c r="AF457" s="62"/>
      <c r="AG457" s="62"/>
      <c r="AH457" s="62"/>
    </row>
    <row r="458" spans="1:34" x14ac:dyDescent="0.3">
      <c r="A458" s="62"/>
      <c r="B458" s="62"/>
      <c r="C458" s="62"/>
      <c r="D458" s="171"/>
      <c r="E458" s="171"/>
      <c r="F458" s="171"/>
      <c r="G458" s="171"/>
      <c r="H458" s="171"/>
      <c r="I458" s="171"/>
      <c r="J458" s="171"/>
      <c r="K458" s="171"/>
      <c r="L458" s="171"/>
      <c r="M458" s="171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2"/>
      <c r="AH458" s="62"/>
    </row>
  </sheetData>
  <customSheetViews>
    <customSheetView guid="{121E4431-22F3-11D5-8242-00600818425F}" scale="75" showRuler="0">
      <pane xSplit="2" ySplit="7" topLeftCell="C218" activePane="bottomRight" state="frozen"/>
      <selection pane="bottomRight" activeCell="A251" sqref="A251"/>
      <rowBreaks count="4" manualBreakCount="4">
        <brk id="53" max="16383" man="1"/>
        <brk id="98" max="16383" man="1"/>
        <brk id="152" max="16383" man="1"/>
        <brk id="195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300" vertic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showRuler="0">
      <pane xSplit="2" ySplit="7" topLeftCell="C218" activePane="bottomRight" state="frozen"/>
      <selection pane="bottomRight" activeCell="I226" sqref="I226"/>
      <rowBreaks count="4" manualBreakCount="4">
        <brk id="53" max="16383" man="1"/>
        <brk id="98" max="16383" man="1"/>
        <brk id="152" max="16383" man="1"/>
        <brk id="195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300" vertic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showRuler="0">
      <pane xSplit="2" ySplit="7" topLeftCell="C218" activePane="bottomRight" state="frozen"/>
      <selection pane="bottomRight" activeCell="I226" sqref="I226"/>
      <rowBreaks count="4" manualBreakCount="4">
        <brk id="53" max="16383" man="1"/>
        <brk id="98" max="16383" man="1"/>
        <brk id="152" max="16383" man="1"/>
        <brk id="195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300" verticalDpi="30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58" fitToHeight="0" orientation="landscape" horizontalDpi="300" verticalDpi="300" r:id="rId4"/>
  <headerFooter alignWithMargins="0">
    <oddFooter>&amp;L&amp;8&amp;F&amp;C&amp;8&amp;A
page &amp;P&amp;R&amp;8&amp;D
&amp;T</oddFooter>
  </headerFooter>
  <rowBreaks count="4" manualBreakCount="4">
    <brk id="53" max="16383" man="1"/>
    <brk id="100" max="16383" man="1"/>
    <brk id="154" max="16383" man="1"/>
    <brk id="211" max="16383" man="1"/>
  </rowBreaks>
  <colBreaks count="2" manualBreakCount="2">
    <brk id="12" max="267" man="1"/>
    <brk id="2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470"/>
  <sheetViews>
    <sheetView zoomScale="55" zoomScaleNormal="55" workbookViewId="0">
      <pane xSplit="2" ySplit="7" topLeftCell="C8" activePane="bottomRight" state="frozen"/>
      <selection activeCell="I10" sqref="I10"/>
      <selection pane="topRight" activeCell="I10" sqref="I10"/>
      <selection pane="bottomLeft" activeCell="I10" sqref="I10"/>
      <selection pane="bottomRight" activeCell="C8" sqref="C8"/>
    </sheetView>
  </sheetViews>
  <sheetFormatPr defaultColWidth="8.81640625" defaultRowHeight="13" x14ac:dyDescent="0.3"/>
  <cols>
    <col min="1" max="1" width="9.1796875" style="4" customWidth="1"/>
    <col min="2" max="2" width="31.54296875" style="4" customWidth="1"/>
    <col min="3" max="3" width="20.1796875" style="6" customWidth="1"/>
    <col min="4" max="4" width="16.54296875" style="17" bestFit="1" customWidth="1"/>
    <col min="5" max="5" width="11.453125" style="17" bestFit="1" customWidth="1"/>
    <col min="6" max="6" width="16" style="17" bestFit="1" customWidth="1"/>
    <col min="7" max="7" width="15.1796875" style="4" bestFit="1" customWidth="1"/>
    <col min="8" max="9" width="16.54296875" style="4" bestFit="1" customWidth="1"/>
    <col min="10" max="10" width="21.1796875" style="4" bestFit="1" customWidth="1"/>
    <col min="11" max="11" width="14.453125" style="4" bestFit="1" customWidth="1"/>
    <col min="12" max="12" width="15.453125" style="4" bestFit="1" customWidth="1"/>
    <col min="13" max="13" width="13.453125" style="4" bestFit="1" customWidth="1"/>
    <col min="14" max="14" width="12.453125" style="4" bestFit="1" customWidth="1"/>
    <col min="15" max="15" width="12" style="4" bestFit="1" customWidth="1"/>
    <col min="16" max="16" width="12.1796875" style="4" bestFit="1" customWidth="1"/>
    <col min="17" max="17" width="13.54296875" style="4" bestFit="1" customWidth="1"/>
    <col min="18" max="18" width="9.453125" style="4" customWidth="1"/>
    <col min="19" max="19" width="14.81640625" style="4" bestFit="1" customWidth="1"/>
    <col min="20" max="20" width="14.54296875" style="4" bestFit="1" customWidth="1"/>
    <col min="21" max="21" width="8.81640625" style="4"/>
    <col min="22" max="22" width="16.1796875" style="4" bestFit="1" customWidth="1"/>
    <col min="23" max="23" width="14" style="4" bestFit="1" customWidth="1"/>
    <col min="24" max="24" width="8.81640625" style="4"/>
    <col min="25" max="25" width="9.453125" style="4" bestFit="1" customWidth="1"/>
    <col min="26" max="16384" width="8.81640625" style="4"/>
  </cols>
  <sheetData>
    <row r="1" spans="1:23" ht="14.5" x14ac:dyDescent="0.35">
      <c r="A1" s="422" t="s">
        <v>154</v>
      </c>
      <c r="B1" s="423"/>
      <c r="C1" s="423"/>
      <c r="D1" s="424"/>
      <c r="E1" s="425"/>
      <c r="F1" s="425"/>
      <c r="G1" s="424"/>
      <c r="H1" s="423"/>
      <c r="I1" s="423"/>
      <c r="J1" s="423"/>
      <c r="K1" s="423"/>
      <c r="L1" s="423"/>
      <c r="M1" s="423"/>
      <c r="N1" s="423"/>
      <c r="O1" s="423"/>
      <c r="P1" s="423"/>
      <c r="Q1" s="426"/>
    </row>
    <row r="2" spans="1:23" ht="14.5" x14ac:dyDescent="0.35">
      <c r="A2" s="427" t="s">
        <v>1294</v>
      </c>
      <c r="B2" s="428"/>
      <c r="C2" s="428"/>
      <c r="D2" s="429"/>
      <c r="E2" s="430"/>
      <c r="F2" s="430"/>
      <c r="G2" s="431"/>
      <c r="H2" s="428"/>
      <c r="I2" s="428"/>
      <c r="J2" s="428"/>
      <c r="K2" s="428"/>
      <c r="L2" s="428"/>
      <c r="M2" s="428"/>
      <c r="N2" s="428"/>
      <c r="O2" s="428"/>
      <c r="P2" s="428"/>
      <c r="Q2" s="432"/>
    </row>
    <row r="3" spans="1:23" ht="14.5" x14ac:dyDescent="0.35">
      <c r="A3" s="427" t="s">
        <v>1223</v>
      </c>
      <c r="B3" s="428"/>
      <c r="C3" s="428"/>
      <c r="D3" s="429"/>
      <c r="E3" s="430"/>
      <c r="F3" s="430"/>
      <c r="G3" s="431"/>
      <c r="H3" s="428"/>
      <c r="I3" s="428"/>
      <c r="J3" s="428"/>
      <c r="K3" s="428"/>
      <c r="L3" s="428"/>
      <c r="M3" s="428"/>
      <c r="N3" s="428"/>
      <c r="O3" s="428"/>
      <c r="P3" s="428"/>
      <c r="Q3" s="432"/>
    </row>
    <row r="4" spans="1:23" ht="14.5" x14ac:dyDescent="0.35">
      <c r="A4" s="427"/>
      <c r="B4" s="428"/>
      <c r="C4" s="428"/>
      <c r="D4" s="429"/>
      <c r="E4" s="430"/>
      <c r="F4" s="430"/>
      <c r="G4" s="431"/>
      <c r="H4" s="428"/>
      <c r="I4" s="428"/>
      <c r="J4" s="428"/>
      <c r="K4" s="428"/>
      <c r="L4" s="428"/>
      <c r="M4" s="428"/>
      <c r="N4" s="428"/>
      <c r="O4" s="428"/>
      <c r="P4" s="428"/>
      <c r="Q4" s="432"/>
    </row>
    <row r="5" spans="1:23" ht="14.5" x14ac:dyDescent="0.35">
      <c r="A5" s="433"/>
      <c r="B5" s="434"/>
      <c r="C5" s="435" t="s">
        <v>1085</v>
      </c>
      <c r="D5" s="436" t="s">
        <v>353</v>
      </c>
      <c r="E5" s="435" t="s">
        <v>354</v>
      </c>
      <c r="F5" s="435" t="s">
        <v>355</v>
      </c>
      <c r="G5" s="435" t="s">
        <v>356</v>
      </c>
      <c r="H5" s="435" t="s">
        <v>355</v>
      </c>
      <c r="I5" s="435" t="s">
        <v>357</v>
      </c>
      <c r="J5" s="436" t="s">
        <v>10</v>
      </c>
      <c r="K5" s="436" t="s">
        <v>10</v>
      </c>
      <c r="L5" s="436" t="s">
        <v>10</v>
      </c>
      <c r="M5" s="436" t="s">
        <v>10</v>
      </c>
      <c r="N5" s="436" t="s">
        <v>10</v>
      </c>
      <c r="O5" s="436" t="s">
        <v>10</v>
      </c>
      <c r="P5" s="436" t="s">
        <v>10</v>
      </c>
      <c r="Q5" s="437" t="s">
        <v>10</v>
      </c>
      <c r="R5" s="5"/>
      <c r="S5" s="6" t="s">
        <v>832</v>
      </c>
    </row>
    <row r="6" spans="1:23" ht="14.5" x14ac:dyDescent="0.35">
      <c r="A6" s="433" t="s">
        <v>358</v>
      </c>
      <c r="B6" s="435" t="s">
        <v>359</v>
      </c>
      <c r="C6" s="435" t="s">
        <v>1086</v>
      </c>
      <c r="D6" s="436" t="s">
        <v>361</v>
      </c>
      <c r="E6" s="435" t="s">
        <v>362</v>
      </c>
      <c r="F6" s="435"/>
      <c r="G6" s="435" t="s">
        <v>363</v>
      </c>
      <c r="H6" s="435" t="s">
        <v>364</v>
      </c>
      <c r="I6" s="435" t="s">
        <v>365</v>
      </c>
      <c r="J6" s="435" t="s">
        <v>544</v>
      </c>
      <c r="K6" s="436" t="s">
        <v>366</v>
      </c>
      <c r="L6" s="436" t="s">
        <v>367</v>
      </c>
      <c r="M6" s="436" t="s">
        <v>907</v>
      </c>
      <c r="N6" s="436" t="s">
        <v>909</v>
      </c>
      <c r="O6" s="436" t="s">
        <v>910</v>
      </c>
      <c r="P6" s="436" t="s">
        <v>912</v>
      </c>
      <c r="Q6" s="437" t="s">
        <v>913</v>
      </c>
      <c r="R6" s="5"/>
      <c r="S6" s="6" t="s">
        <v>833</v>
      </c>
      <c r="T6" s="4" t="s">
        <v>824</v>
      </c>
      <c r="W6" s="9"/>
    </row>
    <row r="7" spans="1:23" ht="15" thickBot="1" x14ac:dyDescent="0.4">
      <c r="A7" s="438" t="s">
        <v>368</v>
      </c>
      <c r="B7" s="439"/>
      <c r="C7" s="440"/>
      <c r="D7" s="441" t="s">
        <v>815</v>
      </c>
      <c r="E7" s="440" t="s">
        <v>816</v>
      </c>
      <c r="F7" s="440" t="s">
        <v>817</v>
      </c>
      <c r="G7" s="440" t="s">
        <v>818</v>
      </c>
      <c r="H7" s="440" t="s">
        <v>819</v>
      </c>
      <c r="I7" s="440" t="s">
        <v>820</v>
      </c>
      <c r="J7" s="440" t="s">
        <v>821</v>
      </c>
      <c r="K7" s="440" t="s">
        <v>822</v>
      </c>
      <c r="L7" s="440" t="s">
        <v>823</v>
      </c>
      <c r="M7" s="440" t="s">
        <v>908</v>
      </c>
      <c r="N7" s="440" t="s">
        <v>914</v>
      </c>
      <c r="O7" s="440" t="s">
        <v>915</v>
      </c>
      <c r="P7" s="440" t="s">
        <v>916</v>
      </c>
      <c r="Q7" s="442" t="s">
        <v>917</v>
      </c>
      <c r="R7" s="5"/>
    </row>
    <row r="8" spans="1:23" x14ac:dyDescent="0.3">
      <c r="A8" s="498"/>
      <c r="B8" s="62"/>
      <c r="C8" s="489"/>
      <c r="D8" s="467"/>
      <c r="E8" s="467"/>
      <c r="F8" s="467"/>
      <c r="G8" s="498"/>
      <c r="H8" s="498"/>
      <c r="I8" s="498"/>
      <c r="J8" s="498"/>
      <c r="K8" s="498"/>
      <c r="L8" s="498"/>
      <c r="M8" s="498"/>
      <c r="N8" s="498"/>
      <c r="O8" s="498"/>
      <c r="P8" s="498"/>
      <c r="Q8" s="498"/>
      <c r="R8" s="498"/>
      <c r="S8" s="62"/>
      <c r="T8" s="62"/>
    </row>
    <row r="9" spans="1:23" x14ac:dyDescent="0.3">
      <c r="A9" s="499" t="s">
        <v>369</v>
      </c>
      <c r="B9" s="62"/>
      <c r="C9" s="489"/>
      <c r="D9" s="171"/>
      <c r="E9" s="171"/>
      <c r="F9" s="171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</row>
    <row r="10" spans="1:23" x14ac:dyDescent="0.3">
      <c r="A10" s="499"/>
      <c r="B10" s="62"/>
      <c r="C10" s="489"/>
      <c r="D10" s="171"/>
      <c r="E10" s="171"/>
      <c r="F10" s="171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</row>
    <row r="11" spans="1:23" x14ac:dyDescent="0.3">
      <c r="A11" s="499" t="s">
        <v>1142</v>
      </c>
      <c r="B11" s="62"/>
      <c r="C11" s="489"/>
      <c r="D11" s="171"/>
      <c r="E11" s="171"/>
      <c r="F11" s="171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</row>
    <row r="12" spans="1:23" x14ac:dyDescent="0.3">
      <c r="A12" s="499" t="s">
        <v>1143</v>
      </c>
      <c r="B12" s="62" t="s">
        <v>1144</v>
      </c>
      <c r="C12" s="489"/>
      <c r="D12" s="678"/>
      <c r="E12" s="678"/>
      <c r="F12" s="678"/>
      <c r="G12" s="678"/>
      <c r="H12" s="678"/>
      <c r="I12" s="669"/>
      <c r="J12" s="678"/>
      <c r="K12" s="677"/>
      <c r="L12" s="677"/>
      <c r="M12" s="677"/>
      <c r="N12" s="677"/>
      <c r="O12" s="677"/>
      <c r="P12" s="677"/>
      <c r="Q12" s="677"/>
      <c r="R12" s="62"/>
      <c r="S12" s="62">
        <f>SUM(J12:Q12)</f>
        <v>0</v>
      </c>
      <c r="T12" s="468">
        <f t="shared" ref="T12:T14" si="0">I12-S12</f>
        <v>0</v>
      </c>
    </row>
    <row r="13" spans="1:23" x14ac:dyDescent="0.3">
      <c r="A13" s="499" t="s">
        <v>1145</v>
      </c>
      <c r="B13" s="62" t="s">
        <v>1146</v>
      </c>
      <c r="C13" s="489"/>
      <c r="D13" s="678"/>
      <c r="E13" s="678"/>
      <c r="F13" s="678"/>
      <c r="G13" s="678"/>
      <c r="H13" s="678"/>
      <c r="I13" s="669"/>
      <c r="J13" s="678"/>
      <c r="K13" s="677"/>
      <c r="L13" s="677"/>
      <c r="M13" s="677"/>
      <c r="N13" s="677"/>
      <c r="O13" s="677"/>
      <c r="P13" s="677"/>
      <c r="Q13" s="677"/>
      <c r="R13" s="62"/>
      <c r="S13" s="62">
        <f>SUM(J13:Q13)</f>
        <v>0</v>
      </c>
      <c r="T13" s="468">
        <f t="shared" si="0"/>
        <v>0</v>
      </c>
    </row>
    <row r="14" spans="1:23" x14ac:dyDescent="0.3">
      <c r="A14" s="499" t="s">
        <v>1147</v>
      </c>
      <c r="B14" s="62" t="s">
        <v>1148</v>
      </c>
      <c r="C14" s="489"/>
      <c r="D14" s="678"/>
      <c r="E14" s="678"/>
      <c r="F14" s="678"/>
      <c r="G14" s="678"/>
      <c r="H14" s="678"/>
      <c r="I14" s="669"/>
      <c r="J14" s="678"/>
      <c r="K14" s="677"/>
      <c r="L14" s="677"/>
      <c r="M14" s="677"/>
      <c r="N14" s="677"/>
      <c r="O14" s="677"/>
      <c r="P14" s="677"/>
      <c r="Q14" s="677"/>
      <c r="R14" s="62"/>
      <c r="S14" s="62">
        <f>SUM(J14:Q14)</f>
        <v>0</v>
      </c>
      <c r="T14" s="468">
        <f t="shared" si="0"/>
        <v>0</v>
      </c>
    </row>
    <row r="15" spans="1:23" s="1" customFormat="1" x14ac:dyDescent="0.3">
      <c r="A15" s="499"/>
      <c r="B15" s="62"/>
      <c r="C15" s="489"/>
      <c r="D15" s="678"/>
      <c r="E15" s="678"/>
      <c r="F15" s="678"/>
      <c r="G15" s="677"/>
      <c r="H15" s="677"/>
      <c r="I15" s="677"/>
      <c r="J15" s="677"/>
      <c r="K15" s="677"/>
      <c r="L15" s="677"/>
      <c r="M15" s="677"/>
      <c r="N15" s="677"/>
      <c r="O15" s="677"/>
      <c r="P15" s="677"/>
      <c r="Q15" s="677"/>
      <c r="R15" s="62"/>
      <c r="S15" s="62"/>
      <c r="T15" s="62"/>
      <c r="V15" s="4"/>
      <c r="W15" s="4"/>
    </row>
    <row r="16" spans="1:23" x14ac:dyDescent="0.3">
      <c r="A16" s="498"/>
      <c r="B16" s="62" t="s">
        <v>1149</v>
      </c>
      <c r="C16" s="489"/>
      <c r="D16" s="678"/>
      <c r="E16" s="678"/>
      <c r="F16" s="678"/>
      <c r="G16" s="678"/>
      <c r="H16" s="678"/>
      <c r="I16" s="678"/>
      <c r="J16" s="678"/>
      <c r="K16" s="678"/>
      <c r="L16" s="678"/>
      <c r="M16" s="678"/>
      <c r="N16" s="678"/>
      <c r="O16" s="678"/>
      <c r="P16" s="678"/>
      <c r="Q16" s="678"/>
      <c r="R16" s="62"/>
      <c r="S16" s="62">
        <f>SUM(J16:Q16)</f>
        <v>0</v>
      </c>
      <c r="T16" s="468">
        <f t="shared" ref="T16" si="1">I16-S16</f>
        <v>0</v>
      </c>
    </row>
    <row r="17" spans="1:21" x14ac:dyDescent="0.3">
      <c r="A17" s="498"/>
      <c r="B17" s="62"/>
      <c r="C17" s="489"/>
      <c r="D17" s="678"/>
      <c r="E17" s="678"/>
      <c r="F17" s="678"/>
      <c r="G17" s="677"/>
      <c r="H17" s="677"/>
      <c r="I17" s="677"/>
      <c r="J17" s="677"/>
      <c r="K17" s="677"/>
      <c r="L17" s="677"/>
      <c r="M17" s="677"/>
      <c r="N17" s="677"/>
      <c r="O17" s="677"/>
      <c r="P17" s="677"/>
      <c r="Q17" s="677"/>
      <c r="R17" s="62"/>
      <c r="S17" s="62"/>
      <c r="T17" s="62"/>
    </row>
    <row r="18" spans="1:21" x14ac:dyDescent="0.3">
      <c r="A18" s="463" t="s">
        <v>370</v>
      </c>
      <c r="B18" s="62"/>
      <c r="C18" s="121"/>
      <c r="D18" s="678"/>
      <c r="E18" s="678"/>
      <c r="F18" s="678"/>
      <c r="G18" s="677"/>
      <c r="H18" s="677"/>
      <c r="I18" s="677"/>
      <c r="J18" s="677"/>
      <c r="K18" s="677"/>
      <c r="L18" s="677"/>
      <c r="M18" s="677"/>
      <c r="N18" s="677"/>
      <c r="O18" s="677"/>
      <c r="P18" s="677"/>
      <c r="Q18" s="677"/>
      <c r="R18" s="62"/>
      <c r="S18" s="62"/>
      <c r="T18" s="62"/>
    </row>
    <row r="19" spans="1:21" x14ac:dyDescent="0.3">
      <c r="A19" s="498" t="s">
        <v>371</v>
      </c>
      <c r="B19" s="62" t="s">
        <v>372</v>
      </c>
      <c r="C19" s="121" t="s">
        <v>19</v>
      </c>
      <c r="D19" s="678"/>
      <c r="E19" s="678"/>
      <c r="F19" s="678"/>
      <c r="G19" s="678"/>
      <c r="H19" s="678"/>
      <c r="I19" s="669"/>
      <c r="J19" s="678"/>
      <c r="K19" s="678"/>
      <c r="L19" s="678"/>
      <c r="M19" s="678"/>
      <c r="N19" s="678"/>
      <c r="O19" s="678"/>
      <c r="P19" s="678"/>
      <c r="Q19" s="678"/>
      <c r="R19" s="171"/>
      <c r="S19" s="62">
        <f>SUM(J19:Q19)</f>
        <v>0</v>
      </c>
      <c r="T19" s="468">
        <f t="shared" ref="T19:T25" si="2">I19-S19</f>
        <v>0</v>
      </c>
      <c r="U19" s="13"/>
    </row>
    <row r="20" spans="1:21" x14ac:dyDescent="0.3">
      <c r="A20" s="498" t="s">
        <v>373</v>
      </c>
      <c r="B20" s="498" t="s">
        <v>374</v>
      </c>
      <c r="C20" s="121" t="s">
        <v>19</v>
      </c>
      <c r="D20" s="678"/>
      <c r="E20" s="678"/>
      <c r="F20" s="678"/>
      <c r="G20" s="678"/>
      <c r="H20" s="678"/>
      <c r="I20" s="669"/>
      <c r="J20" s="678"/>
      <c r="K20" s="678"/>
      <c r="L20" s="678"/>
      <c r="M20" s="678"/>
      <c r="N20" s="678"/>
      <c r="O20" s="678"/>
      <c r="P20" s="678"/>
      <c r="Q20" s="678"/>
      <c r="R20" s="171"/>
      <c r="S20" s="62">
        <f t="shared" ref="S20:S27" si="3">SUM(J20:Q20)</f>
        <v>0</v>
      </c>
      <c r="T20" s="468">
        <f t="shared" si="2"/>
        <v>0</v>
      </c>
      <c r="U20" s="1"/>
    </row>
    <row r="21" spans="1:21" x14ac:dyDescent="0.3">
      <c r="A21" s="498" t="s">
        <v>375</v>
      </c>
      <c r="B21" s="498" t="s">
        <v>376</v>
      </c>
      <c r="C21" s="121" t="s">
        <v>19</v>
      </c>
      <c r="D21" s="678"/>
      <c r="E21" s="678"/>
      <c r="F21" s="678"/>
      <c r="G21" s="678"/>
      <c r="H21" s="678"/>
      <c r="I21" s="669"/>
      <c r="J21" s="678"/>
      <c r="K21" s="678"/>
      <c r="L21" s="678"/>
      <c r="M21" s="678"/>
      <c r="N21" s="678"/>
      <c r="O21" s="678"/>
      <c r="P21" s="678"/>
      <c r="Q21" s="678"/>
      <c r="R21" s="171"/>
      <c r="S21" s="62">
        <f t="shared" si="3"/>
        <v>0</v>
      </c>
      <c r="T21" s="468">
        <f t="shared" si="2"/>
        <v>0</v>
      </c>
      <c r="U21" s="1"/>
    </row>
    <row r="22" spans="1:21" x14ac:dyDescent="0.3">
      <c r="A22" s="498" t="s">
        <v>1217</v>
      </c>
      <c r="B22" s="62" t="s">
        <v>378</v>
      </c>
      <c r="C22" s="121" t="s">
        <v>19</v>
      </c>
      <c r="D22" s="678"/>
      <c r="E22" s="678"/>
      <c r="F22" s="678"/>
      <c r="G22" s="678"/>
      <c r="H22" s="678"/>
      <c r="I22" s="669"/>
      <c r="J22" s="678"/>
      <c r="K22" s="678"/>
      <c r="L22" s="678"/>
      <c r="M22" s="678"/>
      <c r="N22" s="678"/>
      <c r="O22" s="678"/>
      <c r="P22" s="678"/>
      <c r="Q22" s="678"/>
      <c r="R22" s="171"/>
      <c r="S22" s="62">
        <f t="shared" si="3"/>
        <v>0</v>
      </c>
      <c r="T22" s="468">
        <f t="shared" si="2"/>
        <v>0</v>
      </c>
      <c r="U22" s="1"/>
    </row>
    <row r="23" spans="1:21" x14ac:dyDescent="0.3">
      <c r="A23" s="498" t="s">
        <v>379</v>
      </c>
      <c r="B23" s="62" t="s">
        <v>380</v>
      </c>
      <c r="C23" s="121" t="s">
        <v>19</v>
      </c>
      <c r="D23" s="678"/>
      <c r="E23" s="678"/>
      <c r="F23" s="678"/>
      <c r="G23" s="678"/>
      <c r="H23" s="678"/>
      <c r="I23" s="669"/>
      <c r="J23" s="678"/>
      <c r="K23" s="678"/>
      <c r="L23" s="678"/>
      <c r="M23" s="678"/>
      <c r="N23" s="678"/>
      <c r="O23" s="678"/>
      <c r="P23" s="678"/>
      <c r="Q23" s="678"/>
      <c r="R23" s="171"/>
      <c r="S23" s="62">
        <f t="shared" si="3"/>
        <v>0</v>
      </c>
      <c r="T23" s="468">
        <f t="shared" si="2"/>
        <v>0</v>
      </c>
      <c r="U23" s="1"/>
    </row>
    <row r="24" spans="1:21" x14ac:dyDescent="0.3">
      <c r="A24" s="498" t="s">
        <v>381</v>
      </c>
      <c r="B24" s="62" t="s">
        <v>382</v>
      </c>
      <c r="C24" s="121" t="s">
        <v>19</v>
      </c>
      <c r="D24" s="678"/>
      <c r="E24" s="678"/>
      <c r="F24" s="678"/>
      <c r="G24" s="678"/>
      <c r="H24" s="678"/>
      <c r="I24" s="669"/>
      <c r="J24" s="678"/>
      <c r="K24" s="678"/>
      <c r="L24" s="678"/>
      <c r="M24" s="678"/>
      <c r="N24" s="678"/>
      <c r="O24" s="678"/>
      <c r="P24" s="678"/>
      <c r="Q24" s="678"/>
      <c r="R24" s="171"/>
      <c r="S24" s="62">
        <f t="shared" si="3"/>
        <v>0</v>
      </c>
      <c r="T24" s="468">
        <f t="shared" si="2"/>
        <v>0</v>
      </c>
      <c r="U24" s="1"/>
    </row>
    <row r="25" spans="1:21" x14ac:dyDescent="0.3">
      <c r="A25" s="498" t="s">
        <v>383</v>
      </c>
      <c r="B25" s="62" t="s">
        <v>384</v>
      </c>
      <c r="C25" s="121" t="s">
        <v>19</v>
      </c>
      <c r="D25" s="678"/>
      <c r="E25" s="678"/>
      <c r="F25" s="678"/>
      <c r="G25" s="678"/>
      <c r="H25" s="678"/>
      <c r="I25" s="669"/>
      <c r="J25" s="678"/>
      <c r="K25" s="678"/>
      <c r="L25" s="678"/>
      <c r="M25" s="678"/>
      <c r="N25" s="678"/>
      <c r="O25" s="678"/>
      <c r="P25" s="678"/>
      <c r="Q25" s="678"/>
      <c r="R25" s="171"/>
      <c r="S25" s="62">
        <f t="shared" si="3"/>
        <v>0</v>
      </c>
      <c r="T25" s="468">
        <f t="shared" si="2"/>
        <v>0</v>
      </c>
      <c r="U25" s="1"/>
    </row>
    <row r="26" spans="1:21" x14ac:dyDescent="0.3">
      <c r="A26" s="62"/>
      <c r="B26" s="62"/>
      <c r="C26" s="121"/>
      <c r="D26" s="678"/>
      <c r="E26" s="678"/>
      <c r="F26" s="678"/>
      <c r="G26" s="677"/>
      <c r="H26" s="678"/>
      <c r="I26" s="677"/>
      <c r="J26" s="677"/>
      <c r="K26" s="677"/>
      <c r="L26" s="677"/>
      <c r="M26" s="677"/>
      <c r="N26" s="677"/>
      <c r="O26" s="677"/>
      <c r="P26" s="677"/>
      <c r="Q26" s="677"/>
      <c r="R26" s="62"/>
      <c r="S26" s="62"/>
      <c r="T26" s="62"/>
      <c r="U26" s="1"/>
    </row>
    <row r="27" spans="1:21" x14ac:dyDescent="0.3">
      <c r="A27" s="62"/>
      <c r="B27" s="62" t="s">
        <v>385</v>
      </c>
      <c r="C27" s="121"/>
      <c r="D27" s="678"/>
      <c r="E27" s="678"/>
      <c r="F27" s="678"/>
      <c r="G27" s="678"/>
      <c r="H27" s="678"/>
      <c r="I27" s="678"/>
      <c r="J27" s="678"/>
      <c r="K27" s="678"/>
      <c r="L27" s="678"/>
      <c r="M27" s="678"/>
      <c r="N27" s="678"/>
      <c r="O27" s="678"/>
      <c r="P27" s="678"/>
      <c r="Q27" s="678"/>
      <c r="R27" s="171"/>
      <c r="S27" s="62">
        <f t="shared" si="3"/>
        <v>0</v>
      </c>
      <c r="T27" s="468">
        <f>I27-S27</f>
        <v>0</v>
      </c>
      <c r="U27" s="1"/>
    </row>
    <row r="28" spans="1:21" x14ac:dyDescent="0.3">
      <c r="A28" s="62"/>
      <c r="B28" s="62"/>
      <c r="C28" s="121"/>
      <c r="D28" s="678"/>
      <c r="E28" s="678"/>
      <c r="F28" s="678"/>
      <c r="G28" s="677"/>
      <c r="H28" s="677"/>
      <c r="I28" s="677"/>
      <c r="J28" s="677"/>
      <c r="K28" s="677"/>
      <c r="L28" s="677"/>
      <c r="M28" s="677"/>
      <c r="N28" s="677"/>
      <c r="O28" s="677"/>
      <c r="P28" s="677"/>
      <c r="Q28" s="677"/>
      <c r="R28" s="62"/>
      <c r="S28" s="62"/>
      <c r="T28" s="468"/>
    </row>
    <row r="29" spans="1:21" x14ac:dyDescent="0.3">
      <c r="A29" s="463" t="s">
        <v>386</v>
      </c>
      <c r="B29" s="62"/>
      <c r="C29" s="121"/>
      <c r="D29" s="678"/>
      <c r="E29" s="678"/>
      <c r="F29" s="678"/>
      <c r="G29" s="677"/>
      <c r="H29" s="677"/>
      <c r="I29" s="677"/>
      <c r="J29" s="677"/>
      <c r="K29" s="677"/>
      <c r="L29" s="677"/>
      <c r="M29" s="677"/>
      <c r="N29" s="677"/>
      <c r="O29" s="677"/>
      <c r="P29" s="677"/>
      <c r="Q29" s="677"/>
      <c r="R29" s="62"/>
      <c r="S29" s="62"/>
      <c r="T29" s="62"/>
    </row>
    <row r="30" spans="1:21" x14ac:dyDescent="0.3">
      <c r="A30" s="500" t="s">
        <v>387</v>
      </c>
      <c r="B30" s="501" t="s">
        <v>372</v>
      </c>
      <c r="C30" s="121" t="s">
        <v>19</v>
      </c>
      <c r="D30" s="678"/>
      <c r="E30" s="678"/>
      <c r="F30" s="678"/>
      <c r="G30" s="678"/>
      <c r="H30" s="678"/>
      <c r="I30" s="669"/>
      <c r="J30" s="678"/>
      <c r="K30" s="678"/>
      <c r="L30" s="678"/>
      <c r="M30" s="678"/>
      <c r="N30" s="678"/>
      <c r="O30" s="678"/>
      <c r="P30" s="678"/>
      <c r="Q30" s="678"/>
      <c r="R30" s="171"/>
      <c r="S30" s="62">
        <f t="shared" ref="S30:S35" si="4">SUM(J30:Q30)</f>
        <v>0</v>
      </c>
      <c r="T30" s="468">
        <f t="shared" ref="T30:T35" si="5">I30-S30</f>
        <v>0</v>
      </c>
    </row>
    <row r="31" spans="1:21" x14ac:dyDescent="0.3">
      <c r="A31" s="500" t="s">
        <v>388</v>
      </c>
      <c r="B31" s="502" t="s">
        <v>374</v>
      </c>
      <c r="C31" s="121" t="s">
        <v>19</v>
      </c>
      <c r="D31" s="678"/>
      <c r="E31" s="678"/>
      <c r="F31" s="678"/>
      <c r="G31" s="678"/>
      <c r="H31" s="678"/>
      <c r="I31" s="669"/>
      <c r="J31" s="678"/>
      <c r="K31" s="678"/>
      <c r="L31" s="678"/>
      <c r="M31" s="678"/>
      <c r="N31" s="678"/>
      <c r="O31" s="678"/>
      <c r="P31" s="678"/>
      <c r="Q31" s="678"/>
      <c r="R31" s="171"/>
      <c r="S31" s="62">
        <f t="shared" si="4"/>
        <v>0</v>
      </c>
      <c r="T31" s="468">
        <f t="shared" si="5"/>
        <v>0</v>
      </c>
    </row>
    <row r="32" spans="1:21" x14ac:dyDescent="0.3">
      <c r="A32" s="500" t="s">
        <v>389</v>
      </c>
      <c r="B32" s="502" t="s">
        <v>390</v>
      </c>
      <c r="C32" s="121" t="s">
        <v>19</v>
      </c>
      <c r="D32" s="678"/>
      <c r="E32" s="678"/>
      <c r="F32" s="678"/>
      <c r="G32" s="678"/>
      <c r="H32" s="678"/>
      <c r="I32" s="669"/>
      <c r="J32" s="678"/>
      <c r="K32" s="678"/>
      <c r="L32" s="678"/>
      <c r="M32" s="678"/>
      <c r="N32" s="678"/>
      <c r="O32" s="678"/>
      <c r="P32" s="678"/>
      <c r="Q32" s="678"/>
      <c r="R32" s="171"/>
      <c r="S32" s="62">
        <f t="shared" si="4"/>
        <v>0</v>
      </c>
      <c r="T32" s="468">
        <f t="shared" si="5"/>
        <v>0</v>
      </c>
    </row>
    <row r="33" spans="1:23" x14ac:dyDescent="0.3">
      <c r="A33" s="500" t="s">
        <v>391</v>
      </c>
      <c r="B33" s="501" t="s">
        <v>378</v>
      </c>
      <c r="C33" s="121" t="s">
        <v>19</v>
      </c>
      <c r="D33" s="678"/>
      <c r="E33" s="678"/>
      <c r="F33" s="678"/>
      <c r="G33" s="678"/>
      <c r="H33" s="678"/>
      <c r="I33" s="669"/>
      <c r="J33" s="678"/>
      <c r="K33" s="678"/>
      <c r="L33" s="678"/>
      <c r="M33" s="678"/>
      <c r="N33" s="678"/>
      <c r="O33" s="678"/>
      <c r="P33" s="678"/>
      <c r="Q33" s="678"/>
      <c r="R33" s="171"/>
      <c r="S33" s="62">
        <f t="shared" si="4"/>
        <v>0</v>
      </c>
      <c r="T33" s="468">
        <f t="shared" si="5"/>
        <v>0</v>
      </c>
    </row>
    <row r="34" spans="1:23" x14ac:dyDescent="0.3">
      <c r="A34" s="500" t="s">
        <v>392</v>
      </c>
      <c r="B34" s="501" t="s">
        <v>380</v>
      </c>
      <c r="C34" s="121" t="s">
        <v>19</v>
      </c>
      <c r="D34" s="678"/>
      <c r="E34" s="678"/>
      <c r="F34" s="678"/>
      <c r="G34" s="678"/>
      <c r="H34" s="678"/>
      <c r="I34" s="669"/>
      <c r="J34" s="678"/>
      <c r="K34" s="678"/>
      <c r="L34" s="678"/>
      <c r="M34" s="678"/>
      <c r="N34" s="678"/>
      <c r="O34" s="678"/>
      <c r="P34" s="678"/>
      <c r="Q34" s="678"/>
      <c r="R34" s="171"/>
      <c r="S34" s="62">
        <f t="shared" si="4"/>
        <v>0</v>
      </c>
      <c r="T34" s="468">
        <f t="shared" si="5"/>
        <v>0</v>
      </c>
    </row>
    <row r="35" spans="1:23" x14ac:dyDescent="0.3">
      <c r="A35" s="500" t="s">
        <v>393</v>
      </c>
      <c r="B35" s="501" t="s">
        <v>382</v>
      </c>
      <c r="C35" s="121" t="s">
        <v>19</v>
      </c>
      <c r="D35" s="678"/>
      <c r="E35" s="678"/>
      <c r="F35" s="678"/>
      <c r="G35" s="678"/>
      <c r="H35" s="678"/>
      <c r="I35" s="669"/>
      <c r="J35" s="678"/>
      <c r="K35" s="678"/>
      <c r="L35" s="678"/>
      <c r="M35" s="678"/>
      <c r="N35" s="678"/>
      <c r="O35" s="678"/>
      <c r="P35" s="678"/>
      <c r="Q35" s="678"/>
      <c r="R35" s="171"/>
      <c r="S35" s="62">
        <f t="shared" si="4"/>
        <v>0</v>
      </c>
      <c r="T35" s="468">
        <f t="shared" si="5"/>
        <v>0</v>
      </c>
    </row>
    <row r="36" spans="1:23" s="1" customFormat="1" x14ac:dyDescent="0.3">
      <c r="A36" s="500" t="s">
        <v>1150</v>
      </c>
      <c r="B36" s="501" t="s">
        <v>384</v>
      </c>
      <c r="C36" s="121"/>
      <c r="D36" s="678"/>
      <c r="E36" s="678"/>
      <c r="F36" s="678"/>
      <c r="G36" s="678"/>
      <c r="H36" s="678"/>
      <c r="I36" s="669"/>
      <c r="J36" s="678"/>
      <c r="K36" s="678"/>
      <c r="L36" s="678"/>
      <c r="M36" s="678"/>
      <c r="N36" s="678"/>
      <c r="O36" s="678"/>
      <c r="P36" s="678"/>
      <c r="Q36" s="678"/>
      <c r="R36" s="171"/>
      <c r="S36" s="62"/>
      <c r="T36" s="468"/>
      <c r="V36" s="4"/>
      <c r="W36" s="4"/>
    </row>
    <row r="37" spans="1:23" x14ac:dyDescent="0.3">
      <c r="A37" s="500" t="s">
        <v>1219</v>
      </c>
      <c r="B37" s="501" t="s">
        <v>91</v>
      </c>
      <c r="C37" s="121" t="s">
        <v>19</v>
      </c>
      <c r="D37" s="678"/>
      <c r="E37" s="678"/>
      <c r="F37" s="678"/>
      <c r="G37" s="678"/>
      <c r="H37" s="678"/>
      <c r="I37" s="669"/>
      <c r="J37" s="678"/>
      <c r="K37" s="678"/>
      <c r="L37" s="678"/>
      <c r="M37" s="678"/>
      <c r="N37" s="678"/>
      <c r="O37" s="678"/>
      <c r="P37" s="678"/>
      <c r="Q37" s="678"/>
      <c r="R37" s="171"/>
      <c r="S37" s="62">
        <f t="shared" ref="S37" si="6">SUM(J37:Q37)</f>
        <v>0</v>
      </c>
      <c r="T37" s="468">
        <f t="shared" ref="T37" si="7">I37-S37</f>
        <v>0</v>
      </c>
    </row>
    <row r="38" spans="1:23" x14ac:dyDescent="0.3">
      <c r="A38" s="62"/>
      <c r="B38" s="62"/>
      <c r="C38" s="121"/>
      <c r="D38" s="678"/>
      <c r="E38" s="678"/>
      <c r="F38" s="678"/>
      <c r="G38" s="677"/>
      <c r="H38" s="677"/>
      <c r="I38" s="677"/>
      <c r="J38" s="677"/>
      <c r="K38" s="677"/>
      <c r="L38" s="677"/>
      <c r="M38" s="677"/>
      <c r="N38" s="677"/>
      <c r="O38" s="677"/>
      <c r="P38" s="677"/>
      <c r="Q38" s="677"/>
      <c r="R38" s="62"/>
      <c r="S38" s="62"/>
      <c r="T38" s="62"/>
    </row>
    <row r="39" spans="1:23" x14ac:dyDescent="0.3">
      <c r="A39" s="465" t="s">
        <v>1220</v>
      </c>
      <c r="B39" s="62" t="s">
        <v>394</v>
      </c>
      <c r="C39" s="121"/>
      <c r="D39" s="678"/>
      <c r="E39" s="678"/>
      <c r="F39" s="678"/>
      <c r="G39" s="678"/>
      <c r="H39" s="678"/>
      <c r="I39" s="678"/>
      <c r="J39" s="678"/>
      <c r="K39" s="678"/>
      <c r="L39" s="678"/>
      <c r="M39" s="678"/>
      <c r="N39" s="678"/>
      <c r="O39" s="678"/>
      <c r="P39" s="678"/>
      <c r="Q39" s="678"/>
      <c r="R39" s="171"/>
      <c r="S39" s="62">
        <f>SUM(J39:Q39)</f>
        <v>0</v>
      </c>
      <c r="T39" s="468">
        <f>I39-S39</f>
        <v>0</v>
      </c>
    </row>
    <row r="40" spans="1:23" x14ac:dyDescent="0.3">
      <c r="A40" s="62"/>
      <c r="B40" s="62"/>
      <c r="C40" s="121"/>
      <c r="D40" s="678"/>
      <c r="E40" s="678"/>
      <c r="F40" s="678"/>
      <c r="G40" s="677"/>
      <c r="H40" s="677"/>
      <c r="I40" s="677"/>
      <c r="J40" s="677"/>
      <c r="K40" s="677"/>
      <c r="L40" s="677"/>
      <c r="M40" s="677"/>
      <c r="N40" s="677"/>
      <c r="O40" s="677"/>
      <c r="P40" s="677"/>
      <c r="Q40" s="677"/>
      <c r="R40" s="62"/>
      <c r="S40" s="62"/>
      <c r="T40" s="62"/>
    </row>
    <row r="41" spans="1:23" s="1" customFormat="1" x14ac:dyDescent="0.3">
      <c r="A41" s="463" t="s">
        <v>395</v>
      </c>
      <c r="B41" s="62"/>
      <c r="C41" s="121"/>
      <c r="D41" s="678"/>
      <c r="E41" s="678"/>
      <c r="F41" s="678"/>
      <c r="G41" s="677"/>
      <c r="H41" s="677"/>
      <c r="I41" s="677"/>
      <c r="J41" s="677"/>
      <c r="K41" s="677"/>
      <c r="L41" s="677"/>
      <c r="M41" s="677"/>
      <c r="N41" s="677"/>
      <c r="O41" s="677"/>
      <c r="P41" s="677"/>
      <c r="Q41" s="677"/>
      <c r="R41" s="62"/>
      <c r="S41" s="62"/>
      <c r="T41" s="62"/>
      <c r="V41" s="4"/>
      <c r="W41" s="4"/>
    </row>
    <row r="42" spans="1:23" s="1" customFormat="1" x14ac:dyDescent="0.3">
      <c r="A42" s="503" t="s">
        <v>396</v>
      </c>
      <c r="B42" s="504" t="s">
        <v>372</v>
      </c>
      <c r="C42" s="121"/>
      <c r="D42" s="678"/>
      <c r="E42" s="678"/>
      <c r="F42" s="678"/>
      <c r="G42" s="678"/>
      <c r="H42" s="677"/>
      <c r="I42" s="677"/>
      <c r="J42" s="678"/>
      <c r="K42" s="678"/>
      <c r="L42" s="678"/>
      <c r="M42" s="678"/>
      <c r="N42" s="678"/>
      <c r="O42" s="678"/>
      <c r="P42" s="678"/>
      <c r="Q42" s="678"/>
      <c r="R42" s="171"/>
      <c r="S42" s="62">
        <f t="shared" ref="S42:S48" si="8">SUM(J42:Q42)</f>
        <v>0</v>
      </c>
      <c r="T42" s="468">
        <f t="shared" ref="T42:T48" si="9">I42-S42</f>
        <v>0</v>
      </c>
      <c r="V42" s="4"/>
      <c r="W42" s="4"/>
    </row>
    <row r="43" spans="1:23" s="1" customFormat="1" x14ac:dyDescent="0.3">
      <c r="A43" s="503" t="s">
        <v>397</v>
      </c>
      <c r="B43" s="503" t="s">
        <v>374</v>
      </c>
      <c r="C43" s="505"/>
      <c r="D43" s="678"/>
      <c r="E43" s="678"/>
      <c r="F43" s="678"/>
      <c r="G43" s="678"/>
      <c r="H43" s="677"/>
      <c r="I43" s="677"/>
      <c r="J43" s="678"/>
      <c r="K43" s="678"/>
      <c r="L43" s="678"/>
      <c r="M43" s="678"/>
      <c r="N43" s="678"/>
      <c r="O43" s="678"/>
      <c r="P43" s="678"/>
      <c r="Q43" s="678"/>
      <c r="R43" s="171"/>
      <c r="S43" s="62">
        <f t="shared" si="8"/>
        <v>0</v>
      </c>
      <c r="T43" s="468">
        <f t="shared" si="9"/>
        <v>0</v>
      </c>
      <c r="V43" s="4"/>
      <c r="W43" s="4"/>
    </row>
    <row r="44" spans="1:23" s="1" customFormat="1" x14ac:dyDescent="0.3">
      <c r="A44" s="503" t="s">
        <v>398</v>
      </c>
      <c r="B44" s="504" t="s">
        <v>1321</v>
      </c>
      <c r="C44" s="121"/>
      <c r="D44" s="678"/>
      <c r="E44" s="678"/>
      <c r="F44" s="678"/>
      <c r="G44" s="678"/>
      <c r="H44" s="677"/>
      <c r="I44" s="677"/>
      <c r="J44" s="678"/>
      <c r="K44" s="678"/>
      <c r="L44" s="678"/>
      <c r="M44" s="678"/>
      <c r="N44" s="678"/>
      <c r="O44" s="678"/>
      <c r="P44" s="678"/>
      <c r="Q44" s="678"/>
      <c r="R44" s="171"/>
      <c r="S44" s="62">
        <f t="shared" si="8"/>
        <v>0</v>
      </c>
      <c r="T44" s="468">
        <f t="shared" si="9"/>
        <v>0</v>
      </c>
      <c r="V44" s="4"/>
      <c r="W44" s="4"/>
    </row>
    <row r="45" spans="1:23" s="1" customFormat="1" x14ac:dyDescent="0.3">
      <c r="A45" s="503" t="s">
        <v>399</v>
      </c>
      <c r="B45" s="504" t="s">
        <v>400</v>
      </c>
      <c r="C45" s="121"/>
      <c r="D45" s="678"/>
      <c r="E45" s="678"/>
      <c r="F45" s="678"/>
      <c r="G45" s="678"/>
      <c r="H45" s="677"/>
      <c r="I45" s="677"/>
      <c r="J45" s="678"/>
      <c r="K45" s="678"/>
      <c r="L45" s="678"/>
      <c r="M45" s="678"/>
      <c r="N45" s="678"/>
      <c r="O45" s="678"/>
      <c r="P45" s="678"/>
      <c r="Q45" s="678"/>
      <c r="R45" s="171"/>
      <c r="S45" s="62">
        <f t="shared" si="8"/>
        <v>0</v>
      </c>
      <c r="T45" s="468">
        <f t="shared" si="9"/>
        <v>0</v>
      </c>
      <c r="V45" s="4"/>
      <c r="W45" s="4"/>
    </row>
    <row r="46" spans="1:23" s="1" customFormat="1" x14ac:dyDescent="0.3">
      <c r="A46" s="503" t="s">
        <v>401</v>
      </c>
      <c r="B46" s="504" t="s">
        <v>402</v>
      </c>
      <c r="C46" s="121"/>
      <c r="D46" s="678"/>
      <c r="E46" s="678"/>
      <c r="F46" s="678"/>
      <c r="G46" s="678"/>
      <c r="H46" s="677"/>
      <c r="I46" s="677"/>
      <c r="J46" s="678"/>
      <c r="K46" s="678"/>
      <c r="L46" s="678"/>
      <c r="M46" s="678"/>
      <c r="N46" s="678"/>
      <c r="O46" s="678"/>
      <c r="P46" s="678"/>
      <c r="Q46" s="678"/>
      <c r="R46" s="171"/>
      <c r="S46" s="62">
        <f t="shared" si="8"/>
        <v>0</v>
      </c>
      <c r="T46" s="468">
        <f t="shared" si="9"/>
        <v>0</v>
      </c>
      <c r="V46" s="4"/>
      <c r="W46" s="4"/>
    </row>
    <row r="47" spans="1:23" s="1" customFormat="1" x14ac:dyDescent="0.3">
      <c r="A47" s="503" t="s">
        <v>403</v>
      </c>
      <c r="B47" s="504" t="s">
        <v>404</v>
      </c>
      <c r="C47" s="121"/>
      <c r="D47" s="678"/>
      <c r="E47" s="678"/>
      <c r="F47" s="678"/>
      <c r="G47" s="678"/>
      <c r="H47" s="677"/>
      <c r="I47" s="677"/>
      <c r="J47" s="678"/>
      <c r="K47" s="678"/>
      <c r="L47" s="678"/>
      <c r="M47" s="678"/>
      <c r="N47" s="678"/>
      <c r="O47" s="678"/>
      <c r="P47" s="678"/>
      <c r="Q47" s="678"/>
      <c r="R47" s="171"/>
      <c r="S47" s="62">
        <f t="shared" si="8"/>
        <v>0</v>
      </c>
      <c r="T47" s="468">
        <f t="shared" si="9"/>
        <v>0</v>
      </c>
      <c r="V47" s="4"/>
      <c r="W47" s="4"/>
    </row>
    <row r="48" spans="1:23" s="1" customFormat="1" x14ac:dyDescent="0.3">
      <c r="A48" s="503" t="s">
        <v>405</v>
      </c>
      <c r="B48" s="504" t="s">
        <v>406</v>
      </c>
      <c r="C48" s="121"/>
      <c r="D48" s="678"/>
      <c r="E48" s="678"/>
      <c r="F48" s="678"/>
      <c r="G48" s="678"/>
      <c r="H48" s="677"/>
      <c r="I48" s="677"/>
      <c r="J48" s="678"/>
      <c r="K48" s="678"/>
      <c r="L48" s="678"/>
      <c r="M48" s="678"/>
      <c r="N48" s="678"/>
      <c r="O48" s="678"/>
      <c r="P48" s="678"/>
      <c r="Q48" s="678"/>
      <c r="R48" s="171"/>
      <c r="S48" s="62">
        <f t="shared" si="8"/>
        <v>0</v>
      </c>
      <c r="T48" s="468">
        <f t="shared" si="9"/>
        <v>0</v>
      </c>
      <c r="V48" s="4"/>
      <c r="W48" s="4"/>
    </row>
    <row r="49" spans="1:23" s="1" customFormat="1" x14ac:dyDescent="0.3">
      <c r="A49" s="62"/>
      <c r="B49" s="62"/>
      <c r="C49" s="121"/>
      <c r="D49" s="678"/>
      <c r="E49" s="678"/>
      <c r="F49" s="678"/>
      <c r="G49" s="677"/>
      <c r="H49" s="677"/>
      <c r="I49" s="677"/>
      <c r="J49" s="677"/>
      <c r="K49" s="677"/>
      <c r="L49" s="677"/>
      <c r="M49" s="677"/>
      <c r="N49" s="677"/>
      <c r="O49" s="677"/>
      <c r="P49" s="677"/>
      <c r="Q49" s="677"/>
      <c r="R49" s="62"/>
      <c r="S49" s="62"/>
      <c r="T49" s="62"/>
      <c r="V49" s="4"/>
      <c r="W49" s="4"/>
    </row>
    <row r="50" spans="1:23" s="1" customFormat="1" x14ac:dyDescent="0.3">
      <c r="A50" s="62"/>
      <c r="B50" s="62" t="s">
        <v>407</v>
      </c>
      <c r="C50" s="121"/>
      <c r="D50" s="678"/>
      <c r="E50" s="678"/>
      <c r="F50" s="678"/>
      <c r="G50" s="678"/>
      <c r="H50" s="678"/>
      <c r="I50" s="678"/>
      <c r="J50" s="678"/>
      <c r="K50" s="678"/>
      <c r="L50" s="678"/>
      <c r="M50" s="678"/>
      <c r="N50" s="678"/>
      <c r="O50" s="678"/>
      <c r="P50" s="678"/>
      <c r="Q50" s="678"/>
      <c r="R50" s="171"/>
      <c r="S50" s="62">
        <f>SUM(J50:Q50)</f>
        <v>0</v>
      </c>
      <c r="T50" s="468">
        <f>I50-S50</f>
        <v>0</v>
      </c>
      <c r="V50" s="4"/>
      <c r="W50" s="4"/>
    </row>
    <row r="51" spans="1:23" s="1" customFormat="1" x14ac:dyDescent="0.3">
      <c r="A51" s="62"/>
      <c r="B51" s="62"/>
      <c r="C51" s="121"/>
      <c r="D51" s="678"/>
      <c r="E51" s="678"/>
      <c r="F51" s="678"/>
      <c r="G51" s="677"/>
      <c r="H51" s="677"/>
      <c r="I51" s="677"/>
      <c r="J51" s="677"/>
      <c r="K51" s="677"/>
      <c r="L51" s="677"/>
      <c r="M51" s="677"/>
      <c r="N51" s="677"/>
      <c r="O51" s="677"/>
      <c r="P51" s="677"/>
      <c r="Q51" s="677"/>
      <c r="R51" s="62"/>
      <c r="S51" s="62"/>
      <c r="T51" s="62"/>
      <c r="V51" s="4"/>
      <c r="W51" s="4"/>
    </row>
    <row r="52" spans="1:23" s="1" customFormat="1" x14ac:dyDescent="0.3">
      <c r="A52" s="463" t="s">
        <v>408</v>
      </c>
      <c r="B52" s="62"/>
      <c r="C52" s="121"/>
      <c r="D52" s="678"/>
      <c r="E52" s="678"/>
      <c r="F52" s="678"/>
      <c r="G52" s="677"/>
      <c r="H52" s="677"/>
      <c r="I52" s="677"/>
      <c r="J52" s="677"/>
      <c r="K52" s="677"/>
      <c r="L52" s="677"/>
      <c r="M52" s="677"/>
      <c r="N52" s="677"/>
      <c r="O52" s="677"/>
      <c r="P52" s="677"/>
      <c r="Q52" s="677"/>
      <c r="R52" s="62"/>
      <c r="S52" s="62"/>
      <c r="T52" s="62"/>
      <c r="V52" s="4"/>
      <c r="W52" s="4"/>
    </row>
    <row r="53" spans="1:23" x14ac:dyDescent="0.3">
      <c r="A53" s="62" t="s">
        <v>409</v>
      </c>
      <c r="B53" s="501" t="s">
        <v>372</v>
      </c>
      <c r="C53" s="121" t="s">
        <v>19</v>
      </c>
      <c r="D53" s="678"/>
      <c r="E53" s="678"/>
      <c r="F53" s="678"/>
      <c r="G53" s="678"/>
      <c r="H53" s="678"/>
      <c r="I53" s="669"/>
      <c r="J53" s="678"/>
      <c r="K53" s="678"/>
      <c r="L53" s="678"/>
      <c r="M53" s="678"/>
      <c r="N53" s="678"/>
      <c r="O53" s="678"/>
      <c r="P53" s="678"/>
      <c r="Q53" s="678"/>
      <c r="R53" s="171"/>
      <c r="S53" s="62">
        <f t="shared" ref="S53:S59" si="10">SUM(J53:Q53)</f>
        <v>0</v>
      </c>
      <c r="T53" s="468">
        <f t="shared" ref="T53:T59" si="11">I53-S53</f>
        <v>0</v>
      </c>
    </row>
    <row r="54" spans="1:23" x14ac:dyDescent="0.3">
      <c r="A54" s="62" t="s">
        <v>410</v>
      </c>
      <c r="B54" s="502" t="s">
        <v>374</v>
      </c>
      <c r="C54" s="121" t="s">
        <v>19</v>
      </c>
      <c r="D54" s="678"/>
      <c r="E54" s="678"/>
      <c r="F54" s="678"/>
      <c r="G54" s="678"/>
      <c r="H54" s="678"/>
      <c r="I54" s="669"/>
      <c r="J54" s="678"/>
      <c r="K54" s="678"/>
      <c r="L54" s="678"/>
      <c r="M54" s="678"/>
      <c r="N54" s="678"/>
      <c r="O54" s="678"/>
      <c r="P54" s="678"/>
      <c r="Q54" s="678"/>
      <c r="R54" s="171"/>
      <c r="S54" s="62">
        <f t="shared" si="10"/>
        <v>0</v>
      </c>
      <c r="T54" s="468">
        <f t="shared" si="11"/>
        <v>0</v>
      </c>
    </row>
    <row r="55" spans="1:23" x14ac:dyDescent="0.3">
      <c r="A55" s="62" t="s">
        <v>411</v>
      </c>
      <c r="B55" s="501" t="s">
        <v>412</v>
      </c>
      <c r="C55" s="121" t="s">
        <v>19</v>
      </c>
      <c r="D55" s="678"/>
      <c r="E55" s="678"/>
      <c r="F55" s="678"/>
      <c r="G55" s="678"/>
      <c r="H55" s="678"/>
      <c r="I55" s="669"/>
      <c r="J55" s="678"/>
      <c r="K55" s="678"/>
      <c r="L55" s="678"/>
      <c r="M55" s="678"/>
      <c r="N55" s="678"/>
      <c r="O55" s="678"/>
      <c r="P55" s="678"/>
      <c r="Q55" s="678"/>
      <c r="R55" s="171"/>
      <c r="S55" s="62">
        <f t="shared" si="10"/>
        <v>0</v>
      </c>
      <c r="T55" s="468">
        <f t="shared" si="11"/>
        <v>0</v>
      </c>
    </row>
    <row r="56" spans="1:23" x14ac:dyDescent="0.3">
      <c r="A56" s="62" t="s">
        <v>413</v>
      </c>
      <c r="B56" s="501" t="s">
        <v>414</v>
      </c>
      <c r="C56" s="121" t="s">
        <v>19</v>
      </c>
      <c r="D56" s="678"/>
      <c r="E56" s="678"/>
      <c r="F56" s="678"/>
      <c r="G56" s="678"/>
      <c r="H56" s="678"/>
      <c r="I56" s="669"/>
      <c r="J56" s="678"/>
      <c r="K56" s="678"/>
      <c r="L56" s="678"/>
      <c r="M56" s="678"/>
      <c r="N56" s="678"/>
      <c r="O56" s="678"/>
      <c r="P56" s="678"/>
      <c r="Q56" s="678"/>
      <c r="R56" s="171"/>
      <c r="S56" s="62">
        <f t="shared" si="10"/>
        <v>0</v>
      </c>
      <c r="T56" s="468">
        <f t="shared" si="11"/>
        <v>0</v>
      </c>
    </row>
    <row r="57" spans="1:23" x14ac:dyDescent="0.3">
      <c r="A57" s="62" t="s">
        <v>415</v>
      </c>
      <c r="B57" s="502" t="s">
        <v>416</v>
      </c>
      <c r="C57" s="121" t="s">
        <v>19</v>
      </c>
      <c r="D57" s="678"/>
      <c r="E57" s="678"/>
      <c r="F57" s="678"/>
      <c r="G57" s="678"/>
      <c r="H57" s="678"/>
      <c r="I57" s="669"/>
      <c r="J57" s="678"/>
      <c r="K57" s="678"/>
      <c r="L57" s="678"/>
      <c r="M57" s="678"/>
      <c r="N57" s="678"/>
      <c r="O57" s="678"/>
      <c r="P57" s="678"/>
      <c r="Q57" s="678"/>
      <c r="R57" s="171"/>
      <c r="S57" s="62">
        <f t="shared" si="10"/>
        <v>0</v>
      </c>
      <c r="T57" s="468">
        <f t="shared" si="11"/>
        <v>0</v>
      </c>
    </row>
    <row r="58" spans="1:23" x14ac:dyDescent="0.3">
      <c r="A58" s="62" t="s">
        <v>417</v>
      </c>
      <c r="B58" s="501" t="s">
        <v>418</v>
      </c>
      <c r="C58" s="121" t="s">
        <v>19</v>
      </c>
      <c r="D58" s="678"/>
      <c r="E58" s="678"/>
      <c r="F58" s="678"/>
      <c r="G58" s="678"/>
      <c r="H58" s="678"/>
      <c r="I58" s="669"/>
      <c r="J58" s="678"/>
      <c r="K58" s="678"/>
      <c r="L58" s="678"/>
      <c r="M58" s="678"/>
      <c r="N58" s="678"/>
      <c r="O58" s="678"/>
      <c r="P58" s="678"/>
      <c r="Q58" s="678"/>
      <c r="R58" s="171"/>
      <c r="S58" s="62">
        <f t="shared" si="10"/>
        <v>0</v>
      </c>
      <c r="T58" s="468">
        <f t="shared" si="11"/>
        <v>0</v>
      </c>
    </row>
    <row r="59" spans="1:23" x14ac:dyDescent="0.3">
      <c r="A59" s="62" t="s">
        <v>419</v>
      </c>
      <c r="B59" s="501" t="s">
        <v>420</v>
      </c>
      <c r="C59" s="121" t="s">
        <v>19</v>
      </c>
      <c r="D59" s="678"/>
      <c r="E59" s="678"/>
      <c r="F59" s="678"/>
      <c r="G59" s="678"/>
      <c r="H59" s="678"/>
      <c r="I59" s="669"/>
      <c r="J59" s="678"/>
      <c r="K59" s="678"/>
      <c r="L59" s="678"/>
      <c r="M59" s="678"/>
      <c r="N59" s="678"/>
      <c r="O59" s="678"/>
      <c r="P59" s="678"/>
      <c r="Q59" s="678"/>
      <c r="R59" s="171"/>
      <c r="S59" s="62">
        <f t="shared" si="10"/>
        <v>0</v>
      </c>
      <c r="T59" s="468">
        <f t="shared" si="11"/>
        <v>0</v>
      </c>
    </row>
    <row r="60" spans="1:23" x14ac:dyDescent="0.3">
      <c r="A60" s="62"/>
      <c r="B60" s="62"/>
      <c r="C60" s="121"/>
      <c r="D60" s="678"/>
      <c r="E60" s="678"/>
      <c r="F60" s="678"/>
      <c r="G60" s="677"/>
      <c r="H60" s="678"/>
      <c r="I60" s="669"/>
      <c r="J60" s="678"/>
      <c r="K60" s="677"/>
      <c r="L60" s="677"/>
      <c r="M60" s="677"/>
      <c r="N60" s="677"/>
      <c r="O60" s="677"/>
      <c r="P60" s="677"/>
      <c r="Q60" s="677"/>
      <c r="R60" s="62"/>
      <c r="S60" s="62"/>
      <c r="T60" s="62"/>
    </row>
    <row r="61" spans="1:23" x14ac:dyDescent="0.3">
      <c r="A61" s="62"/>
      <c r="B61" s="62" t="s">
        <v>421</v>
      </c>
      <c r="C61" s="121"/>
      <c r="D61" s="678"/>
      <c r="E61" s="678"/>
      <c r="F61" s="678"/>
      <c r="G61" s="678"/>
      <c r="H61" s="678"/>
      <c r="I61" s="678"/>
      <c r="J61" s="678"/>
      <c r="K61" s="678"/>
      <c r="L61" s="678"/>
      <c r="M61" s="678"/>
      <c r="N61" s="678"/>
      <c r="O61" s="678"/>
      <c r="P61" s="678"/>
      <c r="Q61" s="678"/>
      <c r="R61" s="171"/>
      <c r="S61" s="62">
        <f>SUM(J61:Q61)</f>
        <v>0</v>
      </c>
      <c r="T61" s="468">
        <f>I61-S61</f>
        <v>0</v>
      </c>
    </row>
    <row r="62" spans="1:23" x14ac:dyDescent="0.3">
      <c r="A62" s="62"/>
      <c r="B62" s="62"/>
      <c r="C62" s="121"/>
      <c r="D62" s="171"/>
      <c r="E62" s="171"/>
      <c r="F62" s="171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</row>
    <row r="63" spans="1:23" x14ac:dyDescent="0.3">
      <c r="A63" s="62"/>
      <c r="B63" s="498" t="s">
        <v>422</v>
      </c>
      <c r="C63" s="505"/>
      <c r="D63" s="680">
        <v>7190314164.1700001</v>
      </c>
      <c r="E63" s="680">
        <v>0</v>
      </c>
      <c r="F63" s="680">
        <v>7190314164.1700001</v>
      </c>
      <c r="G63" s="680">
        <v>0</v>
      </c>
      <c r="H63" s="680">
        <v>7190314164.1700001</v>
      </c>
      <c r="I63" s="680">
        <v>7190314164.1700001</v>
      </c>
      <c r="J63" s="680">
        <v>7189804094.1700001</v>
      </c>
      <c r="K63" s="680">
        <v>510070</v>
      </c>
      <c r="L63" s="680">
        <v>0</v>
      </c>
      <c r="M63" s="680">
        <v>0</v>
      </c>
      <c r="N63" s="680">
        <v>0</v>
      </c>
      <c r="O63" s="680">
        <v>0</v>
      </c>
      <c r="P63" s="680">
        <v>0</v>
      </c>
      <c r="Q63" s="680">
        <v>0</v>
      </c>
      <c r="R63" s="171"/>
      <c r="S63" s="62">
        <f>SUM(J63:Q63)</f>
        <v>7190314164.1700001</v>
      </c>
      <c r="T63" s="468">
        <f>I63-S63</f>
        <v>0</v>
      </c>
    </row>
    <row r="64" spans="1:23" x14ac:dyDescent="0.3">
      <c r="A64" s="62"/>
      <c r="B64" s="62"/>
      <c r="C64" s="121"/>
      <c r="D64" s="171"/>
      <c r="E64" s="171"/>
      <c r="F64" s="171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</row>
    <row r="65" spans="1:20" x14ac:dyDescent="0.3">
      <c r="A65" s="499" t="s">
        <v>423</v>
      </c>
      <c r="B65" s="62"/>
      <c r="C65" s="121"/>
      <c r="D65" s="171"/>
      <c r="E65" s="171"/>
      <c r="F65" s="171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</row>
    <row r="66" spans="1:20" x14ac:dyDescent="0.3">
      <c r="A66" s="498" t="s">
        <v>424</v>
      </c>
      <c r="B66" s="504" t="s">
        <v>425</v>
      </c>
      <c r="C66" s="121" t="s">
        <v>19</v>
      </c>
      <c r="D66" s="171">
        <v>95574756.910000011</v>
      </c>
      <c r="E66" s="171">
        <v>0</v>
      </c>
      <c r="F66" s="171">
        <f>D66+E66</f>
        <v>95574756.910000011</v>
      </c>
      <c r="G66" s="171">
        <v>0</v>
      </c>
      <c r="H66" s="468">
        <f t="shared" ref="H66:H74" si="12">F66</f>
        <v>95574756.910000011</v>
      </c>
      <c r="I66" s="468">
        <f t="shared" ref="I66:I74" si="13">H66</f>
        <v>95574756.910000011</v>
      </c>
      <c r="J66" s="171">
        <v>262521.31399974052</v>
      </c>
      <c r="K66" s="171">
        <v>93251079.245797455</v>
      </c>
      <c r="L66" s="171">
        <v>2061156.3502027788</v>
      </c>
      <c r="M66" s="171"/>
      <c r="N66" s="171"/>
      <c r="O66" s="171"/>
      <c r="P66" s="171"/>
      <c r="Q66" s="171"/>
      <c r="R66" s="171"/>
      <c r="S66" s="62">
        <f t="shared" ref="S66:S74" si="14">SUM(J66:Q66)</f>
        <v>95574756.909999982</v>
      </c>
      <c r="T66" s="468">
        <f t="shared" ref="T66:T74" si="15">I66-S66</f>
        <v>0</v>
      </c>
    </row>
    <row r="67" spans="1:20" x14ac:dyDescent="0.3">
      <c r="A67" s="498" t="s">
        <v>426</v>
      </c>
      <c r="B67" s="504" t="s">
        <v>374</v>
      </c>
      <c r="C67" s="121" t="s">
        <v>19</v>
      </c>
      <c r="D67" s="171">
        <v>0</v>
      </c>
      <c r="E67" s="171">
        <v>0</v>
      </c>
      <c r="F67" s="171">
        <f t="shared" ref="F67:F74" si="16">D67+E67</f>
        <v>0</v>
      </c>
      <c r="G67" s="171">
        <v>0</v>
      </c>
      <c r="H67" s="468">
        <f t="shared" si="12"/>
        <v>0</v>
      </c>
      <c r="I67" s="468">
        <f t="shared" si="13"/>
        <v>0</v>
      </c>
      <c r="J67" s="171"/>
      <c r="K67" s="171">
        <f>I67</f>
        <v>0</v>
      </c>
      <c r="L67" s="171"/>
      <c r="M67" s="171"/>
      <c r="N67" s="171"/>
      <c r="O67" s="171"/>
      <c r="P67" s="171"/>
      <c r="Q67" s="171"/>
      <c r="R67" s="171"/>
      <c r="S67" s="62">
        <f t="shared" si="14"/>
        <v>0</v>
      </c>
      <c r="T67" s="468">
        <f t="shared" si="15"/>
        <v>0</v>
      </c>
    </row>
    <row r="68" spans="1:20" x14ac:dyDescent="0.3">
      <c r="A68" s="498" t="s">
        <v>427</v>
      </c>
      <c r="B68" s="504" t="s">
        <v>428</v>
      </c>
      <c r="C68" s="121" t="s">
        <v>19</v>
      </c>
      <c r="D68" s="171">
        <v>396261138.77000004</v>
      </c>
      <c r="E68" s="171">
        <v>0</v>
      </c>
      <c r="F68" s="171">
        <f t="shared" si="16"/>
        <v>396261138.77000004</v>
      </c>
      <c r="G68" s="171">
        <v>0</v>
      </c>
      <c r="H68" s="468">
        <f t="shared" si="12"/>
        <v>396261138.77000004</v>
      </c>
      <c r="I68" s="468">
        <f t="shared" si="13"/>
        <v>396261138.77000004</v>
      </c>
      <c r="J68" s="171">
        <v>10561638.670000002</v>
      </c>
      <c r="K68" s="171">
        <v>377107422.75733805</v>
      </c>
      <c r="L68" s="171">
        <v>8592077.3426617496</v>
      </c>
      <c r="M68" s="506"/>
      <c r="N68" s="506"/>
      <c r="O68" s="506"/>
      <c r="P68" s="506"/>
      <c r="Q68" s="506"/>
      <c r="R68" s="506"/>
      <c r="S68" s="62">
        <f t="shared" si="14"/>
        <v>396261138.7699998</v>
      </c>
      <c r="T68" s="468">
        <f t="shared" si="15"/>
        <v>0</v>
      </c>
    </row>
    <row r="69" spans="1:20" x14ac:dyDescent="0.3">
      <c r="A69" s="498" t="s">
        <v>429</v>
      </c>
      <c r="B69" s="504" t="s">
        <v>430</v>
      </c>
      <c r="C69" s="121" t="s">
        <v>19</v>
      </c>
      <c r="D69" s="171">
        <v>0</v>
      </c>
      <c r="E69" s="171">
        <v>0</v>
      </c>
      <c r="F69" s="171">
        <f t="shared" si="16"/>
        <v>0</v>
      </c>
      <c r="G69" s="171">
        <v>0</v>
      </c>
      <c r="H69" s="468">
        <f t="shared" si="12"/>
        <v>0</v>
      </c>
      <c r="I69" s="468">
        <f t="shared" si="13"/>
        <v>0</v>
      </c>
      <c r="J69" s="171"/>
      <c r="K69" s="171">
        <f t="shared" ref="K69:K74" si="17">I69</f>
        <v>0</v>
      </c>
      <c r="L69" s="171"/>
      <c r="M69" s="171"/>
      <c r="N69" s="171"/>
      <c r="O69" s="171"/>
      <c r="P69" s="171"/>
      <c r="Q69" s="171"/>
      <c r="R69" s="171"/>
      <c r="S69" s="62">
        <f t="shared" si="14"/>
        <v>0</v>
      </c>
      <c r="T69" s="468">
        <f t="shared" si="15"/>
        <v>0</v>
      </c>
    </row>
    <row r="70" spans="1:20" x14ac:dyDescent="0.3">
      <c r="A70" s="498" t="s">
        <v>431</v>
      </c>
      <c r="B70" s="504" t="s">
        <v>432</v>
      </c>
      <c r="C70" s="121" t="s">
        <v>19</v>
      </c>
      <c r="D70" s="171">
        <v>381123305.40999997</v>
      </c>
      <c r="E70" s="171">
        <v>0</v>
      </c>
      <c r="F70" s="171">
        <f t="shared" si="16"/>
        <v>381123305.40999997</v>
      </c>
      <c r="G70" s="171">
        <v>0</v>
      </c>
      <c r="H70" s="468">
        <f t="shared" si="12"/>
        <v>381123305.40999997</v>
      </c>
      <c r="I70" s="468">
        <f t="shared" si="13"/>
        <v>381123305.40999997</v>
      </c>
      <c r="J70" s="171"/>
      <c r="K70" s="171">
        <f t="shared" si="17"/>
        <v>381123305.40999997</v>
      </c>
      <c r="L70" s="171"/>
      <c r="M70" s="171"/>
      <c r="N70" s="171"/>
      <c r="O70" s="171"/>
      <c r="P70" s="171"/>
      <c r="Q70" s="171"/>
      <c r="R70" s="171"/>
      <c r="S70" s="62">
        <f t="shared" si="14"/>
        <v>381123305.40999997</v>
      </c>
      <c r="T70" s="468">
        <f t="shared" si="15"/>
        <v>0</v>
      </c>
    </row>
    <row r="71" spans="1:20" x14ac:dyDescent="0.3">
      <c r="A71" s="498" t="s">
        <v>433</v>
      </c>
      <c r="B71" s="504" t="s">
        <v>434</v>
      </c>
      <c r="C71" s="121" t="s">
        <v>19</v>
      </c>
      <c r="D71" s="171">
        <v>112945575.86000001</v>
      </c>
      <c r="E71" s="171">
        <v>0</v>
      </c>
      <c r="F71" s="171">
        <f t="shared" si="16"/>
        <v>112945575.86000001</v>
      </c>
      <c r="G71" s="171">
        <v>0</v>
      </c>
      <c r="H71" s="468">
        <f t="shared" si="12"/>
        <v>112945575.86000001</v>
      </c>
      <c r="I71" s="468">
        <f t="shared" si="13"/>
        <v>112945575.86000001</v>
      </c>
      <c r="J71" s="171"/>
      <c r="K71" s="171">
        <f t="shared" si="17"/>
        <v>112945575.86000001</v>
      </c>
      <c r="L71" s="171"/>
      <c r="M71" s="171"/>
      <c r="N71" s="171"/>
      <c r="O71" s="171"/>
      <c r="P71" s="171"/>
      <c r="Q71" s="171"/>
      <c r="R71" s="171"/>
      <c r="S71" s="62">
        <f t="shared" si="14"/>
        <v>112945575.86000001</v>
      </c>
      <c r="T71" s="468">
        <f t="shared" si="15"/>
        <v>0</v>
      </c>
    </row>
    <row r="72" spans="1:20" x14ac:dyDescent="0.3">
      <c r="A72" s="498" t="s">
        <v>435</v>
      </c>
      <c r="B72" s="504" t="s">
        <v>1322</v>
      </c>
      <c r="C72" s="121" t="s">
        <v>19</v>
      </c>
      <c r="D72" s="171">
        <v>0</v>
      </c>
      <c r="E72" s="171">
        <v>0</v>
      </c>
      <c r="F72" s="171">
        <f t="shared" si="16"/>
        <v>0</v>
      </c>
      <c r="G72" s="171">
        <v>0</v>
      </c>
      <c r="H72" s="468">
        <f t="shared" si="12"/>
        <v>0</v>
      </c>
      <c r="I72" s="468">
        <f t="shared" si="13"/>
        <v>0</v>
      </c>
      <c r="J72" s="171"/>
      <c r="K72" s="171">
        <f t="shared" si="17"/>
        <v>0</v>
      </c>
      <c r="L72" s="171"/>
      <c r="M72" s="171"/>
      <c r="N72" s="171"/>
      <c r="O72" s="171"/>
      <c r="P72" s="171"/>
      <c r="Q72" s="171"/>
      <c r="R72" s="171"/>
      <c r="S72" s="62">
        <f t="shared" si="14"/>
        <v>0</v>
      </c>
      <c r="T72" s="468">
        <f t="shared" si="15"/>
        <v>0</v>
      </c>
    </row>
    <row r="73" spans="1:20" x14ac:dyDescent="0.3">
      <c r="A73" s="498" t="s">
        <v>436</v>
      </c>
      <c r="B73" s="503" t="s">
        <v>437</v>
      </c>
      <c r="C73" s="121" t="s">
        <v>19</v>
      </c>
      <c r="D73" s="171">
        <v>2312354.59</v>
      </c>
      <c r="E73" s="171">
        <v>0</v>
      </c>
      <c r="F73" s="171">
        <f t="shared" si="16"/>
        <v>2312354.59</v>
      </c>
      <c r="G73" s="171">
        <v>0</v>
      </c>
      <c r="H73" s="468">
        <f t="shared" si="12"/>
        <v>2312354.59</v>
      </c>
      <c r="I73" s="468">
        <f t="shared" si="13"/>
        <v>2312354.59</v>
      </c>
      <c r="J73" s="171"/>
      <c r="K73" s="171">
        <f t="shared" si="17"/>
        <v>2312354.59</v>
      </c>
      <c r="L73" s="171"/>
      <c r="M73" s="171"/>
      <c r="N73" s="171"/>
      <c r="O73" s="171"/>
      <c r="P73" s="171"/>
      <c r="Q73" s="171"/>
      <c r="R73" s="171"/>
      <c r="S73" s="62">
        <f t="shared" si="14"/>
        <v>2312354.59</v>
      </c>
      <c r="T73" s="468">
        <f t="shared" si="15"/>
        <v>0</v>
      </c>
    </row>
    <row r="74" spans="1:20" x14ac:dyDescent="0.3">
      <c r="A74" s="498" t="s">
        <v>438</v>
      </c>
      <c r="B74" s="504" t="s">
        <v>439</v>
      </c>
      <c r="C74" s="121" t="s">
        <v>19</v>
      </c>
      <c r="D74" s="171">
        <v>0</v>
      </c>
      <c r="E74" s="171">
        <v>0</v>
      </c>
      <c r="F74" s="171">
        <f t="shared" si="16"/>
        <v>0</v>
      </c>
      <c r="G74" s="171">
        <v>0</v>
      </c>
      <c r="H74" s="468">
        <f t="shared" si="12"/>
        <v>0</v>
      </c>
      <c r="I74" s="468">
        <f t="shared" si="13"/>
        <v>0</v>
      </c>
      <c r="J74" s="171"/>
      <c r="K74" s="171">
        <f t="shared" si="17"/>
        <v>0</v>
      </c>
      <c r="L74" s="171"/>
      <c r="M74" s="171"/>
      <c r="N74" s="171"/>
      <c r="O74" s="171"/>
      <c r="P74" s="171"/>
      <c r="Q74" s="171"/>
      <c r="R74" s="171"/>
      <c r="S74" s="62">
        <f t="shared" si="14"/>
        <v>0</v>
      </c>
      <c r="T74" s="468">
        <f t="shared" si="15"/>
        <v>0</v>
      </c>
    </row>
    <row r="75" spans="1:20" x14ac:dyDescent="0.3">
      <c r="A75" s="498"/>
      <c r="B75" s="62"/>
      <c r="C75" s="121"/>
      <c r="D75" s="171"/>
      <c r="E75" s="171"/>
      <c r="F75" s="171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</row>
    <row r="76" spans="1:20" x14ac:dyDescent="0.3">
      <c r="A76" s="62"/>
      <c r="B76" s="498" t="s">
        <v>440</v>
      </c>
      <c r="C76" s="505"/>
      <c r="D76" s="171">
        <f>SUM(D66:D74)</f>
        <v>988217131.54000008</v>
      </c>
      <c r="E76" s="171">
        <f>SUM(E66:E74)</f>
        <v>0</v>
      </c>
      <c r="F76" s="171">
        <f>SUM(F66:F74)</f>
        <v>988217131.54000008</v>
      </c>
      <c r="G76" s="62"/>
      <c r="H76" s="171">
        <f>SUM(H66:H74)</f>
        <v>988217131.54000008</v>
      </c>
      <c r="I76" s="171">
        <f>SUM(I66:I74)</f>
        <v>988217131.54000008</v>
      </c>
      <c r="J76" s="171">
        <f>SUM(J66:J74)</f>
        <v>10824159.983999742</v>
      </c>
      <c r="K76" s="171">
        <f>SUM(K66:K74)</f>
        <v>966739737.86313558</v>
      </c>
      <c r="L76" s="171">
        <f>SUM(L66:L74)</f>
        <v>10653233.692864528</v>
      </c>
      <c r="M76" s="171"/>
      <c r="N76" s="171"/>
      <c r="O76" s="171"/>
      <c r="P76" s="171"/>
      <c r="Q76" s="171"/>
      <c r="R76" s="171"/>
      <c r="S76" s="62">
        <f>SUM(J76:Q76)</f>
        <v>988217131.53999984</v>
      </c>
      <c r="T76" s="468">
        <f>I76-S76</f>
        <v>0</v>
      </c>
    </row>
    <row r="77" spans="1:20" x14ac:dyDescent="0.3">
      <c r="A77" s="62"/>
      <c r="B77" s="62"/>
      <c r="C77" s="121"/>
      <c r="D77" s="171"/>
      <c r="E77" s="171"/>
      <c r="F77" s="171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</row>
    <row r="78" spans="1:20" x14ac:dyDescent="0.3">
      <c r="A78" s="499" t="s">
        <v>441</v>
      </c>
      <c r="B78" s="62"/>
      <c r="C78" s="121"/>
      <c r="D78" s="171"/>
      <c r="E78" s="171"/>
      <c r="F78" s="171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</row>
    <row r="79" spans="1:20" x14ac:dyDescent="0.3">
      <c r="A79" s="503" t="s">
        <v>442</v>
      </c>
      <c r="B79" s="504" t="s">
        <v>425</v>
      </c>
      <c r="C79" s="121" t="s">
        <v>19</v>
      </c>
      <c r="D79" s="171">
        <v>20929110.040000003</v>
      </c>
      <c r="E79" s="171">
        <v>0</v>
      </c>
      <c r="F79" s="171">
        <f t="shared" ref="F79:F92" si="18">D79+E79</f>
        <v>20929110.040000003</v>
      </c>
      <c r="G79" s="171">
        <v>0</v>
      </c>
      <c r="H79" s="468">
        <f t="shared" ref="H79:H92" si="19">F79</f>
        <v>20929110.040000003</v>
      </c>
      <c r="I79" s="468">
        <f t="shared" ref="I79:I92" si="20">H79</f>
        <v>20929110.040000003</v>
      </c>
      <c r="J79" s="171">
        <v>0</v>
      </c>
      <c r="K79" s="171">
        <v>7893628.9847033881</v>
      </c>
      <c r="L79" s="171">
        <v>13035481.055296611</v>
      </c>
      <c r="M79" s="171"/>
      <c r="N79" s="171"/>
      <c r="O79" s="171"/>
      <c r="P79" s="171"/>
      <c r="Q79" s="171"/>
      <c r="R79" s="171"/>
      <c r="S79" s="62">
        <f t="shared" ref="S79:S92" si="21">SUM(J79:Q79)</f>
        <v>20929110.039999999</v>
      </c>
      <c r="T79" s="468">
        <f t="shared" ref="T79:T92" si="22">I79-S79</f>
        <v>0</v>
      </c>
    </row>
    <row r="80" spans="1:20" x14ac:dyDescent="0.3">
      <c r="A80" s="503" t="s">
        <v>443</v>
      </c>
      <c r="B80" s="503" t="s">
        <v>374</v>
      </c>
      <c r="C80" s="121" t="s">
        <v>19</v>
      </c>
      <c r="D80" s="171">
        <v>3945712.81</v>
      </c>
      <c r="E80" s="171">
        <v>0</v>
      </c>
      <c r="F80" s="171">
        <f t="shared" si="18"/>
        <v>3945712.81</v>
      </c>
      <c r="G80" s="171">
        <v>0</v>
      </c>
      <c r="H80" s="468">
        <f t="shared" si="19"/>
        <v>3945712.81</v>
      </c>
      <c r="I80" s="468">
        <f t="shared" si="20"/>
        <v>3945712.81</v>
      </c>
      <c r="J80" s="171"/>
      <c r="K80" s="171"/>
      <c r="L80" s="171">
        <f>I80</f>
        <v>3945712.81</v>
      </c>
      <c r="M80" s="171"/>
      <c r="N80" s="171"/>
      <c r="O80" s="171"/>
      <c r="P80" s="171"/>
      <c r="Q80" s="171"/>
      <c r="R80" s="171"/>
      <c r="S80" s="62">
        <f t="shared" si="21"/>
        <v>3945712.81</v>
      </c>
      <c r="T80" s="468">
        <f t="shared" si="22"/>
        <v>0</v>
      </c>
    </row>
    <row r="81" spans="1:20" x14ac:dyDescent="0.3">
      <c r="A81" s="503" t="s">
        <v>444</v>
      </c>
      <c r="B81" s="504" t="s">
        <v>428</v>
      </c>
      <c r="C81" s="121" t="s">
        <v>19</v>
      </c>
      <c r="D81" s="171">
        <v>565605247.60000002</v>
      </c>
      <c r="E81" s="171">
        <v>0</v>
      </c>
      <c r="F81" s="171">
        <f t="shared" si="18"/>
        <v>565605247.60000002</v>
      </c>
      <c r="G81" s="171">
        <v>0</v>
      </c>
      <c r="H81" s="468">
        <f t="shared" si="19"/>
        <v>565605247.60000002</v>
      </c>
      <c r="I81" s="468">
        <f t="shared" si="20"/>
        <v>565605247.60000002</v>
      </c>
      <c r="J81" s="171">
        <v>0</v>
      </c>
      <c r="K81" s="171">
        <v>116601118.02967478</v>
      </c>
      <c r="L81" s="171">
        <v>449004129.57032502</v>
      </c>
      <c r="M81" s="171"/>
      <c r="N81" s="171"/>
      <c r="O81" s="171"/>
      <c r="P81" s="171"/>
      <c r="Q81" s="171"/>
      <c r="R81" s="171"/>
      <c r="S81" s="62">
        <f t="shared" si="21"/>
        <v>565605247.59999979</v>
      </c>
      <c r="T81" s="468">
        <f t="shared" si="22"/>
        <v>0</v>
      </c>
    </row>
    <row r="82" spans="1:20" x14ac:dyDescent="0.3">
      <c r="A82" s="504" t="s">
        <v>445</v>
      </c>
      <c r="B82" s="504" t="s">
        <v>446</v>
      </c>
      <c r="C82" s="121" t="s">
        <v>19</v>
      </c>
      <c r="D82" s="171">
        <v>0</v>
      </c>
      <c r="E82" s="171">
        <v>0</v>
      </c>
      <c r="F82" s="171">
        <f t="shared" si="18"/>
        <v>0</v>
      </c>
      <c r="G82" s="171">
        <v>0</v>
      </c>
      <c r="H82" s="468">
        <f t="shared" si="19"/>
        <v>0</v>
      </c>
      <c r="I82" s="468">
        <f t="shared" si="20"/>
        <v>0</v>
      </c>
      <c r="J82" s="171"/>
      <c r="K82" s="171"/>
      <c r="L82" s="171">
        <f t="shared" ref="L82:L88" si="23">I82</f>
        <v>0</v>
      </c>
      <c r="M82" s="171"/>
      <c r="N82" s="171"/>
      <c r="O82" s="171"/>
      <c r="P82" s="171"/>
      <c r="Q82" s="171"/>
      <c r="R82" s="171"/>
      <c r="S82" s="62">
        <f t="shared" si="21"/>
        <v>0</v>
      </c>
      <c r="T82" s="468">
        <f t="shared" si="22"/>
        <v>0</v>
      </c>
    </row>
    <row r="83" spans="1:20" x14ac:dyDescent="0.3">
      <c r="A83" s="503" t="s">
        <v>447</v>
      </c>
      <c r="B83" s="503" t="s">
        <v>1323</v>
      </c>
      <c r="C83" s="121" t="s">
        <v>19</v>
      </c>
      <c r="D83" s="171">
        <v>507041244.29999995</v>
      </c>
      <c r="E83" s="171">
        <v>0</v>
      </c>
      <c r="F83" s="171">
        <f t="shared" si="18"/>
        <v>507041244.29999995</v>
      </c>
      <c r="G83" s="171">
        <v>0</v>
      </c>
      <c r="H83" s="468">
        <f t="shared" si="19"/>
        <v>507041244.29999995</v>
      </c>
      <c r="I83" s="468">
        <f t="shared" si="20"/>
        <v>507041244.29999995</v>
      </c>
      <c r="J83" s="171"/>
      <c r="K83" s="171"/>
      <c r="L83" s="171">
        <f t="shared" si="23"/>
        <v>507041244.29999995</v>
      </c>
      <c r="M83" s="171"/>
      <c r="N83" s="171"/>
      <c r="O83" s="171"/>
      <c r="P83" s="171"/>
      <c r="Q83" s="171"/>
      <c r="R83" s="171"/>
      <c r="S83" s="62">
        <f t="shared" si="21"/>
        <v>507041244.29999995</v>
      </c>
      <c r="T83" s="468">
        <f t="shared" si="22"/>
        <v>0</v>
      </c>
    </row>
    <row r="84" spans="1:20" x14ac:dyDescent="0.3">
      <c r="A84" s="503" t="s">
        <v>448</v>
      </c>
      <c r="B84" s="504" t="s">
        <v>434</v>
      </c>
      <c r="C84" s="121" t="s">
        <v>19</v>
      </c>
      <c r="D84" s="171">
        <v>333076056.63</v>
      </c>
      <c r="E84" s="171">
        <v>0</v>
      </c>
      <c r="F84" s="171">
        <f t="shared" si="18"/>
        <v>333076056.63</v>
      </c>
      <c r="G84" s="171">
        <v>0</v>
      </c>
      <c r="H84" s="468">
        <f t="shared" si="19"/>
        <v>333076056.63</v>
      </c>
      <c r="I84" s="468">
        <f t="shared" si="20"/>
        <v>333076056.63</v>
      </c>
      <c r="J84" s="171"/>
      <c r="K84" s="171"/>
      <c r="L84" s="171">
        <f t="shared" si="23"/>
        <v>333076056.63</v>
      </c>
      <c r="M84" s="171"/>
      <c r="N84" s="171"/>
      <c r="O84" s="171"/>
      <c r="P84" s="171"/>
      <c r="Q84" s="171"/>
      <c r="R84" s="171"/>
      <c r="S84" s="62">
        <f t="shared" si="21"/>
        <v>333076056.63</v>
      </c>
      <c r="T84" s="468">
        <f t="shared" si="22"/>
        <v>0</v>
      </c>
    </row>
    <row r="85" spans="1:20" x14ac:dyDescent="0.3">
      <c r="A85" s="503" t="s">
        <v>449</v>
      </c>
      <c r="B85" s="504" t="s">
        <v>450</v>
      </c>
      <c r="C85" s="121" t="s">
        <v>19</v>
      </c>
      <c r="D85" s="171">
        <v>523756236.70000005</v>
      </c>
      <c r="E85" s="171">
        <v>0</v>
      </c>
      <c r="F85" s="171">
        <f t="shared" si="18"/>
        <v>523756236.70000005</v>
      </c>
      <c r="G85" s="171">
        <v>0</v>
      </c>
      <c r="H85" s="468">
        <f t="shared" si="19"/>
        <v>523756236.70000005</v>
      </c>
      <c r="I85" s="468">
        <f t="shared" si="20"/>
        <v>523756236.70000005</v>
      </c>
      <c r="J85" s="171"/>
      <c r="K85" s="171"/>
      <c r="L85" s="171">
        <f t="shared" si="23"/>
        <v>523756236.70000005</v>
      </c>
      <c r="M85" s="171"/>
      <c r="N85" s="171"/>
      <c r="O85" s="171"/>
      <c r="P85" s="171"/>
      <c r="Q85" s="171"/>
      <c r="R85" s="171"/>
      <c r="S85" s="62">
        <f t="shared" si="21"/>
        <v>523756236.70000005</v>
      </c>
      <c r="T85" s="468">
        <f t="shared" si="22"/>
        <v>0</v>
      </c>
    </row>
    <row r="86" spans="1:20" x14ac:dyDescent="0.3">
      <c r="A86" s="503" t="s">
        <v>451</v>
      </c>
      <c r="B86" s="503" t="s">
        <v>452</v>
      </c>
      <c r="C86" s="121" t="s">
        <v>19</v>
      </c>
      <c r="D86" s="171">
        <v>508422959.67999995</v>
      </c>
      <c r="E86" s="171">
        <v>0</v>
      </c>
      <c r="F86" s="171">
        <f t="shared" si="18"/>
        <v>508422959.67999995</v>
      </c>
      <c r="G86" s="171">
        <v>0</v>
      </c>
      <c r="H86" s="468">
        <f t="shared" si="19"/>
        <v>508422959.67999995</v>
      </c>
      <c r="I86" s="468">
        <f t="shared" si="20"/>
        <v>508422959.67999995</v>
      </c>
      <c r="J86" s="171"/>
      <c r="K86" s="171"/>
      <c r="L86" s="171">
        <f t="shared" si="23"/>
        <v>508422959.67999995</v>
      </c>
      <c r="M86" s="171"/>
      <c r="N86" s="171"/>
      <c r="O86" s="171"/>
      <c r="P86" s="171"/>
      <c r="Q86" s="171"/>
      <c r="R86" s="171"/>
      <c r="S86" s="62">
        <f t="shared" si="21"/>
        <v>508422959.67999995</v>
      </c>
      <c r="T86" s="468">
        <f t="shared" si="22"/>
        <v>0</v>
      </c>
    </row>
    <row r="87" spans="1:20" x14ac:dyDescent="0.3">
      <c r="A87" s="503" t="s">
        <v>453</v>
      </c>
      <c r="B87" s="504" t="s">
        <v>454</v>
      </c>
      <c r="C87" s="121" t="s">
        <v>19</v>
      </c>
      <c r="D87" s="171">
        <v>675596273.5</v>
      </c>
      <c r="E87" s="171">
        <v>0</v>
      </c>
      <c r="F87" s="171">
        <f t="shared" si="18"/>
        <v>675596273.5</v>
      </c>
      <c r="G87" s="171">
        <v>0</v>
      </c>
      <c r="H87" s="468">
        <f t="shared" si="19"/>
        <v>675596273.5</v>
      </c>
      <c r="I87" s="468">
        <f t="shared" si="20"/>
        <v>675596273.5</v>
      </c>
      <c r="J87" s="171"/>
      <c r="K87" s="171"/>
      <c r="L87" s="171">
        <f t="shared" si="23"/>
        <v>675596273.5</v>
      </c>
      <c r="M87" s="171"/>
      <c r="N87" s="171"/>
      <c r="O87" s="171"/>
      <c r="P87" s="171"/>
      <c r="Q87" s="171"/>
      <c r="R87" s="171"/>
      <c r="S87" s="62">
        <f t="shared" si="21"/>
        <v>675596273.5</v>
      </c>
      <c r="T87" s="468">
        <f t="shared" si="22"/>
        <v>0</v>
      </c>
    </row>
    <row r="88" spans="1:20" x14ac:dyDescent="0.3">
      <c r="A88" s="503" t="s">
        <v>455</v>
      </c>
      <c r="B88" s="503" t="s">
        <v>456</v>
      </c>
      <c r="C88" s="121" t="s">
        <v>19</v>
      </c>
      <c r="D88" s="171">
        <v>325027610.51999998</v>
      </c>
      <c r="E88" s="171">
        <v>0</v>
      </c>
      <c r="F88" s="171">
        <f t="shared" si="18"/>
        <v>325027610.51999998</v>
      </c>
      <c r="G88" s="171">
        <v>0</v>
      </c>
      <c r="H88" s="468">
        <f t="shared" si="19"/>
        <v>325027610.51999998</v>
      </c>
      <c r="I88" s="468">
        <f t="shared" si="20"/>
        <v>325027610.51999998</v>
      </c>
      <c r="J88" s="171"/>
      <c r="K88" s="171"/>
      <c r="L88" s="171">
        <f t="shared" si="23"/>
        <v>325027610.51999998</v>
      </c>
      <c r="M88" s="171"/>
      <c r="N88" s="171"/>
      <c r="O88" s="171"/>
      <c r="P88" s="171"/>
      <c r="Q88" s="171"/>
      <c r="R88" s="171"/>
      <c r="S88" s="62">
        <f t="shared" si="21"/>
        <v>325027610.51999998</v>
      </c>
      <c r="T88" s="468">
        <f t="shared" si="22"/>
        <v>0</v>
      </c>
    </row>
    <row r="89" spans="1:20" x14ac:dyDescent="0.3">
      <c r="A89" s="503" t="s">
        <v>457</v>
      </c>
      <c r="B89" s="504" t="s">
        <v>458</v>
      </c>
      <c r="C89" s="121" t="s">
        <v>19</v>
      </c>
      <c r="D89" s="171">
        <v>185525642.88</v>
      </c>
      <c r="E89" s="171">
        <v>0</v>
      </c>
      <c r="F89" s="171">
        <f t="shared" si="18"/>
        <v>185525642.88</v>
      </c>
      <c r="G89" s="171">
        <v>0</v>
      </c>
      <c r="H89" s="468">
        <f t="shared" si="19"/>
        <v>185525642.88</v>
      </c>
      <c r="I89" s="468">
        <f t="shared" si="20"/>
        <v>185525642.88</v>
      </c>
      <c r="J89" s="171"/>
      <c r="K89" s="171"/>
      <c r="L89" s="171"/>
      <c r="M89" s="171">
        <f>I89</f>
        <v>185525642.88</v>
      </c>
      <c r="N89" s="171"/>
      <c r="O89" s="171"/>
      <c r="P89" s="171"/>
      <c r="Q89" s="171"/>
      <c r="R89" s="171"/>
      <c r="S89" s="62">
        <f t="shared" si="21"/>
        <v>185525642.88</v>
      </c>
      <c r="T89" s="468">
        <f t="shared" si="22"/>
        <v>0</v>
      </c>
    </row>
    <row r="90" spans="1:20" x14ac:dyDescent="0.3">
      <c r="A90" s="504" t="s">
        <v>459</v>
      </c>
      <c r="B90" s="504" t="s">
        <v>460</v>
      </c>
      <c r="C90" s="121" t="s">
        <v>19</v>
      </c>
      <c r="D90" s="171">
        <v>0</v>
      </c>
      <c r="E90" s="171">
        <v>0</v>
      </c>
      <c r="F90" s="171">
        <f t="shared" si="18"/>
        <v>0</v>
      </c>
      <c r="G90" s="171">
        <v>0</v>
      </c>
      <c r="H90" s="468">
        <f t="shared" si="19"/>
        <v>0</v>
      </c>
      <c r="I90" s="468">
        <f t="shared" si="20"/>
        <v>0</v>
      </c>
      <c r="J90" s="171"/>
      <c r="K90" s="171"/>
      <c r="L90" s="171"/>
      <c r="M90" s="171"/>
      <c r="N90" s="171"/>
      <c r="O90" s="171"/>
      <c r="P90" s="171">
        <f>I90</f>
        <v>0</v>
      </c>
      <c r="Q90" s="171"/>
      <c r="R90" s="171"/>
      <c r="S90" s="62">
        <f t="shared" si="21"/>
        <v>0</v>
      </c>
      <c r="T90" s="468">
        <f t="shared" si="22"/>
        <v>0</v>
      </c>
    </row>
    <row r="91" spans="1:20" x14ac:dyDescent="0.3">
      <c r="A91" s="504" t="s">
        <v>461</v>
      </c>
      <c r="B91" s="504" t="s">
        <v>462</v>
      </c>
      <c r="C91" s="121" t="s">
        <v>19</v>
      </c>
      <c r="D91" s="171">
        <v>0</v>
      </c>
      <c r="E91" s="171">
        <v>0</v>
      </c>
      <c r="F91" s="171">
        <f t="shared" si="18"/>
        <v>0</v>
      </c>
      <c r="G91" s="171">
        <v>0</v>
      </c>
      <c r="H91" s="468">
        <f t="shared" si="19"/>
        <v>0</v>
      </c>
      <c r="I91" s="468">
        <f t="shared" si="20"/>
        <v>0</v>
      </c>
      <c r="J91" s="171"/>
      <c r="K91" s="171"/>
      <c r="L91" s="171"/>
      <c r="M91" s="171"/>
      <c r="N91" s="171"/>
      <c r="O91" s="171"/>
      <c r="P91" s="171">
        <f>I91</f>
        <v>0</v>
      </c>
      <c r="Q91" s="171"/>
      <c r="R91" s="171"/>
      <c r="S91" s="62">
        <f t="shared" si="21"/>
        <v>0</v>
      </c>
      <c r="T91" s="468">
        <f t="shared" si="22"/>
        <v>0</v>
      </c>
    </row>
    <row r="92" spans="1:20" x14ac:dyDescent="0.3">
      <c r="A92" s="503" t="s">
        <v>463</v>
      </c>
      <c r="B92" s="504" t="s">
        <v>464</v>
      </c>
      <c r="C92" s="121" t="s">
        <v>19</v>
      </c>
      <c r="D92" s="171">
        <v>171444473.00999996</v>
      </c>
      <c r="E92" s="171">
        <v>0</v>
      </c>
      <c r="F92" s="171">
        <f t="shared" si="18"/>
        <v>171444473.00999996</v>
      </c>
      <c r="G92" s="171">
        <v>0</v>
      </c>
      <c r="H92" s="468">
        <f t="shared" si="19"/>
        <v>171444473.00999996</v>
      </c>
      <c r="I92" s="468">
        <f t="shared" si="20"/>
        <v>171444473.00999996</v>
      </c>
      <c r="J92" s="171"/>
      <c r="K92" s="171"/>
      <c r="L92" s="171">
        <f>I92</f>
        <v>171444473.00999996</v>
      </c>
      <c r="M92" s="171"/>
      <c r="N92" s="171"/>
      <c r="O92" s="171"/>
      <c r="P92" s="171">
        <v>0</v>
      </c>
      <c r="Q92" s="171"/>
      <c r="R92" s="171"/>
      <c r="S92" s="62">
        <f t="shared" si="21"/>
        <v>171444473.00999996</v>
      </c>
      <c r="T92" s="468">
        <f t="shared" si="22"/>
        <v>0</v>
      </c>
    </row>
    <row r="93" spans="1:20" x14ac:dyDescent="0.3">
      <c r="A93" s="62"/>
      <c r="B93" s="62"/>
      <c r="C93" s="121"/>
      <c r="D93" s="171"/>
      <c r="E93" s="171"/>
      <c r="F93" s="17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</row>
    <row r="94" spans="1:20" x14ac:dyDescent="0.3">
      <c r="A94" s="62"/>
      <c r="B94" s="498" t="s">
        <v>465</v>
      </c>
      <c r="C94" s="505"/>
      <c r="D94" s="171">
        <f>SUM(D79:D92)</f>
        <v>3820370567.6700001</v>
      </c>
      <c r="E94" s="171">
        <f>SUM(E79:E92)</f>
        <v>0</v>
      </c>
      <c r="F94" s="171">
        <f>SUM(F79:F92)</f>
        <v>3820370567.6700001</v>
      </c>
      <c r="G94" s="62"/>
      <c r="H94" s="171">
        <f t="shared" ref="H94:Q94" si="24">SUM(H79:H92)</f>
        <v>3820370567.6700001</v>
      </c>
      <c r="I94" s="171">
        <f t="shared" si="24"/>
        <v>3820370567.6700001</v>
      </c>
      <c r="J94" s="171">
        <f t="shared" si="24"/>
        <v>0</v>
      </c>
      <c r="K94" s="171">
        <f t="shared" si="24"/>
        <v>124494747.01437818</v>
      </c>
      <c r="L94" s="171">
        <f t="shared" si="24"/>
        <v>3510350177.7756214</v>
      </c>
      <c r="M94" s="171">
        <f t="shared" si="24"/>
        <v>185525642.88</v>
      </c>
      <c r="N94" s="171">
        <f t="shared" si="24"/>
        <v>0</v>
      </c>
      <c r="O94" s="171">
        <f t="shared" si="24"/>
        <v>0</v>
      </c>
      <c r="P94" s="171">
        <f t="shared" si="24"/>
        <v>0</v>
      </c>
      <c r="Q94" s="171">
        <f t="shared" si="24"/>
        <v>0</v>
      </c>
      <c r="R94" s="171"/>
      <c r="S94" s="62">
        <f>SUM(J94:Q94)</f>
        <v>3820370567.6699996</v>
      </c>
      <c r="T94" s="468">
        <f>I94-S94</f>
        <v>0</v>
      </c>
    </row>
    <row r="95" spans="1:20" x14ac:dyDescent="0.3">
      <c r="A95" s="62"/>
      <c r="B95" s="498"/>
      <c r="C95" s="505"/>
      <c r="D95" s="171"/>
      <c r="E95" s="171"/>
      <c r="F95" s="171"/>
      <c r="G95" s="62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62"/>
      <c r="T95" s="62"/>
    </row>
    <row r="96" spans="1:20" x14ac:dyDescent="0.3">
      <c r="A96" s="463" t="s">
        <v>466</v>
      </c>
      <c r="B96" s="62"/>
      <c r="C96" s="121"/>
      <c r="D96" s="171">
        <f>D94+D76+D63</f>
        <v>11998901863.380001</v>
      </c>
      <c r="E96" s="171">
        <f>E94+E76+E63</f>
        <v>0</v>
      </c>
      <c r="F96" s="171">
        <f>F94+F76+F63</f>
        <v>11998901863.380001</v>
      </c>
      <c r="G96" s="62"/>
      <c r="H96" s="171">
        <f t="shared" ref="H96:Q96" si="25">H94+H76+H63</f>
        <v>11998901863.380001</v>
      </c>
      <c r="I96" s="171">
        <f t="shared" si="25"/>
        <v>11998901863.380001</v>
      </c>
      <c r="J96" s="171">
        <f t="shared" si="25"/>
        <v>7200628254.1540003</v>
      </c>
      <c r="K96" s="171">
        <f t="shared" si="25"/>
        <v>1091744554.8775136</v>
      </c>
      <c r="L96" s="171">
        <f t="shared" si="25"/>
        <v>3521003411.4684858</v>
      </c>
      <c r="M96" s="171">
        <f t="shared" si="25"/>
        <v>185525642.88</v>
      </c>
      <c r="N96" s="171">
        <f t="shared" si="25"/>
        <v>0</v>
      </c>
      <c r="O96" s="171">
        <f t="shared" si="25"/>
        <v>0</v>
      </c>
      <c r="P96" s="171">
        <f t="shared" si="25"/>
        <v>0</v>
      </c>
      <c r="Q96" s="171">
        <f t="shared" si="25"/>
        <v>0</v>
      </c>
      <c r="R96" s="171"/>
      <c r="S96" s="62">
        <f>SUM(J96:Q96)</f>
        <v>11998901863.379999</v>
      </c>
      <c r="T96" s="468">
        <f>I96-S96</f>
        <v>0</v>
      </c>
    </row>
    <row r="97" spans="1:20" x14ac:dyDescent="0.3">
      <c r="A97" s="62"/>
      <c r="B97" s="62"/>
      <c r="C97" s="121"/>
      <c r="D97" s="171"/>
      <c r="E97" s="171"/>
      <c r="F97" s="171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</row>
    <row r="98" spans="1:20" x14ac:dyDescent="0.3">
      <c r="A98" s="499" t="s">
        <v>467</v>
      </c>
      <c r="B98" s="62"/>
      <c r="C98" s="121"/>
      <c r="D98" s="171">
        <f>D63+D76+D94</f>
        <v>11998901863.380001</v>
      </c>
      <c r="E98" s="171">
        <f t="shared" ref="E98:Q98" si="26">E63+E76+E94</f>
        <v>0</v>
      </c>
      <c r="F98" s="171">
        <f t="shared" si="26"/>
        <v>11998901863.380001</v>
      </c>
      <c r="G98" s="171">
        <f t="shared" si="26"/>
        <v>0</v>
      </c>
      <c r="H98" s="171">
        <f t="shared" si="26"/>
        <v>11998901863.380001</v>
      </c>
      <c r="I98" s="171">
        <f t="shared" si="26"/>
        <v>11998901863.380001</v>
      </c>
      <c r="J98" s="171">
        <f t="shared" si="26"/>
        <v>7200628254.1540003</v>
      </c>
      <c r="K98" s="171">
        <f t="shared" si="26"/>
        <v>1091744554.8775136</v>
      </c>
      <c r="L98" s="171">
        <f t="shared" si="26"/>
        <v>3521003411.4684858</v>
      </c>
      <c r="M98" s="171">
        <f t="shared" si="26"/>
        <v>185525642.88</v>
      </c>
      <c r="N98" s="171">
        <f t="shared" si="26"/>
        <v>0</v>
      </c>
      <c r="O98" s="171">
        <f t="shared" si="26"/>
        <v>0</v>
      </c>
      <c r="P98" s="171">
        <f t="shared" si="26"/>
        <v>0</v>
      </c>
      <c r="Q98" s="171">
        <f t="shared" si="26"/>
        <v>0</v>
      </c>
      <c r="R98" s="171"/>
      <c r="S98" s="62">
        <f>SUM(J98:Q98)</f>
        <v>11998901863.379999</v>
      </c>
      <c r="T98" s="468">
        <f>I98-S98</f>
        <v>0</v>
      </c>
    </row>
    <row r="99" spans="1:20" x14ac:dyDescent="0.3">
      <c r="A99" s="62"/>
      <c r="B99" s="62"/>
      <c r="C99" s="121"/>
      <c r="D99" s="171"/>
      <c r="E99" s="171"/>
      <c r="F99" s="171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</row>
    <row r="100" spans="1:20" x14ac:dyDescent="0.3">
      <c r="A100" s="499" t="s">
        <v>468</v>
      </c>
      <c r="B100" s="62"/>
      <c r="C100" s="121"/>
      <c r="D100" s="171"/>
      <c r="E100" s="171"/>
      <c r="F100" s="171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</row>
    <row r="101" spans="1:20" x14ac:dyDescent="0.3">
      <c r="A101" s="62"/>
      <c r="B101" s="62"/>
      <c r="C101" s="121"/>
      <c r="D101" s="171"/>
      <c r="E101" s="171"/>
      <c r="F101" s="171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</row>
    <row r="102" spans="1:20" x14ac:dyDescent="0.3">
      <c r="A102" s="499" t="s">
        <v>469</v>
      </c>
      <c r="B102" s="62"/>
      <c r="C102" s="121"/>
      <c r="D102" s="171"/>
      <c r="E102" s="171"/>
      <c r="F102" s="171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</row>
    <row r="103" spans="1:20" x14ac:dyDescent="0.3">
      <c r="A103" s="503" t="s">
        <v>1151</v>
      </c>
      <c r="B103" s="504" t="s">
        <v>425</v>
      </c>
      <c r="C103" s="121" t="s">
        <v>19</v>
      </c>
      <c r="D103" s="171">
        <v>1033147.95</v>
      </c>
      <c r="E103" s="171"/>
      <c r="F103" s="171">
        <f>D103+E103</f>
        <v>1033147.95</v>
      </c>
      <c r="G103" s="468">
        <f>F103</f>
        <v>1033147.95</v>
      </c>
      <c r="H103" s="62"/>
      <c r="I103" s="62"/>
      <c r="J103" s="171">
        <v>0</v>
      </c>
      <c r="K103" s="62"/>
      <c r="L103" s="62"/>
      <c r="M103" s="62"/>
      <c r="N103" s="62"/>
      <c r="O103" s="62"/>
      <c r="P103" s="62"/>
      <c r="Q103" s="62"/>
      <c r="R103" s="62"/>
      <c r="S103" s="62">
        <f t="shared" ref="S103:S112" si="27">SUM(J103:Q103)</f>
        <v>0</v>
      </c>
      <c r="T103" s="468">
        <f t="shared" ref="T103:T113" si="28">I103-S103</f>
        <v>0</v>
      </c>
    </row>
    <row r="104" spans="1:20" x14ac:dyDescent="0.3">
      <c r="A104" s="503" t="s">
        <v>1152</v>
      </c>
      <c r="B104" s="507" t="s">
        <v>374</v>
      </c>
      <c r="C104" s="121" t="s">
        <v>19</v>
      </c>
      <c r="D104" s="171">
        <v>119129.47</v>
      </c>
      <c r="E104" s="171"/>
      <c r="F104" s="171">
        <f t="shared" ref="F104:F112" si="29">D104+E104</f>
        <v>119129.47</v>
      </c>
      <c r="G104" s="468">
        <f t="shared" ref="G104:G113" si="30">F104</f>
        <v>119129.47</v>
      </c>
      <c r="H104" s="62"/>
      <c r="I104" s="62"/>
      <c r="J104" s="171">
        <v>0</v>
      </c>
      <c r="K104" s="62"/>
      <c r="L104" s="62"/>
      <c r="M104" s="62"/>
      <c r="N104" s="62"/>
      <c r="O104" s="62"/>
      <c r="P104" s="62"/>
      <c r="Q104" s="62"/>
      <c r="R104" s="62"/>
      <c r="S104" s="62">
        <f t="shared" si="27"/>
        <v>0</v>
      </c>
      <c r="T104" s="468">
        <f t="shared" si="28"/>
        <v>0</v>
      </c>
    </row>
    <row r="105" spans="1:20" x14ac:dyDescent="0.3">
      <c r="A105" s="503" t="s">
        <v>1153</v>
      </c>
      <c r="B105" s="504" t="s">
        <v>471</v>
      </c>
      <c r="C105" s="121" t="s">
        <v>19</v>
      </c>
      <c r="D105" s="171">
        <v>541504919.56999993</v>
      </c>
      <c r="E105" s="171">
        <v>0</v>
      </c>
      <c r="F105" s="171">
        <f t="shared" si="29"/>
        <v>541504919.56999993</v>
      </c>
      <c r="G105" s="468">
        <f t="shared" si="30"/>
        <v>541504919.56999993</v>
      </c>
      <c r="H105" s="62"/>
      <c r="I105" s="62"/>
      <c r="J105" s="171">
        <v>0</v>
      </c>
      <c r="K105" s="62"/>
      <c r="L105" s="62"/>
      <c r="M105" s="62"/>
      <c r="N105" s="62"/>
      <c r="O105" s="62"/>
      <c r="P105" s="62"/>
      <c r="Q105" s="62"/>
      <c r="R105" s="62"/>
      <c r="S105" s="62">
        <f t="shared" si="27"/>
        <v>0</v>
      </c>
      <c r="T105" s="468">
        <f t="shared" si="28"/>
        <v>0</v>
      </c>
    </row>
    <row r="106" spans="1:20" x14ac:dyDescent="0.3">
      <c r="A106" s="503" t="s">
        <v>1154</v>
      </c>
      <c r="B106" s="504" t="s">
        <v>472</v>
      </c>
      <c r="C106" s="121" t="s">
        <v>19</v>
      </c>
      <c r="D106" s="171">
        <v>551887.05000000005</v>
      </c>
      <c r="E106" s="171"/>
      <c r="F106" s="171">
        <f t="shared" si="29"/>
        <v>551887.05000000005</v>
      </c>
      <c r="G106" s="468">
        <f t="shared" si="30"/>
        <v>551887.05000000005</v>
      </c>
      <c r="H106" s="62"/>
      <c r="I106" s="62"/>
      <c r="J106" s="171">
        <v>0</v>
      </c>
      <c r="K106" s="62"/>
      <c r="L106" s="62"/>
      <c r="M106" s="62"/>
      <c r="N106" s="62"/>
      <c r="O106" s="62"/>
      <c r="P106" s="62"/>
      <c r="Q106" s="62"/>
      <c r="R106" s="62"/>
      <c r="S106" s="62">
        <f t="shared" si="27"/>
        <v>0</v>
      </c>
      <c r="T106" s="468">
        <f t="shared" si="28"/>
        <v>0</v>
      </c>
    </row>
    <row r="107" spans="1:20" x14ac:dyDescent="0.3">
      <c r="A107" s="503" t="s">
        <v>1155</v>
      </c>
      <c r="B107" s="503" t="s">
        <v>473</v>
      </c>
      <c r="C107" s="121" t="s">
        <v>19</v>
      </c>
      <c r="D107" s="171">
        <v>20995181.73</v>
      </c>
      <c r="E107" s="171"/>
      <c r="F107" s="171">
        <f t="shared" si="29"/>
        <v>20995181.73</v>
      </c>
      <c r="G107" s="468">
        <f t="shared" si="30"/>
        <v>20995181.73</v>
      </c>
      <c r="H107" s="62"/>
      <c r="I107" s="62"/>
      <c r="J107" s="171">
        <v>0</v>
      </c>
      <c r="K107" s="62"/>
      <c r="L107" s="62"/>
      <c r="M107" s="62"/>
      <c r="N107" s="62"/>
      <c r="O107" s="62"/>
      <c r="P107" s="62"/>
      <c r="Q107" s="62"/>
      <c r="R107" s="62"/>
      <c r="S107" s="62">
        <f t="shared" si="27"/>
        <v>0</v>
      </c>
      <c r="T107" s="468">
        <f t="shared" si="28"/>
        <v>0</v>
      </c>
    </row>
    <row r="108" spans="1:20" x14ac:dyDescent="0.3">
      <c r="A108" s="503" t="s">
        <v>1156</v>
      </c>
      <c r="B108" s="503" t="s">
        <v>474</v>
      </c>
      <c r="C108" s="121" t="s">
        <v>19</v>
      </c>
      <c r="D108" s="171">
        <v>6492755.5499999998</v>
      </c>
      <c r="E108" s="171"/>
      <c r="F108" s="171">
        <f t="shared" si="29"/>
        <v>6492755.5499999998</v>
      </c>
      <c r="G108" s="468">
        <f t="shared" si="30"/>
        <v>6492755.5499999998</v>
      </c>
      <c r="H108" s="62"/>
      <c r="I108" s="62"/>
      <c r="J108" s="171">
        <v>0</v>
      </c>
      <c r="K108" s="62"/>
      <c r="L108" s="62"/>
      <c r="M108" s="62"/>
      <c r="N108" s="62"/>
      <c r="O108" s="62"/>
      <c r="P108" s="62"/>
      <c r="Q108" s="62"/>
      <c r="R108" s="62"/>
      <c r="S108" s="62">
        <f t="shared" si="27"/>
        <v>0</v>
      </c>
      <c r="T108" s="468">
        <f t="shared" si="28"/>
        <v>0</v>
      </c>
    </row>
    <row r="109" spans="1:20" x14ac:dyDescent="0.3">
      <c r="A109" s="503" t="s">
        <v>1157</v>
      </c>
      <c r="B109" s="504" t="s">
        <v>456</v>
      </c>
      <c r="C109" s="121" t="s">
        <v>19</v>
      </c>
      <c r="D109" s="171">
        <v>259998378.15999997</v>
      </c>
      <c r="E109" s="171">
        <v>0</v>
      </c>
      <c r="F109" s="171">
        <f t="shared" si="29"/>
        <v>259998378.15999997</v>
      </c>
      <c r="G109" s="468">
        <f t="shared" si="30"/>
        <v>259998378.15999997</v>
      </c>
      <c r="H109" s="62"/>
      <c r="I109" s="62"/>
      <c r="J109" s="171">
        <v>0</v>
      </c>
      <c r="K109" s="62"/>
      <c r="L109" s="62"/>
      <c r="M109" s="62"/>
      <c r="N109" s="62"/>
      <c r="O109" s="62"/>
      <c r="P109" s="62"/>
      <c r="Q109" s="62"/>
      <c r="R109" s="62"/>
      <c r="S109" s="62">
        <f t="shared" si="27"/>
        <v>0</v>
      </c>
      <c r="T109" s="468">
        <f t="shared" si="28"/>
        <v>0</v>
      </c>
    </row>
    <row r="110" spans="1:20" x14ac:dyDescent="0.3">
      <c r="A110" s="503" t="s">
        <v>1158</v>
      </c>
      <c r="B110" s="504" t="s">
        <v>475</v>
      </c>
      <c r="C110" s="121" t="s">
        <v>19</v>
      </c>
      <c r="D110" s="171">
        <v>70532123.459999993</v>
      </c>
      <c r="E110" s="171"/>
      <c r="F110" s="171">
        <f t="shared" si="29"/>
        <v>70532123.459999993</v>
      </c>
      <c r="G110" s="468">
        <f t="shared" si="30"/>
        <v>70532123.459999993</v>
      </c>
      <c r="H110" s="62"/>
      <c r="I110" s="62"/>
      <c r="J110" s="171">
        <v>0</v>
      </c>
      <c r="K110" s="62"/>
      <c r="L110" s="62"/>
      <c r="M110" s="62"/>
      <c r="N110" s="62"/>
      <c r="O110" s="62"/>
      <c r="P110" s="62"/>
      <c r="Q110" s="62"/>
      <c r="R110" s="62"/>
      <c r="S110" s="62">
        <f t="shared" si="27"/>
        <v>0</v>
      </c>
      <c r="T110" s="468">
        <f t="shared" si="28"/>
        <v>0</v>
      </c>
    </row>
    <row r="111" spans="1:20" x14ac:dyDescent="0.3">
      <c r="A111" s="503" t="s">
        <v>1159</v>
      </c>
      <c r="B111" s="504" t="s">
        <v>476</v>
      </c>
      <c r="C111" s="121" t="s">
        <v>19</v>
      </c>
      <c r="D111" s="171">
        <v>11167978.359999999</v>
      </c>
      <c r="E111" s="171"/>
      <c r="F111" s="171">
        <f t="shared" si="29"/>
        <v>11167978.359999999</v>
      </c>
      <c r="G111" s="468">
        <f t="shared" si="30"/>
        <v>11167978.359999999</v>
      </c>
      <c r="H111" s="62"/>
      <c r="I111" s="62"/>
      <c r="J111" s="171">
        <v>0</v>
      </c>
      <c r="K111" s="62"/>
      <c r="L111" s="62"/>
      <c r="M111" s="62"/>
      <c r="N111" s="62"/>
      <c r="O111" s="62"/>
      <c r="P111" s="62"/>
      <c r="Q111" s="62"/>
      <c r="R111" s="62"/>
      <c r="S111" s="62">
        <f t="shared" si="27"/>
        <v>0</v>
      </c>
      <c r="T111" s="468">
        <f t="shared" si="28"/>
        <v>0</v>
      </c>
    </row>
    <row r="112" spans="1:20" x14ac:dyDescent="0.3">
      <c r="A112" s="503" t="s">
        <v>1160</v>
      </c>
      <c r="B112" s="504" t="s">
        <v>477</v>
      </c>
      <c r="C112" s="121" t="s">
        <v>19</v>
      </c>
      <c r="D112" s="171">
        <v>1287793.6299999999</v>
      </c>
      <c r="E112" s="171"/>
      <c r="F112" s="171">
        <f t="shared" si="29"/>
        <v>1287793.6299999999</v>
      </c>
      <c r="G112" s="468">
        <f t="shared" si="30"/>
        <v>1287793.6299999999</v>
      </c>
      <c r="H112" s="62"/>
      <c r="I112" s="62"/>
      <c r="J112" s="171">
        <v>0</v>
      </c>
      <c r="K112" s="62"/>
      <c r="L112" s="62"/>
      <c r="M112" s="62"/>
      <c r="N112" s="62"/>
      <c r="O112" s="62"/>
      <c r="P112" s="62"/>
      <c r="Q112" s="62"/>
      <c r="R112" s="62"/>
      <c r="S112" s="62">
        <f t="shared" si="27"/>
        <v>0</v>
      </c>
      <c r="T112" s="468">
        <f t="shared" si="28"/>
        <v>0</v>
      </c>
    </row>
    <row r="113" spans="1:21" x14ac:dyDescent="0.3">
      <c r="A113" s="503" t="s">
        <v>1161</v>
      </c>
      <c r="B113" s="504" t="s">
        <v>478</v>
      </c>
      <c r="C113" s="121" t="s">
        <v>19</v>
      </c>
      <c r="D113" s="171">
        <v>0</v>
      </c>
      <c r="E113" s="171"/>
      <c r="F113" s="171">
        <f>D113+E113</f>
        <v>0</v>
      </c>
      <c r="G113" s="468">
        <f t="shared" si="30"/>
        <v>0</v>
      </c>
      <c r="H113" s="62"/>
      <c r="I113" s="62"/>
      <c r="J113" s="171">
        <v>0</v>
      </c>
      <c r="K113" s="62"/>
      <c r="L113" s="62"/>
      <c r="M113" s="62"/>
      <c r="N113" s="62"/>
      <c r="O113" s="62"/>
      <c r="P113" s="62"/>
      <c r="Q113" s="62"/>
      <c r="R113" s="62"/>
      <c r="S113" s="62">
        <f>SUM(J113:Q113)</f>
        <v>0</v>
      </c>
      <c r="T113" s="468">
        <f t="shared" si="28"/>
        <v>0</v>
      </c>
    </row>
    <row r="114" spans="1:21" x14ac:dyDescent="0.3">
      <c r="A114" s="62"/>
      <c r="B114" s="62"/>
      <c r="C114" s="121"/>
      <c r="D114" s="171"/>
      <c r="E114" s="171"/>
      <c r="F114" s="171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</row>
    <row r="115" spans="1:21" x14ac:dyDescent="0.3">
      <c r="A115" s="62"/>
      <c r="B115" s="498" t="s">
        <v>479</v>
      </c>
      <c r="C115" s="505"/>
      <c r="D115" s="171">
        <f>SUM(D103:D113)</f>
        <v>913683294.92999983</v>
      </c>
      <c r="E115" s="171">
        <f>SUM(E103:E113)</f>
        <v>0</v>
      </c>
      <c r="F115" s="171">
        <f>SUM(F103:F113)</f>
        <v>913683294.92999983</v>
      </c>
      <c r="G115" s="171">
        <f>SUM(G103:G113)</f>
        <v>913683294.92999983</v>
      </c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</row>
    <row r="116" spans="1:21" x14ac:dyDescent="0.3">
      <c r="A116" s="62"/>
      <c r="B116" s="498"/>
      <c r="C116" s="505"/>
      <c r="D116" s="171"/>
      <c r="E116" s="171"/>
      <c r="F116" s="171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</row>
    <row r="117" spans="1:21" x14ac:dyDescent="0.3">
      <c r="A117" s="499" t="s">
        <v>480</v>
      </c>
      <c r="B117" s="62"/>
      <c r="C117" s="121"/>
      <c r="D117" s="171">
        <f>D115</f>
        <v>913683294.92999983</v>
      </c>
      <c r="E117" s="171">
        <f>E115</f>
        <v>0</v>
      </c>
      <c r="F117" s="171">
        <f>F115</f>
        <v>913683294.92999983</v>
      </c>
      <c r="G117" s="171">
        <f>G115</f>
        <v>913683294.92999983</v>
      </c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</row>
    <row r="118" spans="1:21" x14ac:dyDescent="0.3">
      <c r="A118" s="498"/>
      <c r="B118" s="62"/>
      <c r="C118" s="121"/>
      <c r="D118" s="171"/>
      <c r="E118" s="171"/>
      <c r="F118" s="171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</row>
    <row r="119" spans="1:21" x14ac:dyDescent="0.3">
      <c r="A119" s="499" t="s">
        <v>481</v>
      </c>
      <c r="B119" s="62"/>
      <c r="C119" s="121"/>
      <c r="D119" s="171"/>
      <c r="E119" s="171"/>
      <c r="F119" s="17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</row>
    <row r="120" spans="1:21" x14ac:dyDescent="0.3">
      <c r="A120" s="498"/>
      <c r="B120" s="62"/>
      <c r="C120" s="121"/>
      <c r="D120" s="171"/>
      <c r="E120" s="171"/>
      <c r="F120" s="171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</row>
    <row r="121" spans="1:21" x14ac:dyDescent="0.3">
      <c r="A121" s="62" t="s">
        <v>1170</v>
      </c>
      <c r="B121" s="62" t="s">
        <v>425</v>
      </c>
      <c r="C121" s="121" t="s">
        <v>1199</v>
      </c>
      <c r="D121" s="171">
        <v>39324058.869999997</v>
      </c>
      <c r="E121" s="171"/>
      <c r="F121" s="171">
        <f>D121+E121</f>
        <v>39324058.869999997</v>
      </c>
      <c r="G121" s="171">
        <v>2750899.674744423</v>
      </c>
      <c r="H121" s="171">
        <f t="shared" ref="H121:H130" si="31">F121-G121</f>
        <v>36573159.195255578</v>
      </c>
      <c r="I121" s="468">
        <f t="shared" ref="I121:I130" si="32">H121</f>
        <v>36573159.195255578</v>
      </c>
      <c r="J121" s="171">
        <v>13260811.869247928</v>
      </c>
      <c r="K121" s="171">
        <v>6012518.9972141823</v>
      </c>
      <c r="L121" s="171">
        <f>17299828.33*'7a. LX_AG-i'!L$242/(SUM('7a. LX_AG-i'!$L$242:$Q$242))</f>
        <v>10653992.37854963</v>
      </c>
      <c r="M121" s="171">
        <f>17299828.33*'7a. LX_AG-i'!M$242/(SUM('7a. LX_AG-i'!$L$242:$Q$242))</f>
        <v>2352665.125911945</v>
      </c>
      <c r="N121" s="171">
        <f>17299828.33*'7a. LX_AG-i'!N$242/(SUM('7a. LX_AG-i'!$L$242:$Q$242))</f>
        <v>628377.95203641406</v>
      </c>
      <c r="O121" s="171">
        <f>17299828.33*'7a. LX_AG-i'!O$242/(SUM('7a. LX_AG-i'!$L$242:$Q$242))</f>
        <v>3209333.6586267208</v>
      </c>
      <c r="P121" s="171">
        <f>17299828.33*'7a. LX_AG-i'!P$242/(SUM('7a. LX_AG-i'!$L$242:$Q$242))</f>
        <v>455459.21487528749</v>
      </c>
      <c r="Q121" s="171">
        <f>17299828.33*'7a. LX_AG-i'!Q$242/(SUM('7a. LX_AG-i'!$L$242:$Q$242))</f>
        <v>0</v>
      </c>
      <c r="R121" s="481"/>
      <c r="S121" s="62">
        <f>SUM(J121:Q121)</f>
        <v>36573159.19646211</v>
      </c>
      <c r="T121" s="468">
        <f t="shared" ref="T121:T126" si="33">I121-S121</f>
        <v>-1.2065321207046509E-3</v>
      </c>
    </row>
    <row r="122" spans="1:21" x14ac:dyDescent="0.3">
      <c r="A122" s="62" t="s">
        <v>1171</v>
      </c>
      <c r="B122" s="62" t="s">
        <v>374</v>
      </c>
      <c r="C122" s="121" t="s">
        <v>1199</v>
      </c>
      <c r="D122" s="171">
        <v>229025182.6799998</v>
      </c>
      <c r="E122" s="171"/>
      <c r="F122" s="171">
        <f t="shared" ref="F122:F128" si="34">D122+E122</f>
        <v>229025182.6799998</v>
      </c>
      <c r="G122" s="171">
        <v>47263187.349291496</v>
      </c>
      <c r="H122" s="171">
        <f t="shared" si="31"/>
        <v>181761995.3307083</v>
      </c>
      <c r="I122" s="468">
        <f t="shared" si="32"/>
        <v>181761995.3307083</v>
      </c>
      <c r="J122" s="171">
        <v>135200841.02671745</v>
      </c>
      <c r="K122" s="171">
        <v>2672659.9387488402</v>
      </c>
      <c r="L122" s="171">
        <f>43888494.37*'7a. LX_AG-i'!L$242/(SUM('7a. LX_AG-i'!$L$242:$Q$242))</f>
        <v>27028458.063548796</v>
      </c>
      <c r="M122" s="171">
        <f>43888494.37*'7a. LX_AG-i'!M$242/(SUM('7a. LX_AG-i'!$L$242:$Q$242))</f>
        <v>5968552.2979453607</v>
      </c>
      <c r="N122" s="171">
        <f>43888494.37*'7a. LX_AG-i'!N$242/(SUM('7a. LX_AG-i'!$L$242:$Q$242))</f>
        <v>1594152.3629085799</v>
      </c>
      <c r="O122" s="171">
        <f>43888494.37*'7a. LX_AG-i'!O$242/(SUM('7a. LX_AG-i'!$L$242:$Q$242))</f>
        <v>8141862.4232145986</v>
      </c>
      <c r="P122" s="171">
        <f>43888494.37*'7a. LX_AG-i'!P$242/(SUM('7a. LX_AG-i'!$L$242:$Q$242))</f>
        <v>1155469.2223826637</v>
      </c>
      <c r="Q122" s="171">
        <f>43888494.37*'7a. LX_AG-i'!Q$242/(SUM('7a. LX_AG-i'!$L$242:$Q$242))</f>
        <v>0</v>
      </c>
      <c r="R122" s="481"/>
      <c r="S122" s="62">
        <f t="shared" ref="S122:S126" si="35">SUM(J122:Q122)</f>
        <v>181761995.33546627</v>
      </c>
      <c r="T122" s="468">
        <f t="shared" si="33"/>
        <v>-4.7579705715179443E-3</v>
      </c>
    </row>
    <row r="123" spans="1:21" x14ac:dyDescent="0.3">
      <c r="A123" s="62" t="s">
        <v>1172</v>
      </c>
      <c r="B123" s="62" t="s">
        <v>1162</v>
      </c>
      <c r="C123" s="121" t="s">
        <v>1199</v>
      </c>
      <c r="D123" s="171">
        <v>281960420.94999564</v>
      </c>
      <c r="E123" s="171"/>
      <c r="F123" s="171">
        <f t="shared" si="34"/>
        <v>281960420.94999564</v>
      </c>
      <c r="G123" s="171">
        <v>6806521.634786699</v>
      </c>
      <c r="H123" s="171">
        <f t="shared" si="31"/>
        <v>275153899.31520891</v>
      </c>
      <c r="I123" s="468">
        <f t="shared" si="32"/>
        <v>275153899.31520891</v>
      </c>
      <c r="J123" s="171">
        <v>153232781.26138324</v>
      </c>
      <c r="K123" s="171">
        <v>47522129.505326428</v>
      </c>
      <c r="L123" s="171">
        <f>74398988.55*'7a. LX_AG-i'!L$242/(SUM('7a. LX_AG-i'!$L$242:$Q$242))</f>
        <v>45818157.374946699</v>
      </c>
      <c r="M123" s="171">
        <f>74398988.55*'7a. LX_AG-i'!M$242/(SUM('7a. LX_AG-i'!$L$242:$Q$242))</f>
        <v>10117782.814131955</v>
      </c>
      <c r="N123" s="171">
        <f>74398988.55*'7a. LX_AG-i'!N$242/(SUM('7a. LX_AG-i'!$L$242:$Q$242))</f>
        <v>2702378.4957194207</v>
      </c>
      <c r="O123" s="171">
        <f>74398988.55*'7a. LX_AG-i'!O$242/(SUM('7a. LX_AG-i'!$L$242:$Q$242))</f>
        <v>13801939.16186098</v>
      </c>
      <c r="P123" s="171">
        <f>74398988.55*'7a. LX_AG-i'!P$242/(SUM('7a. LX_AG-i'!$L$242:$Q$242))</f>
        <v>1958730.7033409451</v>
      </c>
      <c r="Q123" s="171">
        <f>74398988.55*'7a. LX_AG-i'!Q$242/(SUM('7a. LX_AG-i'!$L$242:$Q$242))</f>
        <v>0</v>
      </c>
      <c r="R123" s="481"/>
      <c r="S123" s="62">
        <f t="shared" si="35"/>
        <v>275153899.31670964</v>
      </c>
      <c r="T123" s="468">
        <f t="shared" si="33"/>
        <v>-1.5007257461547852E-3</v>
      </c>
    </row>
    <row r="124" spans="1:21" x14ac:dyDescent="0.3">
      <c r="A124" s="62" t="s">
        <v>1173</v>
      </c>
      <c r="B124" s="62" t="s">
        <v>1163</v>
      </c>
      <c r="C124" s="121" t="s">
        <v>1199</v>
      </c>
      <c r="D124" s="171">
        <v>121049136.31999987</v>
      </c>
      <c r="E124" s="171"/>
      <c r="F124" s="171">
        <f t="shared" si="34"/>
        <v>121049136.31999987</v>
      </c>
      <c r="G124" s="171">
        <v>12091431.315929955</v>
      </c>
      <c r="H124" s="171">
        <f t="shared" si="31"/>
        <v>108957705.00406992</v>
      </c>
      <c r="I124" s="468">
        <f t="shared" si="32"/>
        <v>108957705.00406992</v>
      </c>
      <c r="J124" s="171">
        <v>17234116.477283686</v>
      </c>
      <c r="K124" s="171">
        <v>20992074.27927478</v>
      </c>
      <c r="L124" s="171">
        <f>70731514.25*'7a. LX_AG-i'!L$242/(SUM('7a. LX_AG-i'!$L$242:$Q$242))</f>
        <v>43559565.989217803</v>
      </c>
      <c r="M124" s="171">
        <f>70731514.25*'7a. LX_AG-i'!M$242/(SUM('7a. LX_AG-i'!$L$242:$Q$242))</f>
        <v>9619029.9524734542</v>
      </c>
      <c r="N124" s="171">
        <f>70731514.25*'7a. LX_AG-i'!N$242/(SUM('7a. LX_AG-i'!$L$242:$Q$242))</f>
        <v>2569165.6137289223</v>
      </c>
      <c r="O124" s="171">
        <f>70731514.25*'7a. LX_AG-i'!O$242/(SUM('7a. LX_AG-i'!$L$242:$Q$242))</f>
        <v>13121576.993600179</v>
      </c>
      <c r="P124" s="171">
        <f>70731514.25*'7a. LX_AG-i'!P$242/(SUM('7a. LX_AG-i'!$L$242:$Q$242))</f>
        <v>1862175.7009796414</v>
      </c>
      <c r="Q124" s="171">
        <f>70731514.25*'7a. LX_AG-i'!Q$242/(SUM('7a. LX_AG-i'!$L$242:$Q$242))</f>
        <v>0</v>
      </c>
      <c r="R124" s="481"/>
      <c r="S124" s="62">
        <f t="shared" si="35"/>
        <v>108957705.00655846</v>
      </c>
      <c r="T124" s="468">
        <f t="shared" si="33"/>
        <v>-2.4885386228561401E-3</v>
      </c>
    </row>
    <row r="125" spans="1:21" x14ac:dyDescent="0.3">
      <c r="A125" s="62" t="s">
        <v>1174</v>
      </c>
      <c r="B125" s="62" t="s">
        <v>1164</v>
      </c>
      <c r="C125" s="121" t="s">
        <v>1199</v>
      </c>
      <c r="D125" s="171">
        <v>810263.64999999967</v>
      </c>
      <c r="E125" s="171"/>
      <c r="F125" s="171">
        <f t="shared" si="34"/>
        <v>810263.64999999967</v>
      </c>
      <c r="G125" s="171">
        <v>0</v>
      </c>
      <c r="H125" s="171">
        <f t="shared" si="31"/>
        <v>810263.64999999967</v>
      </c>
      <c r="I125" s="468">
        <f t="shared" si="32"/>
        <v>810263.64999999967</v>
      </c>
      <c r="J125" s="171">
        <v>591467.12690623302</v>
      </c>
      <c r="K125" s="171">
        <v>105345.95345561045</v>
      </c>
      <c r="L125" s="171">
        <f>113450.57*'7a. LX_AG-i'!L$242/(SUM('7a. LX_AG-i'!$L$242:$Q$242))</f>
        <v>69867.832504792925</v>
      </c>
      <c r="M125" s="171">
        <f>113450.57*'7a. LX_AG-i'!M$242/(SUM('7a. LX_AG-i'!$L$242:$Q$242))</f>
        <v>15428.546137129906</v>
      </c>
      <c r="N125" s="171">
        <f>113450.57*'7a. LX_AG-i'!N$242/(SUM('7a. LX_AG-i'!$L$242:$Q$242))</f>
        <v>4120.8407085946992</v>
      </c>
      <c r="O125" s="171">
        <f>113450.57*'7a. LX_AG-i'!O$242/(SUM('7a. LX_AG-i'!$L$242:$Q$242))</f>
        <v>21046.493985145054</v>
      </c>
      <c r="P125" s="171">
        <f>113450.57*'7a. LX_AG-i'!P$242/(SUM('7a. LX_AG-i'!$L$242:$Q$242))</f>
        <v>2986.8566643374229</v>
      </c>
      <c r="Q125" s="171">
        <f>113450.57*'7a. LX_AG-i'!Q$242/(SUM('7a. LX_AG-i'!$L$242:$Q$242))</f>
        <v>0</v>
      </c>
      <c r="R125" s="481"/>
      <c r="S125" s="62">
        <f t="shared" si="35"/>
        <v>810263.65036184341</v>
      </c>
      <c r="T125" s="468">
        <f t="shared" si="33"/>
        <v>-3.6184373311698437E-4</v>
      </c>
      <c r="U125" s="1"/>
    </row>
    <row r="126" spans="1:21" x14ac:dyDescent="0.3">
      <c r="A126" s="62" t="s">
        <v>1175</v>
      </c>
      <c r="B126" s="498" t="s">
        <v>1165</v>
      </c>
      <c r="C126" s="121" t="s">
        <v>1199</v>
      </c>
      <c r="D126" s="171">
        <v>33733093.259999968</v>
      </c>
      <c r="E126" s="171"/>
      <c r="F126" s="171">
        <f t="shared" si="34"/>
        <v>33733093.259999968</v>
      </c>
      <c r="G126" s="171">
        <v>4934535.4294222174</v>
      </c>
      <c r="H126" s="171">
        <f t="shared" si="31"/>
        <v>28798557.83057775</v>
      </c>
      <c r="I126" s="468">
        <f t="shared" si="32"/>
        <v>28798557.83057775</v>
      </c>
      <c r="J126" s="171">
        <v>8401758.4342074301</v>
      </c>
      <c r="K126" s="171">
        <v>6405913.5092244875</v>
      </c>
      <c r="L126" s="171">
        <f>13990885.89*'7a. LX_AG-i'!L$242/(SUM('7a. LX_AG-i'!$L$242:$Q$242))</f>
        <v>8616200.6233744845</v>
      </c>
      <c r="M126" s="171">
        <f>13990885.89*'7a. LX_AG-i'!M$242/(SUM('7a. LX_AG-i'!$L$242:$Q$242))</f>
        <v>1902670.2858626868</v>
      </c>
      <c r="N126" s="171">
        <f>13990885.89*'7a. LX_AG-i'!N$242/(SUM('7a. LX_AG-i'!$L$242:$Q$242))</f>
        <v>508187.9458588456</v>
      </c>
      <c r="O126" s="171">
        <f>13990885.89*'7a. LX_AG-i'!O$242/(SUM('7a. LX_AG-i'!$L$242:$Q$242))</f>
        <v>2595483.616615904</v>
      </c>
      <c r="P126" s="171">
        <f>13990885.89*'7a. LX_AG-i'!P$242/(SUM('7a. LX_AG-i'!$L$242:$Q$242))</f>
        <v>368343.41828807833</v>
      </c>
      <c r="Q126" s="171">
        <f>13990885.89*'7a. LX_AG-i'!Q$242/(SUM('7a. LX_AG-i'!$L$242:$Q$242))</f>
        <v>0</v>
      </c>
      <c r="R126" s="481"/>
      <c r="S126" s="62">
        <f t="shared" si="35"/>
        <v>28798557.833431918</v>
      </c>
      <c r="T126" s="468">
        <f t="shared" si="33"/>
        <v>-2.8541684150695801E-3</v>
      </c>
    </row>
    <row r="127" spans="1:21" x14ac:dyDescent="0.3">
      <c r="A127" s="62" t="s">
        <v>1176</v>
      </c>
      <c r="B127" s="62" t="s">
        <v>1166</v>
      </c>
      <c r="C127" s="121" t="s">
        <v>1199</v>
      </c>
      <c r="D127" s="171">
        <v>587564.08000000007</v>
      </c>
      <c r="E127" s="171"/>
      <c r="F127" s="171">
        <f>D127+E127</f>
        <v>587564.08000000007</v>
      </c>
      <c r="G127" s="171">
        <v>0</v>
      </c>
      <c r="H127" s="171">
        <f t="shared" si="31"/>
        <v>587564.08000000007</v>
      </c>
      <c r="I127" s="468">
        <f t="shared" si="32"/>
        <v>587564.08000000007</v>
      </c>
      <c r="J127" s="171">
        <v>137306.21530828896</v>
      </c>
      <c r="K127" s="171">
        <v>359147.28748024412</v>
      </c>
      <c r="L127" s="171">
        <f>91110.58*'7a. LX_AG-i'!L$242/(SUM('7a. LX_AG-i'!$L$242:$Q$242))</f>
        <v>56109.887705760637</v>
      </c>
      <c r="M127" s="171">
        <f>91110.58*'7a. LX_AG-i'!M$242/(SUM('7a. LX_AG-i'!$L$242:$Q$242))</f>
        <v>12390.451516556197</v>
      </c>
      <c r="N127" s="171">
        <f>91110.58*'7a. LX_AG-i'!N$242/(SUM('7a. LX_AG-i'!$L$242:$Q$242))</f>
        <v>3309.3900457941641</v>
      </c>
      <c r="O127" s="171">
        <f>91110.58*'7a. LX_AG-i'!O$242/(SUM('7a. LX_AG-i'!$L$242:$Q$242))</f>
        <v>16902.147551599584</v>
      </c>
      <c r="P127" s="171">
        <f>91110.58*'7a. LX_AG-i'!P$242/(SUM('7a. LX_AG-i'!$L$242:$Q$242))</f>
        <v>2398.7031802894239</v>
      </c>
      <c r="Q127" s="171">
        <f>91110.58*'7a. LX_AG-i'!Q$242/(SUM('7a. LX_AG-i'!$L$242:$Q$242))</f>
        <v>0</v>
      </c>
      <c r="R127" s="481"/>
      <c r="S127" s="62">
        <f t="shared" ref="S127:S130" si="36">SUM(J127:Q127)</f>
        <v>587564.08278853318</v>
      </c>
      <c r="T127" s="468">
        <f t="shared" ref="T127:T130" si="37">I127-S127</f>
        <v>-2.7885331073775887E-3</v>
      </c>
    </row>
    <row r="128" spans="1:21" x14ac:dyDescent="0.3">
      <c r="A128" s="62" t="s">
        <v>1177</v>
      </c>
      <c r="B128" s="62" t="s">
        <v>1167</v>
      </c>
      <c r="C128" s="121" t="s">
        <v>1199</v>
      </c>
      <c r="D128" s="171">
        <v>27719337.500000015</v>
      </c>
      <c r="E128" s="171"/>
      <c r="F128" s="171">
        <f t="shared" si="34"/>
        <v>27719337.500000015</v>
      </c>
      <c r="G128" s="171">
        <v>1064489.9822266833</v>
      </c>
      <c r="H128" s="171">
        <f t="shared" si="31"/>
        <v>26654847.51777333</v>
      </c>
      <c r="I128" s="468">
        <f t="shared" si="32"/>
        <v>26654847.51777333</v>
      </c>
      <c r="J128" s="171">
        <v>11023570.839799797</v>
      </c>
      <c r="K128" s="171">
        <v>2672001.4380418779</v>
      </c>
      <c r="L128" s="171">
        <f>12959275.24*'7a. LX_AG-i'!L$242/(SUM('7a. LX_AG-i'!$L$242:$Q$242))</f>
        <v>7980889.5790636409</v>
      </c>
      <c r="M128" s="171">
        <f>12959275.24*'7a. LX_AG-i'!M$242/(SUM('7a. LX_AG-i'!$L$242:$Q$242))</f>
        <v>1762377.8879568891</v>
      </c>
      <c r="N128" s="171">
        <f>12959275.24*'7a. LX_AG-i'!N$242/(SUM('7a. LX_AG-i'!$L$242:$Q$242))</f>
        <v>470716.97359365696</v>
      </c>
      <c r="O128" s="171">
        <f>12959275.24*'7a. LX_AG-i'!O$242/(SUM('7a. LX_AG-i'!$L$242:$Q$242))</f>
        <v>2404106.9902998214</v>
      </c>
      <c r="P128" s="171">
        <f>12959275.24*'7a. LX_AG-i'!P$242/(SUM('7a. LX_AG-i'!$L$242:$Q$242))</f>
        <v>341183.80908599187</v>
      </c>
      <c r="Q128" s="171">
        <f>12959275.24*'7a. LX_AG-i'!Q$242/(SUM('7a. LX_AG-i'!$L$242:$Q$242))</f>
        <v>0</v>
      </c>
      <c r="R128" s="481"/>
      <c r="S128" s="62">
        <f t="shared" si="36"/>
        <v>26654847.517841674</v>
      </c>
      <c r="T128" s="468">
        <f t="shared" si="37"/>
        <v>-6.8344175815582275E-5</v>
      </c>
    </row>
    <row r="129" spans="1:23" s="1" customFormat="1" x14ac:dyDescent="0.3">
      <c r="A129" s="62" t="s">
        <v>1178</v>
      </c>
      <c r="B129" s="62" t="s">
        <v>1168</v>
      </c>
      <c r="C129" s="121" t="s">
        <v>1199</v>
      </c>
      <c r="D129" s="171">
        <v>97012659.190000042</v>
      </c>
      <c r="E129" s="171"/>
      <c r="F129" s="171">
        <f>D129+E129</f>
        <v>97012659.190000042</v>
      </c>
      <c r="G129" s="171">
        <v>926092.79</v>
      </c>
      <c r="H129" s="171">
        <f t="shared" si="31"/>
        <v>96086566.400000036</v>
      </c>
      <c r="I129" s="468">
        <f t="shared" si="32"/>
        <v>96086566.400000036</v>
      </c>
      <c r="J129" s="171">
        <v>21832362.199263796</v>
      </c>
      <c r="K129" s="171">
        <v>16287960.521323072</v>
      </c>
      <c r="L129" s="171">
        <f>57966243.68*'7a. LX_AG-i'!L$242/(SUM('7a. LX_AG-i'!$L$242:$Q$242))</f>
        <v>35698152.987386942</v>
      </c>
      <c r="M129" s="171">
        <f>57966243.68*'7a. LX_AG-i'!M$242/(SUM('7a. LX_AG-i'!$L$242:$Q$242))</f>
        <v>7883035.4489448098</v>
      </c>
      <c r="N129" s="171">
        <f>57966243.68*'7a. LX_AG-i'!N$242/(SUM('7a. LX_AG-i'!$L$242:$Q$242))</f>
        <v>2105495.4301319434</v>
      </c>
      <c r="O129" s="171">
        <f>57966243.68*'7a. LX_AG-i'!O$242/(SUM('7a. LX_AG-i'!$L$242:$Q$242))</f>
        <v>10753460.286295366</v>
      </c>
      <c r="P129" s="171">
        <f>57966243.68*'7a. LX_AG-i'!P$242/(SUM('7a. LX_AG-i'!$L$242:$Q$242))</f>
        <v>1526099.5272409387</v>
      </c>
      <c r="Q129" s="171">
        <f>57966243.68*'7a. LX_AG-i'!Q$242/(SUM('7a. LX_AG-i'!$L$242:$Q$242))</f>
        <v>0</v>
      </c>
      <c r="R129" s="481"/>
      <c r="S129" s="62">
        <f t="shared" si="36"/>
        <v>96086566.400586858</v>
      </c>
      <c r="T129" s="468">
        <f t="shared" si="37"/>
        <v>-5.8682262897491455E-4</v>
      </c>
      <c r="V129" s="4"/>
      <c r="W129" s="4"/>
    </row>
    <row r="130" spans="1:23" x14ac:dyDescent="0.3">
      <c r="A130" s="62" t="s">
        <v>1179</v>
      </c>
      <c r="B130" s="62" t="s">
        <v>1169</v>
      </c>
      <c r="C130" s="121" t="s">
        <v>1199</v>
      </c>
      <c r="D130" s="171">
        <v>59025224.779999875</v>
      </c>
      <c r="E130" s="171"/>
      <c r="F130" s="171">
        <f>D130+E130</f>
        <v>59025224.779999875</v>
      </c>
      <c r="G130" s="171">
        <v>2803413.9439926688</v>
      </c>
      <c r="H130" s="171">
        <f t="shared" si="31"/>
        <v>56221810.836007208</v>
      </c>
      <c r="I130" s="468">
        <f t="shared" si="32"/>
        <v>56221810.836007208</v>
      </c>
      <c r="J130" s="171">
        <v>10100855.501317475</v>
      </c>
      <c r="K130" s="171">
        <v>11967310.005086331</v>
      </c>
      <c r="L130" s="171">
        <f>34153645.33*'7a. LX_AG-i'!L$242/(SUM('7a. LX_AG-i'!$L$242:$Q$242))</f>
        <v>21033311.435496029</v>
      </c>
      <c r="M130" s="171">
        <f>34153645.33*'7a. LX_AG-i'!M$242/(SUM('7a. LX_AG-i'!$L$242:$Q$242))</f>
        <v>4644675.5862493794</v>
      </c>
      <c r="N130" s="171">
        <f>34153645.33*'7a. LX_AG-i'!N$242/(SUM('7a. LX_AG-i'!$L$242:$Q$242))</f>
        <v>1240555.5302434287</v>
      </c>
      <c r="O130" s="171">
        <f>34153645.33*'7a. LX_AG-i'!O$242/(SUM('7a. LX_AG-i'!$L$242:$Q$242))</f>
        <v>6335926.6595894787</v>
      </c>
      <c r="P130" s="171">
        <f>34153645.33*'7a. LX_AG-i'!P$242/(SUM('7a. LX_AG-i'!$L$242:$Q$242))</f>
        <v>899176.11842168088</v>
      </c>
      <c r="Q130" s="171">
        <f>34153645.33*'7a. LX_AG-i'!Q$242/(SUM('7a. LX_AG-i'!$L$242:$Q$242))</f>
        <v>0</v>
      </c>
      <c r="R130" s="481"/>
      <c r="S130" s="62">
        <f t="shared" si="36"/>
        <v>56221810.836403802</v>
      </c>
      <c r="T130" s="468">
        <f t="shared" si="37"/>
        <v>-3.9659440517425537E-4</v>
      </c>
    </row>
    <row r="131" spans="1:23" x14ac:dyDescent="0.3">
      <c r="A131" s="62"/>
      <c r="B131" s="62"/>
      <c r="C131" s="489"/>
      <c r="D131" s="171"/>
      <c r="E131" s="171"/>
      <c r="F131" s="171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</row>
    <row r="132" spans="1:23" x14ac:dyDescent="0.3">
      <c r="A132" s="499" t="s">
        <v>491</v>
      </c>
      <c r="B132" s="62"/>
      <c r="C132" s="489"/>
      <c r="D132" s="171">
        <f>SUM(D121:D130)</f>
        <v>890246941.27999532</v>
      </c>
      <c r="E132" s="171">
        <f t="shared" ref="E132:Q132" si="38">SUM(E121:E130)</f>
        <v>0</v>
      </c>
      <c r="F132" s="171">
        <f t="shared" si="38"/>
        <v>890246941.27999532</v>
      </c>
      <c r="G132" s="171">
        <f t="shared" si="38"/>
        <v>78640572.12039414</v>
      </c>
      <c r="H132" s="171">
        <f t="shared" si="38"/>
        <v>811606369.15960109</v>
      </c>
      <c r="I132" s="171">
        <f t="shared" si="38"/>
        <v>811606369.15960109</v>
      </c>
      <c r="J132" s="171">
        <f t="shared" si="38"/>
        <v>371015870.95143545</v>
      </c>
      <c r="K132" s="171">
        <f t="shared" si="38"/>
        <v>114997061.43517587</v>
      </c>
      <c r="L132" s="171">
        <f t="shared" si="38"/>
        <v>200514706.15179461</v>
      </c>
      <c r="M132" s="171">
        <f t="shared" si="38"/>
        <v>44278608.397130169</v>
      </c>
      <c r="N132" s="171">
        <f t="shared" si="38"/>
        <v>11826460.534975601</v>
      </c>
      <c r="O132" s="171">
        <f t="shared" si="38"/>
        <v>60401638.431639798</v>
      </c>
      <c r="P132" s="171">
        <f t="shared" si="38"/>
        <v>8572023.2744598538</v>
      </c>
      <c r="Q132" s="171">
        <f t="shared" si="38"/>
        <v>0</v>
      </c>
      <c r="R132" s="171"/>
      <c r="S132" s="62">
        <f>SUM(J132:Q132)</f>
        <v>811606369.1766113</v>
      </c>
      <c r="T132" s="468">
        <f>I132-S132</f>
        <v>-1.7010211944580078E-2</v>
      </c>
    </row>
    <row r="133" spans="1:23" x14ac:dyDescent="0.3">
      <c r="A133" s="499"/>
      <c r="B133" s="62"/>
      <c r="C133" s="489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62"/>
      <c r="T133" s="62"/>
    </row>
    <row r="134" spans="1:23" x14ac:dyDescent="0.3">
      <c r="A134" s="463"/>
      <c r="B134" s="62"/>
      <c r="C134" s="489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62"/>
      <c r="T134" s="62"/>
    </row>
    <row r="135" spans="1:23" x14ac:dyDescent="0.3">
      <c r="A135" s="463" t="s">
        <v>492</v>
      </c>
      <c r="B135" s="62"/>
      <c r="C135" s="489"/>
      <c r="D135" s="171"/>
      <c r="E135" s="171"/>
      <c r="F135" s="171"/>
      <c r="G135" s="62"/>
      <c r="H135" s="62"/>
      <c r="I135" s="62"/>
      <c r="J135" s="62"/>
      <c r="K135" s="468"/>
      <c r="L135" s="62"/>
      <c r="M135" s="62"/>
      <c r="N135" s="62"/>
      <c r="O135" s="62"/>
      <c r="P135" s="62"/>
      <c r="Q135" s="62"/>
      <c r="R135" s="62"/>
      <c r="S135" s="62"/>
      <c r="T135" s="62"/>
    </row>
    <row r="136" spans="1:23" x14ac:dyDescent="0.3">
      <c r="A136" s="508" t="s">
        <v>90</v>
      </c>
      <c r="B136" s="507"/>
      <c r="C136" s="489"/>
      <c r="D136" s="171"/>
      <c r="E136" s="171"/>
      <c r="F136" s="171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</row>
    <row r="137" spans="1:23" x14ac:dyDescent="0.3">
      <c r="A137" s="507">
        <v>10</v>
      </c>
      <c r="B137" s="507" t="s">
        <v>100</v>
      </c>
      <c r="C137" s="489"/>
      <c r="D137" s="171">
        <v>0</v>
      </c>
      <c r="E137" s="171"/>
      <c r="F137" s="171">
        <f>D137+E137</f>
        <v>0</v>
      </c>
      <c r="G137" s="468">
        <f>F137</f>
        <v>0</v>
      </c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</row>
    <row r="138" spans="1:23" x14ac:dyDescent="0.3">
      <c r="A138" s="507"/>
      <c r="B138" s="507" t="s">
        <v>101</v>
      </c>
      <c r="C138" s="489"/>
      <c r="D138" s="171"/>
      <c r="E138" s="171"/>
      <c r="F138" s="171"/>
      <c r="G138" s="468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</row>
    <row r="139" spans="1:23" x14ac:dyDescent="0.3">
      <c r="A139" s="62"/>
      <c r="B139" s="62"/>
      <c r="C139" s="489"/>
      <c r="D139" s="171"/>
      <c r="E139" s="171"/>
      <c r="F139" s="171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</row>
    <row r="140" spans="1:23" x14ac:dyDescent="0.3">
      <c r="A140" s="499" t="s">
        <v>494</v>
      </c>
      <c r="B140" s="62"/>
      <c r="C140" s="489"/>
      <c r="D140" s="171">
        <f>SUM(D137:D139)</f>
        <v>0</v>
      </c>
      <c r="E140" s="171">
        <f>SUM(E137:E139)</f>
        <v>0</v>
      </c>
      <c r="F140" s="171">
        <f>SUM(F137:F139)</f>
        <v>0</v>
      </c>
      <c r="G140" s="171">
        <f>SUM(G137:G139)</f>
        <v>0</v>
      </c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</row>
    <row r="141" spans="1:23" x14ac:dyDescent="0.3">
      <c r="A141" s="498"/>
      <c r="B141" s="62"/>
      <c r="C141" s="489"/>
      <c r="D141" s="171"/>
      <c r="E141" s="171"/>
      <c r="F141" s="171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</row>
    <row r="142" spans="1:23" x14ac:dyDescent="0.3">
      <c r="A142" s="463" t="s">
        <v>495</v>
      </c>
      <c r="B142" s="62"/>
      <c r="C142" s="489"/>
      <c r="D142" s="171">
        <f t="shared" ref="D142" si="39">D98+D117+D132+D140</f>
        <v>13802832099.589996</v>
      </c>
      <c r="E142" s="171">
        <f t="shared" ref="E142:Q142" si="40">E98+E117+E132+E140</f>
        <v>0</v>
      </c>
      <c r="F142" s="171">
        <f t="shared" si="40"/>
        <v>13802832099.589996</v>
      </c>
      <c r="G142" s="171">
        <f t="shared" si="40"/>
        <v>992323867.05039394</v>
      </c>
      <c r="H142" s="171">
        <f t="shared" si="40"/>
        <v>12810508232.539602</v>
      </c>
      <c r="I142" s="171">
        <f t="shared" si="40"/>
        <v>12810508232.539602</v>
      </c>
      <c r="J142" s="171">
        <f t="shared" si="40"/>
        <v>7571644125.1054354</v>
      </c>
      <c r="K142" s="171">
        <f t="shared" si="40"/>
        <v>1206741616.3126895</v>
      </c>
      <c r="L142" s="171">
        <f t="shared" si="40"/>
        <v>3721518117.6202803</v>
      </c>
      <c r="M142" s="171">
        <f t="shared" si="40"/>
        <v>229804251.27713016</v>
      </c>
      <c r="N142" s="171">
        <f t="shared" si="40"/>
        <v>11826460.534975601</v>
      </c>
      <c r="O142" s="171">
        <f t="shared" si="40"/>
        <v>60401638.431639798</v>
      </c>
      <c r="P142" s="171">
        <f t="shared" si="40"/>
        <v>8572023.2744598538</v>
      </c>
      <c r="Q142" s="171">
        <f t="shared" si="40"/>
        <v>0</v>
      </c>
      <c r="R142" s="171"/>
      <c r="S142" s="62">
        <f>SUM(J142:Q142)</f>
        <v>12810508232.556612</v>
      </c>
      <c r="T142" s="468">
        <f>I142-S142</f>
        <v>-1.7009735107421875E-2</v>
      </c>
    </row>
    <row r="143" spans="1:23" x14ac:dyDescent="0.3">
      <c r="A143" s="62"/>
      <c r="B143" s="62"/>
      <c r="C143" s="489"/>
      <c r="D143" s="171"/>
      <c r="E143" s="171"/>
      <c r="F143" s="171"/>
      <c r="G143" s="171"/>
      <c r="H143" s="171"/>
      <c r="I143" s="171"/>
      <c r="J143" s="470"/>
      <c r="K143" s="470"/>
      <c r="L143" s="509"/>
      <c r="M143" s="509"/>
      <c r="N143" s="509"/>
      <c r="O143" s="509"/>
      <c r="P143" s="509"/>
      <c r="Q143" s="509"/>
      <c r="R143" s="509"/>
      <c r="S143" s="62"/>
      <c r="T143" s="62"/>
    </row>
    <row r="144" spans="1:23" x14ac:dyDescent="0.3">
      <c r="A144" s="1"/>
      <c r="B144" s="1"/>
      <c r="C144" s="2"/>
      <c r="D144" s="3"/>
      <c r="E144" s="3"/>
      <c r="F144" s="3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</row>
    <row r="145" spans="1:23" s="170" customFormat="1" x14ac:dyDescent="0.3">
      <c r="A145" s="21" t="s">
        <v>496</v>
      </c>
      <c r="B145" s="22"/>
      <c r="C145" s="23"/>
      <c r="D145" s="24"/>
      <c r="E145" s="24"/>
      <c r="F145" s="24"/>
      <c r="G145" s="22"/>
      <c r="H145" s="22"/>
      <c r="I145" s="22"/>
      <c r="J145" s="24"/>
      <c r="K145" s="22"/>
      <c r="L145" s="22"/>
      <c r="M145" s="22"/>
      <c r="N145" s="22"/>
      <c r="O145" s="22"/>
      <c r="P145" s="22"/>
      <c r="Q145" s="22"/>
      <c r="W145" s="1"/>
    </row>
    <row r="146" spans="1:23" x14ac:dyDescent="0.3">
      <c r="A146" s="465"/>
      <c r="B146" s="501"/>
      <c r="C146" s="489"/>
      <c r="D146" s="171"/>
      <c r="E146" s="171"/>
      <c r="F146" s="171"/>
      <c r="G146" s="62"/>
      <c r="H146" s="62"/>
      <c r="I146" s="62"/>
      <c r="J146" s="171"/>
      <c r="K146" s="62"/>
      <c r="L146" s="62"/>
      <c r="M146" s="62"/>
      <c r="N146" s="62"/>
      <c r="O146" s="62"/>
      <c r="P146" s="62"/>
      <c r="Q146" s="62"/>
      <c r="R146" s="62"/>
      <c r="S146" s="62"/>
      <c r="T146" s="62"/>
    </row>
    <row r="147" spans="1:23" x14ac:dyDescent="0.3">
      <c r="A147" s="510" t="s">
        <v>1142</v>
      </c>
      <c r="B147" s="501"/>
      <c r="C147" s="489"/>
      <c r="D147" s="171"/>
      <c r="E147" s="171"/>
      <c r="F147" s="171"/>
      <c r="G147" s="62"/>
      <c r="H147" s="62"/>
      <c r="I147" s="62"/>
      <c r="J147" s="171"/>
      <c r="K147" s="62"/>
      <c r="L147" s="62"/>
      <c r="M147" s="62"/>
      <c r="N147" s="62"/>
      <c r="O147" s="62"/>
      <c r="P147" s="62"/>
      <c r="Q147" s="62"/>
      <c r="R147" s="62"/>
      <c r="S147" s="62"/>
      <c r="T147" s="62"/>
    </row>
    <row r="148" spans="1:23" x14ac:dyDescent="0.3">
      <c r="A148" s="500" t="s">
        <v>1143</v>
      </c>
      <c r="B148" s="501" t="s">
        <v>1144</v>
      </c>
      <c r="C148" s="489"/>
      <c r="D148" s="678"/>
      <c r="E148" s="678"/>
      <c r="F148" s="678"/>
      <c r="G148" s="677"/>
      <c r="H148" s="677"/>
      <c r="I148" s="677"/>
      <c r="J148" s="678"/>
      <c r="K148" s="677"/>
      <c r="L148" s="677"/>
      <c r="M148" s="677"/>
      <c r="N148" s="677"/>
      <c r="O148" s="677"/>
      <c r="P148" s="677"/>
      <c r="Q148" s="677"/>
      <c r="R148" s="62"/>
      <c r="S148" s="62"/>
      <c r="T148" s="62"/>
    </row>
    <row r="149" spans="1:23" x14ac:dyDescent="0.3">
      <c r="A149" s="500" t="s">
        <v>1145</v>
      </c>
      <c r="B149" s="501" t="s">
        <v>1146</v>
      </c>
      <c r="C149" s="489"/>
      <c r="D149" s="678"/>
      <c r="E149" s="678"/>
      <c r="F149" s="678"/>
      <c r="G149" s="677"/>
      <c r="H149" s="677"/>
      <c r="I149" s="677"/>
      <c r="J149" s="678"/>
      <c r="K149" s="677"/>
      <c r="L149" s="677"/>
      <c r="M149" s="677"/>
      <c r="N149" s="677"/>
      <c r="O149" s="677"/>
      <c r="P149" s="677"/>
      <c r="Q149" s="677"/>
      <c r="R149" s="62"/>
      <c r="S149" s="62"/>
      <c r="T149" s="62"/>
    </row>
    <row r="150" spans="1:23" x14ac:dyDescent="0.3">
      <c r="A150" s="465" t="s">
        <v>1147</v>
      </c>
      <c r="B150" s="502" t="s">
        <v>1148</v>
      </c>
      <c r="C150" s="489"/>
      <c r="D150" s="678"/>
      <c r="E150" s="678"/>
      <c r="F150" s="678"/>
      <c r="G150" s="678"/>
      <c r="H150" s="678"/>
      <c r="I150" s="669"/>
      <c r="J150" s="678"/>
      <c r="K150" s="678"/>
      <c r="L150" s="677"/>
      <c r="M150" s="677"/>
      <c r="N150" s="677"/>
      <c r="O150" s="677"/>
      <c r="P150" s="677"/>
      <c r="Q150" s="677"/>
      <c r="R150" s="62"/>
      <c r="S150" s="62">
        <f t="shared" ref="S150" si="41">SUM(J150:Q150)</f>
        <v>0</v>
      </c>
      <c r="T150" s="468">
        <f t="shared" ref="T150" si="42">I150-S150</f>
        <v>0</v>
      </c>
    </row>
    <row r="151" spans="1:23" x14ac:dyDescent="0.3">
      <c r="A151" s="465"/>
      <c r="B151" s="501"/>
      <c r="C151" s="489"/>
      <c r="D151" s="678"/>
      <c r="E151" s="678"/>
      <c r="F151" s="678"/>
      <c r="G151" s="677"/>
      <c r="H151" s="677"/>
      <c r="I151" s="677"/>
      <c r="J151" s="669"/>
      <c r="K151" s="677"/>
      <c r="L151" s="677"/>
      <c r="M151" s="677"/>
      <c r="N151" s="677"/>
      <c r="O151" s="677"/>
      <c r="P151" s="677"/>
      <c r="Q151" s="677"/>
      <c r="R151" s="62"/>
      <c r="S151" s="62"/>
      <c r="T151" s="62"/>
    </row>
    <row r="152" spans="1:23" x14ac:dyDescent="0.3">
      <c r="A152" s="465"/>
      <c r="B152" s="501" t="s">
        <v>1149</v>
      </c>
      <c r="C152" s="489"/>
      <c r="D152" s="678"/>
      <c r="E152" s="678"/>
      <c r="F152" s="678"/>
      <c r="G152" s="669"/>
      <c r="H152" s="669"/>
      <c r="I152" s="669"/>
      <c r="J152" s="669"/>
      <c r="K152" s="669"/>
      <c r="L152" s="669"/>
      <c r="M152" s="669"/>
      <c r="N152" s="669"/>
      <c r="O152" s="669"/>
      <c r="P152" s="669"/>
      <c r="Q152" s="669"/>
      <c r="R152" s="62"/>
      <c r="S152" s="62">
        <f t="shared" ref="S152" si="43">SUM(J152:Q152)</f>
        <v>0</v>
      </c>
      <c r="T152" s="468">
        <f t="shared" ref="T152" si="44">I152-S152</f>
        <v>0</v>
      </c>
    </row>
    <row r="153" spans="1:23" x14ac:dyDescent="0.3">
      <c r="A153" s="465"/>
      <c r="B153" s="501"/>
      <c r="C153" s="489"/>
      <c r="D153" s="678"/>
      <c r="E153" s="678"/>
      <c r="F153" s="678"/>
      <c r="G153" s="677"/>
      <c r="H153" s="677"/>
      <c r="I153" s="677"/>
      <c r="J153" s="677"/>
      <c r="K153" s="677"/>
      <c r="L153" s="677"/>
      <c r="M153" s="677"/>
      <c r="N153" s="677"/>
      <c r="O153" s="677"/>
      <c r="P153" s="677"/>
      <c r="Q153" s="677"/>
      <c r="R153" s="62"/>
      <c r="S153" s="62"/>
      <c r="T153" s="62"/>
    </row>
    <row r="154" spans="1:23" s="1" customFormat="1" x14ac:dyDescent="0.3">
      <c r="A154" s="463" t="s">
        <v>370</v>
      </c>
      <c r="B154" s="62"/>
      <c r="C154" s="489"/>
      <c r="D154" s="678"/>
      <c r="E154" s="678"/>
      <c r="F154" s="678"/>
      <c r="G154" s="677"/>
      <c r="H154" s="677"/>
      <c r="I154" s="677"/>
      <c r="J154" s="677"/>
      <c r="K154" s="677"/>
      <c r="L154" s="677"/>
      <c r="M154" s="677"/>
      <c r="N154" s="677"/>
      <c r="O154" s="677"/>
      <c r="P154" s="677"/>
      <c r="Q154" s="677"/>
      <c r="R154" s="62"/>
      <c r="S154" s="62"/>
      <c r="T154" s="62"/>
      <c r="V154" s="4"/>
      <c r="W154" s="4"/>
    </row>
    <row r="155" spans="1:23" x14ac:dyDescent="0.3">
      <c r="A155" s="498" t="s">
        <v>371</v>
      </c>
      <c r="B155" s="62" t="s">
        <v>372</v>
      </c>
      <c r="C155" s="121" t="s">
        <v>19</v>
      </c>
      <c r="D155" s="678"/>
      <c r="E155" s="678"/>
      <c r="F155" s="678"/>
      <c r="G155" s="677"/>
      <c r="H155" s="669"/>
      <c r="I155" s="669"/>
      <c r="J155" s="669"/>
      <c r="K155" s="669"/>
      <c r="L155" s="669"/>
      <c r="M155" s="669"/>
      <c r="N155" s="669"/>
      <c r="O155" s="669"/>
      <c r="P155" s="669"/>
      <c r="Q155" s="669"/>
      <c r="R155" s="468"/>
      <c r="S155" s="62">
        <f t="shared" ref="S155:S161" si="45">SUM(J155:Q155)</f>
        <v>0</v>
      </c>
      <c r="T155" s="468">
        <f t="shared" ref="T155:T161" si="46">I155-S155</f>
        <v>0</v>
      </c>
    </row>
    <row r="156" spans="1:23" x14ac:dyDescent="0.3">
      <c r="A156" s="498" t="s">
        <v>373</v>
      </c>
      <c r="B156" s="498" t="s">
        <v>374</v>
      </c>
      <c r="C156" s="121" t="s">
        <v>19</v>
      </c>
      <c r="D156" s="678"/>
      <c r="E156" s="678"/>
      <c r="F156" s="678"/>
      <c r="G156" s="677"/>
      <c r="H156" s="669"/>
      <c r="I156" s="669"/>
      <c r="J156" s="669"/>
      <c r="K156" s="669"/>
      <c r="L156" s="669"/>
      <c r="M156" s="669"/>
      <c r="N156" s="669"/>
      <c r="O156" s="669"/>
      <c r="P156" s="669"/>
      <c r="Q156" s="669"/>
      <c r="R156" s="468"/>
      <c r="S156" s="62">
        <f t="shared" si="45"/>
        <v>0</v>
      </c>
      <c r="T156" s="468">
        <f t="shared" si="46"/>
        <v>0</v>
      </c>
    </row>
    <row r="157" spans="1:23" x14ac:dyDescent="0.3">
      <c r="A157" s="498" t="s">
        <v>375</v>
      </c>
      <c r="B157" s="498" t="s">
        <v>376</v>
      </c>
      <c r="C157" s="121" t="s">
        <v>19</v>
      </c>
      <c r="D157" s="678"/>
      <c r="E157" s="678"/>
      <c r="F157" s="678"/>
      <c r="G157" s="677"/>
      <c r="H157" s="669"/>
      <c r="I157" s="669"/>
      <c r="J157" s="669"/>
      <c r="K157" s="669"/>
      <c r="L157" s="669"/>
      <c r="M157" s="669"/>
      <c r="N157" s="669"/>
      <c r="O157" s="669"/>
      <c r="P157" s="669"/>
      <c r="Q157" s="669"/>
      <c r="R157" s="468"/>
      <c r="S157" s="62">
        <f t="shared" si="45"/>
        <v>0</v>
      </c>
      <c r="T157" s="468">
        <f t="shared" si="46"/>
        <v>0</v>
      </c>
    </row>
    <row r="158" spans="1:23" x14ac:dyDescent="0.3">
      <c r="A158" s="498" t="s">
        <v>377</v>
      </c>
      <c r="B158" s="62" t="s">
        <v>378</v>
      </c>
      <c r="C158" s="121" t="s">
        <v>19</v>
      </c>
      <c r="D158" s="678"/>
      <c r="E158" s="678"/>
      <c r="F158" s="678"/>
      <c r="G158" s="677"/>
      <c r="H158" s="669"/>
      <c r="I158" s="669"/>
      <c r="J158" s="669"/>
      <c r="K158" s="669"/>
      <c r="L158" s="669"/>
      <c r="M158" s="669"/>
      <c r="N158" s="669"/>
      <c r="O158" s="669"/>
      <c r="P158" s="669"/>
      <c r="Q158" s="669"/>
      <c r="R158" s="468"/>
      <c r="S158" s="62">
        <f t="shared" si="45"/>
        <v>0</v>
      </c>
      <c r="T158" s="468">
        <f t="shared" si="46"/>
        <v>0</v>
      </c>
    </row>
    <row r="159" spans="1:23" x14ac:dyDescent="0.3">
      <c r="A159" s="498" t="s">
        <v>379</v>
      </c>
      <c r="B159" s="62" t="s">
        <v>380</v>
      </c>
      <c r="C159" s="121" t="s">
        <v>19</v>
      </c>
      <c r="D159" s="678"/>
      <c r="E159" s="678"/>
      <c r="F159" s="678"/>
      <c r="G159" s="677"/>
      <c r="H159" s="669"/>
      <c r="I159" s="669"/>
      <c r="J159" s="669"/>
      <c r="K159" s="669"/>
      <c r="L159" s="669"/>
      <c r="M159" s="669"/>
      <c r="N159" s="669"/>
      <c r="O159" s="669"/>
      <c r="P159" s="669"/>
      <c r="Q159" s="669"/>
      <c r="R159" s="468"/>
      <c r="S159" s="62">
        <f t="shared" si="45"/>
        <v>0</v>
      </c>
      <c r="T159" s="468">
        <f t="shared" si="46"/>
        <v>0</v>
      </c>
    </row>
    <row r="160" spans="1:23" x14ac:dyDescent="0.3">
      <c r="A160" s="498" t="s">
        <v>381</v>
      </c>
      <c r="B160" s="62" t="s">
        <v>382</v>
      </c>
      <c r="C160" s="121" t="s">
        <v>19</v>
      </c>
      <c r="D160" s="678"/>
      <c r="E160" s="678"/>
      <c r="F160" s="678"/>
      <c r="G160" s="677"/>
      <c r="H160" s="669"/>
      <c r="I160" s="669"/>
      <c r="J160" s="669"/>
      <c r="K160" s="669"/>
      <c r="L160" s="669"/>
      <c r="M160" s="669"/>
      <c r="N160" s="669"/>
      <c r="O160" s="669"/>
      <c r="P160" s="669"/>
      <c r="Q160" s="669"/>
      <c r="R160" s="468"/>
      <c r="S160" s="62">
        <f t="shared" si="45"/>
        <v>0</v>
      </c>
      <c r="T160" s="468">
        <f t="shared" si="46"/>
        <v>0</v>
      </c>
    </row>
    <row r="161" spans="1:23" x14ac:dyDescent="0.3">
      <c r="A161" s="498" t="s">
        <v>383</v>
      </c>
      <c r="B161" s="62" t="s">
        <v>384</v>
      </c>
      <c r="C161" s="121" t="s">
        <v>19</v>
      </c>
      <c r="D161" s="678"/>
      <c r="E161" s="678"/>
      <c r="F161" s="678"/>
      <c r="G161" s="677"/>
      <c r="H161" s="669"/>
      <c r="I161" s="669"/>
      <c r="J161" s="669"/>
      <c r="K161" s="669"/>
      <c r="L161" s="669"/>
      <c r="M161" s="669"/>
      <c r="N161" s="669"/>
      <c r="O161" s="669"/>
      <c r="P161" s="669"/>
      <c r="Q161" s="669"/>
      <c r="R161" s="468"/>
      <c r="S161" s="62">
        <f t="shared" si="45"/>
        <v>0</v>
      </c>
      <c r="T161" s="468">
        <f t="shared" si="46"/>
        <v>0</v>
      </c>
    </row>
    <row r="162" spans="1:23" s="1" customFormat="1" x14ac:dyDescent="0.3">
      <c r="A162" s="62"/>
      <c r="B162" s="62"/>
      <c r="C162" s="489"/>
      <c r="D162" s="678"/>
      <c r="E162" s="678"/>
      <c r="F162" s="678"/>
      <c r="G162" s="677"/>
      <c r="H162" s="677"/>
      <c r="I162" s="677"/>
      <c r="J162" s="677"/>
      <c r="K162" s="677"/>
      <c r="L162" s="677"/>
      <c r="M162" s="677"/>
      <c r="N162" s="677"/>
      <c r="O162" s="677"/>
      <c r="P162" s="677"/>
      <c r="Q162" s="677"/>
      <c r="R162" s="62"/>
      <c r="S162" s="62"/>
      <c r="T162" s="62"/>
      <c r="V162" s="4"/>
      <c r="W162" s="4"/>
    </row>
    <row r="163" spans="1:23" s="1" customFormat="1" x14ac:dyDescent="0.3">
      <c r="A163" s="62"/>
      <c r="B163" s="62" t="s">
        <v>385</v>
      </c>
      <c r="C163" s="121"/>
      <c r="D163" s="678"/>
      <c r="E163" s="678"/>
      <c r="F163" s="678"/>
      <c r="G163" s="678"/>
      <c r="H163" s="678"/>
      <c r="I163" s="678"/>
      <c r="J163" s="678"/>
      <c r="K163" s="678"/>
      <c r="L163" s="678"/>
      <c r="M163" s="678"/>
      <c r="N163" s="678"/>
      <c r="O163" s="678"/>
      <c r="P163" s="678"/>
      <c r="Q163" s="678"/>
      <c r="R163" s="171"/>
      <c r="S163" s="62">
        <f>SUM(J163:Q163)</f>
        <v>0</v>
      </c>
      <c r="T163" s="468">
        <f>I163-S163</f>
        <v>0</v>
      </c>
      <c r="V163" s="4"/>
      <c r="W163" s="4"/>
    </row>
    <row r="164" spans="1:23" s="1" customFormat="1" x14ac:dyDescent="0.3">
      <c r="A164" s="62"/>
      <c r="B164" s="62"/>
      <c r="C164" s="121"/>
      <c r="D164" s="678"/>
      <c r="E164" s="678"/>
      <c r="F164" s="678"/>
      <c r="G164" s="677"/>
      <c r="H164" s="677"/>
      <c r="I164" s="677"/>
      <c r="J164" s="677"/>
      <c r="K164" s="677"/>
      <c r="L164" s="677"/>
      <c r="M164" s="677"/>
      <c r="N164" s="677"/>
      <c r="O164" s="677"/>
      <c r="P164" s="677"/>
      <c r="Q164" s="677"/>
      <c r="R164" s="62"/>
      <c r="S164" s="62"/>
      <c r="T164" s="468"/>
      <c r="V164" s="4"/>
      <c r="W164" s="4"/>
    </row>
    <row r="165" spans="1:23" s="1" customFormat="1" x14ac:dyDescent="0.3">
      <c r="A165" s="463" t="s">
        <v>386</v>
      </c>
      <c r="B165" s="62"/>
      <c r="C165" s="121"/>
      <c r="D165" s="678"/>
      <c r="E165" s="678"/>
      <c r="F165" s="678"/>
      <c r="G165" s="677"/>
      <c r="H165" s="677"/>
      <c r="I165" s="677"/>
      <c r="J165" s="677"/>
      <c r="K165" s="677"/>
      <c r="L165" s="677"/>
      <c r="M165" s="677"/>
      <c r="N165" s="677"/>
      <c r="O165" s="677"/>
      <c r="P165" s="677"/>
      <c r="Q165" s="677"/>
      <c r="R165" s="62"/>
      <c r="S165" s="62"/>
      <c r="T165" s="62"/>
      <c r="V165" s="4"/>
      <c r="W165" s="4"/>
    </row>
    <row r="166" spans="1:23" s="1" customFormat="1" x14ac:dyDescent="0.3">
      <c r="A166" s="500" t="s">
        <v>387</v>
      </c>
      <c r="B166" s="501" t="s">
        <v>372</v>
      </c>
      <c r="C166" s="121" t="s">
        <v>19</v>
      </c>
      <c r="D166" s="678"/>
      <c r="E166" s="678"/>
      <c r="F166" s="678"/>
      <c r="G166" s="677"/>
      <c r="H166" s="669"/>
      <c r="I166" s="669"/>
      <c r="J166" s="669"/>
      <c r="K166" s="669"/>
      <c r="L166" s="669"/>
      <c r="M166" s="669"/>
      <c r="N166" s="669"/>
      <c r="O166" s="669"/>
      <c r="P166" s="669"/>
      <c r="Q166" s="669"/>
      <c r="R166" s="468"/>
      <c r="S166" s="62">
        <f t="shared" ref="S166:S171" si="47">SUM(J166:Q166)</f>
        <v>0</v>
      </c>
      <c r="T166" s="468">
        <f t="shared" ref="T166:T171" si="48">I166-S166</f>
        <v>0</v>
      </c>
      <c r="V166" s="4"/>
      <c r="W166" s="4"/>
    </row>
    <row r="167" spans="1:23" s="1" customFormat="1" x14ac:dyDescent="0.3">
      <c r="A167" s="500" t="s">
        <v>388</v>
      </c>
      <c r="B167" s="502" t="s">
        <v>374</v>
      </c>
      <c r="C167" s="121" t="s">
        <v>19</v>
      </c>
      <c r="D167" s="678"/>
      <c r="E167" s="678"/>
      <c r="F167" s="678"/>
      <c r="G167" s="677"/>
      <c r="H167" s="669"/>
      <c r="I167" s="669"/>
      <c r="J167" s="669"/>
      <c r="K167" s="669"/>
      <c r="L167" s="669"/>
      <c r="M167" s="669"/>
      <c r="N167" s="669"/>
      <c r="O167" s="669"/>
      <c r="P167" s="669"/>
      <c r="Q167" s="669"/>
      <c r="R167" s="468"/>
      <c r="S167" s="62">
        <f t="shared" si="47"/>
        <v>0</v>
      </c>
      <c r="T167" s="468">
        <f t="shared" si="48"/>
        <v>0</v>
      </c>
      <c r="V167" s="4"/>
      <c r="W167" s="4"/>
    </row>
    <row r="168" spans="1:23" s="1" customFormat="1" x14ac:dyDescent="0.3">
      <c r="A168" s="500" t="s">
        <v>389</v>
      </c>
      <c r="B168" s="502" t="s">
        <v>390</v>
      </c>
      <c r="C168" s="121" t="s">
        <v>19</v>
      </c>
      <c r="D168" s="678"/>
      <c r="E168" s="678"/>
      <c r="F168" s="678"/>
      <c r="G168" s="677"/>
      <c r="H168" s="669"/>
      <c r="I168" s="669"/>
      <c r="J168" s="669"/>
      <c r="K168" s="669"/>
      <c r="L168" s="669"/>
      <c r="M168" s="669"/>
      <c r="N168" s="669"/>
      <c r="O168" s="669"/>
      <c r="P168" s="669"/>
      <c r="Q168" s="669"/>
      <c r="R168" s="468"/>
      <c r="S168" s="62">
        <f t="shared" si="47"/>
        <v>0</v>
      </c>
      <c r="T168" s="468">
        <f t="shared" si="48"/>
        <v>0</v>
      </c>
      <c r="V168" s="4"/>
      <c r="W168" s="4"/>
    </row>
    <row r="169" spans="1:23" s="1" customFormat="1" x14ac:dyDescent="0.3">
      <c r="A169" s="500" t="s">
        <v>391</v>
      </c>
      <c r="B169" s="501" t="s">
        <v>378</v>
      </c>
      <c r="C169" s="121" t="s">
        <v>19</v>
      </c>
      <c r="D169" s="678"/>
      <c r="E169" s="678"/>
      <c r="F169" s="678"/>
      <c r="G169" s="677"/>
      <c r="H169" s="669"/>
      <c r="I169" s="669"/>
      <c r="J169" s="669"/>
      <c r="K169" s="669"/>
      <c r="L169" s="669"/>
      <c r="M169" s="669"/>
      <c r="N169" s="669"/>
      <c r="O169" s="669"/>
      <c r="P169" s="669"/>
      <c r="Q169" s="669"/>
      <c r="R169" s="468"/>
      <c r="S169" s="62">
        <f t="shared" si="47"/>
        <v>0</v>
      </c>
      <c r="T169" s="468">
        <f t="shared" si="48"/>
        <v>0</v>
      </c>
      <c r="V169" s="4"/>
      <c r="W169" s="4"/>
    </row>
    <row r="170" spans="1:23" s="1" customFormat="1" x14ac:dyDescent="0.3">
      <c r="A170" s="500" t="s">
        <v>392</v>
      </c>
      <c r="B170" s="501" t="s">
        <v>380</v>
      </c>
      <c r="C170" s="121" t="s">
        <v>19</v>
      </c>
      <c r="D170" s="678"/>
      <c r="E170" s="678"/>
      <c r="F170" s="678"/>
      <c r="G170" s="677"/>
      <c r="H170" s="669"/>
      <c r="I170" s="669"/>
      <c r="J170" s="669"/>
      <c r="K170" s="669"/>
      <c r="L170" s="669"/>
      <c r="M170" s="669"/>
      <c r="N170" s="669"/>
      <c r="O170" s="669"/>
      <c r="P170" s="669"/>
      <c r="Q170" s="669"/>
      <c r="R170" s="468"/>
      <c r="S170" s="62">
        <f t="shared" si="47"/>
        <v>0</v>
      </c>
      <c r="T170" s="468">
        <f t="shared" si="48"/>
        <v>0</v>
      </c>
      <c r="V170" s="4"/>
      <c r="W170" s="4"/>
    </row>
    <row r="171" spans="1:23" s="1" customFormat="1" x14ac:dyDescent="0.3">
      <c r="A171" s="500" t="s">
        <v>393</v>
      </c>
      <c r="B171" s="501" t="s">
        <v>382</v>
      </c>
      <c r="C171" s="121" t="s">
        <v>19</v>
      </c>
      <c r="D171" s="678"/>
      <c r="E171" s="678"/>
      <c r="F171" s="678"/>
      <c r="G171" s="677"/>
      <c r="H171" s="669"/>
      <c r="I171" s="669"/>
      <c r="J171" s="669"/>
      <c r="K171" s="669"/>
      <c r="L171" s="669"/>
      <c r="M171" s="669"/>
      <c r="N171" s="669"/>
      <c r="O171" s="669"/>
      <c r="P171" s="669"/>
      <c r="Q171" s="669"/>
      <c r="R171" s="468"/>
      <c r="S171" s="62">
        <f t="shared" si="47"/>
        <v>0</v>
      </c>
      <c r="T171" s="468">
        <f t="shared" si="48"/>
        <v>0</v>
      </c>
      <c r="V171" s="4"/>
      <c r="W171" s="4"/>
    </row>
    <row r="172" spans="1:23" x14ac:dyDescent="0.3">
      <c r="A172" s="500" t="s">
        <v>1150</v>
      </c>
      <c r="B172" s="501" t="s">
        <v>384</v>
      </c>
      <c r="C172" s="121" t="s">
        <v>19</v>
      </c>
      <c r="D172" s="678"/>
      <c r="E172" s="678"/>
      <c r="F172" s="678"/>
      <c r="G172" s="677"/>
      <c r="H172" s="669"/>
      <c r="I172" s="669"/>
      <c r="J172" s="669"/>
      <c r="K172" s="669"/>
      <c r="L172" s="669"/>
      <c r="M172" s="669"/>
      <c r="N172" s="669"/>
      <c r="O172" s="669"/>
      <c r="P172" s="669"/>
      <c r="Q172" s="669"/>
      <c r="R172" s="468"/>
      <c r="S172" s="62"/>
      <c r="T172" s="468"/>
    </row>
    <row r="173" spans="1:23" x14ac:dyDescent="0.3">
      <c r="A173" s="500" t="s">
        <v>1219</v>
      </c>
      <c r="B173" s="501" t="s">
        <v>91</v>
      </c>
      <c r="C173" s="121" t="s">
        <v>19</v>
      </c>
      <c r="D173" s="678"/>
      <c r="E173" s="678"/>
      <c r="F173" s="678"/>
      <c r="G173" s="677"/>
      <c r="H173" s="669"/>
      <c r="I173" s="669"/>
      <c r="J173" s="669"/>
      <c r="K173" s="669"/>
      <c r="L173" s="669"/>
      <c r="M173" s="669"/>
      <c r="N173" s="669"/>
      <c r="O173" s="669"/>
      <c r="P173" s="669"/>
      <c r="Q173" s="669"/>
      <c r="R173" s="468"/>
      <c r="S173" s="62"/>
      <c r="T173" s="468"/>
    </row>
    <row r="174" spans="1:23" x14ac:dyDescent="0.3">
      <c r="A174" s="62"/>
      <c r="B174" s="62"/>
      <c r="C174" s="489"/>
      <c r="D174" s="678"/>
      <c r="E174" s="678"/>
      <c r="F174" s="678"/>
      <c r="G174" s="677"/>
      <c r="H174" s="677"/>
      <c r="I174" s="677"/>
      <c r="J174" s="677"/>
      <c r="K174" s="677"/>
      <c r="L174" s="677"/>
      <c r="M174" s="677"/>
      <c r="N174" s="677"/>
      <c r="O174" s="677"/>
      <c r="P174" s="677"/>
      <c r="Q174" s="677"/>
      <c r="R174" s="62"/>
      <c r="S174" s="62"/>
      <c r="T174" s="62"/>
    </row>
    <row r="175" spans="1:23" x14ac:dyDescent="0.3">
      <c r="A175" s="62"/>
      <c r="B175" s="62" t="s">
        <v>394</v>
      </c>
      <c r="C175" s="121"/>
      <c r="D175" s="678"/>
      <c r="E175" s="678"/>
      <c r="F175" s="678"/>
      <c r="G175" s="677"/>
      <c r="H175" s="678"/>
      <c r="I175" s="678"/>
      <c r="J175" s="678"/>
      <c r="K175" s="678"/>
      <c r="L175" s="678"/>
      <c r="M175" s="678"/>
      <c r="N175" s="678"/>
      <c r="O175" s="678"/>
      <c r="P175" s="678"/>
      <c r="Q175" s="678"/>
      <c r="R175" s="171"/>
      <c r="S175" s="62">
        <f>SUM(J175:Q175)</f>
        <v>0</v>
      </c>
      <c r="T175" s="468">
        <f>I175-S175</f>
        <v>0</v>
      </c>
    </row>
    <row r="176" spans="1:23" x14ac:dyDescent="0.3">
      <c r="A176" s="62"/>
      <c r="B176" s="62"/>
      <c r="C176" s="121"/>
      <c r="D176" s="678"/>
      <c r="E176" s="678"/>
      <c r="F176" s="678"/>
      <c r="G176" s="677"/>
      <c r="H176" s="677"/>
      <c r="I176" s="677"/>
      <c r="J176" s="677"/>
      <c r="K176" s="677"/>
      <c r="L176" s="677"/>
      <c r="M176" s="677"/>
      <c r="N176" s="677"/>
      <c r="O176" s="677"/>
      <c r="P176" s="677"/>
      <c r="Q176" s="677"/>
      <c r="R176" s="62"/>
      <c r="S176" s="62"/>
      <c r="T176" s="62"/>
    </row>
    <row r="177" spans="1:23" x14ac:dyDescent="0.3">
      <c r="A177" s="463" t="s">
        <v>395</v>
      </c>
      <c r="B177" s="62"/>
      <c r="C177" s="121"/>
      <c r="D177" s="678"/>
      <c r="E177" s="678"/>
      <c r="F177" s="678"/>
      <c r="G177" s="677"/>
      <c r="H177" s="677"/>
      <c r="I177" s="677"/>
      <c r="J177" s="677"/>
      <c r="K177" s="677"/>
      <c r="L177" s="677"/>
      <c r="M177" s="677"/>
      <c r="N177" s="677"/>
      <c r="O177" s="677"/>
      <c r="P177" s="677"/>
      <c r="Q177" s="677"/>
      <c r="R177" s="62"/>
      <c r="S177" s="62"/>
      <c r="T177" s="62"/>
    </row>
    <row r="178" spans="1:23" x14ac:dyDescent="0.3">
      <c r="A178" s="498" t="s">
        <v>396</v>
      </c>
      <c r="B178" s="62" t="s">
        <v>372</v>
      </c>
      <c r="C178" s="121"/>
      <c r="D178" s="678"/>
      <c r="E178" s="678"/>
      <c r="F178" s="678"/>
      <c r="G178" s="677"/>
      <c r="H178" s="669"/>
      <c r="I178" s="669"/>
      <c r="J178" s="669"/>
      <c r="K178" s="669"/>
      <c r="L178" s="669"/>
      <c r="M178" s="669"/>
      <c r="N178" s="669"/>
      <c r="O178" s="669"/>
      <c r="P178" s="669"/>
      <c r="Q178" s="669"/>
      <c r="R178" s="468"/>
      <c r="S178" s="62">
        <f t="shared" ref="S178:S184" si="49">SUM(J178:Q178)</f>
        <v>0</v>
      </c>
      <c r="T178" s="468">
        <f t="shared" ref="T178:T184" si="50">I178-S178</f>
        <v>0</v>
      </c>
    </row>
    <row r="179" spans="1:23" x14ac:dyDescent="0.3">
      <c r="A179" s="498" t="s">
        <v>397</v>
      </c>
      <c r="B179" s="498" t="s">
        <v>374</v>
      </c>
      <c r="C179" s="121"/>
      <c r="D179" s="678"/>
      <c r="E179" s="678"/>
      <c r="F179" s="678"/>
      <c r="G179" s="677"/>
      <c r="H179" s="669"/>
      <c r="I179" s="669"/>
      <c r="J179" s="669"/>
      <c r="K179" s="669"/>
      <c r="L179" s="669"/>
      <c r="M179" s="669"/>
      <c r="N179" s="669"/>
      <c r="O179" s="669"/>
      <c r="P179" s="669"/>
      <c r="Q179" s="669"/>
      <c r="R179" s="468"/>
      <c r="S179" s="62">
        <f t="shared" si="49"/>
        <v>0</v>
      </c>
      <c r="T179" s="468">
        <f t="shared" si="50"/>
        <v>0</v>
      </c>
    </row>
    <row r="180" spans="1:23" x14ac:dyDescent="0.3">
      <c r="A180" s="498" t="s">
        <v>398</v>
      </c>
      <c r="B180" s="62" t="s">
        <v>1321</v>
      </c>
      <c r="C180" s="505"/>
      <c r="D180" s="678"/>
      <c r="E180" s="678"/>
      <c r="F180" s="678"/>
      <c r="G180" s="677"/>
      <c r="H180" s="669"/>
      <c r="I180" s="669"/>
      <c r="J180" s="669"/>
      <c r="K180" s="669"/>
      <c r="L180" s="669"/>
      <c r="M180" s="669"/>
      <c r="N180" s="669"/>
      <c r="O180" s="669"/>
      <c r="P180" s="669"/>
      <c r="Q180" s="669"/>
      <c r="R180" s="468"/>
      <c r="S180" s="62">
        <f t="shared" si="49"/>
        <v>0</v>
      </c>
      <c r="T180" s="468">
        <f t="shared" si="50"/>
        <v>0</v>
      </c>
    </row>
    <row r="181" spans="1:23" x14ac:dyDescent="0.3">
      <c r="A181" s="498" t="s">
        <v>399</v>
      </c>
      <c r="B181" s="62" t="s">
        <v>497</v>
      </c>
      <c r="C181" s="121"/>
      <c r="D181" s="678"/>
      <c r="E181" s="678"/>
      <c r="F181" s="678"/>
      <c r="G181" s="677"/>
      <c r="H181" s="669"/>
      <c r="I181" s="669"/>
      <c r="J181" s="669"/>
      <c r="K181" s="669"/>
      <c r="L181" s="669"/>
      <c r="M181" s="669"/>
      <c r="N181" s="669"/>
      <c r="O181" s="669"/>
      <c r="P181" s="669"/>
      <c r="Q181" s="669"/>
      <c r="R181" s="468"/>
      <c r="S181" s="62">
        <f t="shared" si="49"/>
        <v>0</v>
      </c>
      <c r="T181" s="468">
        <f t="shared" si="50"/>
        <v>0</v>
      </c>
    </row>
    <row r="182" spans="1:23" x14ac:dyDescent="0.3">
      <c r="A182" s="498" t="s">
        <v>401</v>
      </c>
      <c r="B182" s="62" t="s">
        <v>402</v>
      </c>
      <c r="C182" s="121"/>
      <c r="D182" s="678"/>
      <c r="E182" s="678"/>
      <c r="F182" s="678"/>
      <c r="G182" s="677"/>
      <c r="H182" s="669"/>
      <c r="I182" s="669"/>
      <c r="J182" s="669"/>
      <c r="K182" s="669"/>
      <c r="L182" s="669"/>
      <c r="M182" s="669"/>
      <c r="N182" s="669"/>
      <c r="O182" s="669"/>
      <c r="P182" s="669"/>
      <c r="Q182" s="669"/>
      <c r="R182" s="468"/>
      <c r="S182" s="62">
        <f t="shared" si="49"/>
        <v>0</v>
      </c>
      <c r="T182" s="468">
        <f t="shared" si="50"/>
        <v>0</v>
      </c>
    </row>
    <row r="183" spans="1:23" x14ac:dyDescent="0.3">
      <c r="A183" s="498" t="s">
        <v>403</v>
      </c>
      <c r="B183" s="62" t="s">
        <v>404</v>
      </c>
      <c r="C183" s="121"/>
      <c r="D183" s="678"/>
      <c r="E183" s="678"/>
      <c r="F183" s="678"/>
      <c r="G183" s="677"/>
      <c r="H183" s="669"/>
      <c r="I183" s="669"/>
      <c r="J183" s="669"/>
      <c r="K183" s="669"/>
      <c r="L183" s="669"/>
      <c r="M183" s="669"/>
      <c r="N183" s="669"/>
      <c r="O183" s="669"/>
      <c r="P183" s="669"/>
      <c r="Q183" s="669"/>
      <c r="R183" s="468"/>
      <c r="S183" s="62">
        <f t="shared" si="49"/>
        <v>0</v>
      </c>
      <c r="T183" s="468">
        <f t="shared" si="50"/>
        <v>0</v>
      </c>
    </row>
    <row r="184" spans="1:23" x14ac:dyDescent="0.3">
      <c r="A184" s="498" t="s">
        <v>405</v>
      </c>
      <c r="B184" s="62" t="s">
        <v>406</v>
      </c>
      <c r="C184" s="121"/>
      <c r="D184" s="678"/>
      <c r="E184" s="678"/>
      <c r="F184" s="678"/>
      <c r="G184" s="677"/>
      <c r="H184" s="669"/>
      <c r="I184" s="669"/>
      <c r="J184" s="669"/>
      <c r="K184" s="669"/>
      <c r="L184" s="669"/>
      <c r="M184" s="669"/>
      <c r="N184" s="669"/>
      <c r="O184" s="669"/>
      <c r="P184" s="669"/>
      <c r="Q184" s="669"/>
      <c r="R184" s="468"/>
      <c r="S184" s="62">
        <f t="shared" si="49"/>
        <v>0</v>
      </c>
      <c r="T184" s="468">
        <f t="shared" si="50"/>
        <v>0</v>
      </c>
    </row>
    <row r="185" spans="1:23" x14ac:dyDescent="0.3">
      <c r="A185" s="62"/>
      <c r="B185" s="62"/>
      <c r="C185" s="121"/>
      <c r="D185" s="678"/>
      <c r="E185" s="678"/>
      <c r="F185" s="678"/>
      <c r="G185" s="677"/>
      <c r="H185" s="677"/>
      <c r="I185" s="677"/>
      <c r="J185" s="677"/>
      <c r="K185" s="677"/>
      <c r="L185" s="677"/>
      <c r="M185" s="677"/>
      <c r="N185" s="677"/>
      <c r="O185" s="677"/>
      <c r="P185" s="677"/>
      <c r="Q185" s="677"/>
      <c r="R185" s="62"/>
      <c r="S185" s="62"/>
      <c r="T185" s="62"/>
    </row>
    <row r="186" spans="1:23" x14ac:dyDescent="0.3">
      <c r="A186" s="62"/>
      <c r="B186" s="62" t="s">
        <v>407</v>
      </c>
      <c r="C186" s="121"/>
      <c r="D186" s="678"/>
      <c r="E186" s="678"/>
      <c r="F186" s="678"/>
      <c r="G186" s="677"/>
      <c r="H186" s="678"/>
      <c r="I186" s="678"/>
      <c r="J186" s="678"/>
      <c r="K186" s="678"/>
      <c r="L186" s="678"/>
      <c r="M186" s="678"/>
      <c r="N186" s="678"/>
      <c r="O186" s="678"/>
      <c r="P186" s="678"/>
      <c r="Q186" s="678"/>
      <c r="R186" s="171"/>
      <c r="S186" s="62">
        <f>SUM(J186:Q186)</f>
        <v>0</v>
      </c>
      <c r="T186" s="468">
        <f>I186-S186</f>
        <v>0</v>
      </c>
    </row>
    <row r="187" spans="1:23" x14ac:dyDescent="0.3">
      <c r="A187" s="62"/>
      <c r="B187" s="62"/>
      <c r="C187" s="121"/>
      <c r="D187" s="678"/>
      <c r="E187" s="678"/>
      <c r="F187" s="678"/>
      <c r="G187" s="677"/>
      <c r="H187" s="677"/>
      <c r="I187" s="677"/>
      <c r="J187" s="677"/>
      <c r="K187" s="677"/>
      <c r="L187" s="677"/>
      <c r="M187" s="677"/>
      <c r="N187" s="677"/>
      <c r="O187" s="677"/>
      <c r="P187" s="677"/>
      <c r="Q187" s="677"/>
      <c r="R187" s="62"/>
      <c r="S187" s="62"/>
      <c r="T187" s="62"/>
    </row>
    <row r="188" spans="1:23" x14ac:dyDescent="0.3">
      <c r="A188" s="463" t="s">
        <v>408</v>
      </c>
      <c r="B188" s="62"/>
      <c r="C188" s="121"/>
      <c r="D188" s="678"/>
      <c r="E188" s="678"/>
      <c r="F188" s="678"/>
      <c r="G188" s="677"/>
      <c r="H188" s="677"/>
      <c r="I188" s="677"/>
      <c r="J188" s="677"/>
      <c r="K188" s="677"/>
      <c r="L188" s="677"/>
      <c r="M188" s="677"/>
      <c r="N188" s="677"/>
      <c r="O188" s="677"/>
      <c r="P188" s="677"/>
      <c r="Q188" s="677"/>
      <c r="R188" s="62"/>
      <c r="S188" s="62"/>
      <c r="T188" s="62"/>
    </row>
    <row r="189" spans="1:23" s="1" customFormat="1" x14ac:dyDescent="0.3">
      <c r="A189" s="62" t="s">
        <v>409</v>
      </c>
      <c r="B189" s="504" t="s">
        <v>372</v>
      </c>
      <c r="C189" s="121" t="s">
        <v>19</v>
      </c>
      <c r="D189" s="678"/>
      <c r="E189" s="678"/>
      <c r="F189" s="678"/>
      <c r="G189" s="677"/>
      <c r="H189" s="669"/>
      <c r="I189" s="669"/>
      <c r="J189" s="669"/>
      <c r="K189" s="669"/>
      <c r="L189" s="669"/>
      <c r="M189" s="669"/>
      <c r="N189" s="669"/>
      <c r="O189" s="669"/>
      <c r="P189" s="669"/>
      <c r="Q189" s="669"/>
      <c r="R189" s="468"/>
      <c r="S189" s="62">
        <f t="shared" ref="S189:S197" si="51">SUM(J189:Q189)</f>
        <v>0</v>
      </c>
      <c r="T189" s="468">
        <f t="shared" ref="T189:T195" si="52">I189-S189</f>
        <v>0</v>
      </c>
      <c r="V189" s="4"/>
      <c r="W189" s="4"/>
    </row>
    <row r="190" spans="1:23" s="1" customFormat="1" x14ac:dyDescent="0.3">
      <c r="A190" s="62" t="s">
        <v>410</v>
      </c>
      <c r="B190" s="503" t="s">
        <v>374</v>
      </c>
      <c r="C190" s="121" t="s">
        <v>19</v>
      </c>
      <c r="D190" s="678"/>
      <c r="E190" s="678"/>
      <c r="F190" s="678"/>
      <c r="G190" s="677"/>
      <c r="H190" s="669"/>
      <c r="I190" s="669"/>
      <c r="J190" s="669"/>
      <c r="K190" s="669"/>
      <c r="L190" s="669"/>
      <c r="M190" s="669"/>
      <c r="N190" s="669"/>
      <c r="O190" s="669"/>
      <c r="P190" s="669"/>
      <c r="Q190" s="669"/>
      <c r="R190" s="468"/>
      <c r="S190" s="62">
        <f t="shared" si="51"/>
        <v>0</v>
      </c>
      <c r="T190" s="468">
        <f t="shared" si="52"/>
        <v>0</v>
      </c>
      <c r="V190" s="4"/>
      <c r="W190" s="4"/>
    </row>
    <row r="191" spans="1:23" s="1" customFormat="1" x14ac:dyDescent="0.3">
      <c r="A191" s="62" t="s">
        <v>411</v>
      </c>
      <c r="B191" s="504" t="s">
        <v>412</v>
      </c>
      <c r="C191" s="121" t="s">
        <v>19</v>
      </c>
      <c r="D191" s="678"/>
      <c r="E191" s="678"/>
      <c r="F191" s="678"/>
      <c r="G191" s="677"/>
      <c r="H191" s="669"/>
      <c r="I191" s="669"/>
      <c r="J191" s="669"/>
      <c r="K191" s="669"/>
      <c r="L191" s="669"/>
      <c r="M191" s="669"/>
      <c r="N191" s="669"/>
      <c r="O191" s="669"/>
      <c r="P191" s="669"/>
      <c r="Q191" s="669"/>
      <c r="R191" s="468"/>
      <c r="S191" s="62">
        <f t="shared" si="51"/>
        <v>0</v>
      </c>
      <c r="T191" s="468">
        <f t="shared" si="52"/>
        <v>0</v>
      </c>
      <c r="V191" s="4"/>
      <c r="W191" s="4"/>
    </row>
    <row r="192" spans="1:23" s="1" customFormat="1" x14ac:dyDescent="0.3">
      <c r="A192" s="62" t="s">
        <v>413</v>
      </c>
      <c r="B192" s="504" t="s">
        <v>414</v>
      </c>
      <c r="C192" s="121" t="s">
        <v>19</v>
      </c>
      <c r="D192" s="678"/>
      <c r="E192" s="678"/>
      <c r="F192" s="678"/>
      <c r="G192" s="677"/>
      <c r="H192" s="669"/>
      <c r="I192" s="669"/>
      <c r="J192" s="669"/>
      <c r="K192" s="669"/>
      <c r="L192" s="669"/>
      <c r="M192" s="669"/>
      <c r="N192" s="669"/>
      <c r="O192" s="669"/>
      <c r="P192" s="669"/>
      <c r="Q192" s="669"/>
      <c r="R192" s="468"/>
      <c r="S192" s="62">
        <f t="shared" si="51"/>
        <v>0</v>
      </c>
      <c r="T192" s="468">
        <f t="shared" si="52"/>
        <v>0</v>
      </c>
      <c r="V192" s="4"/>
      <c r="W192" s="4"/>
    </row>
    <row r="193" spans="1:23" s="1" customFormat="1" x14ac:dyDescent="0.3">
      <c r="A193" s="62" t="s">
        <v>415</v>
      </c>
      <c r="B193" s="503" t="s">
        <v>416</v>
      </c>
      <c r="C193" s="121" t="s">
        <v>19</v>
      </c>
      <c r="D193" s="678"/>
      <c r="E193" s="678"/>
      <c r="F193" s="678"/>
      <c r="G193" s="677"/>
      <c r="H193" s="669"/>
      <c r="I193" s="669"/>
      <c r="J193" s="669"/>
      <c r="K193" s="669"/>
      <c r="L193" s="669"/>
      <c r="M193" s="669"/>
      <c r="N193" s="669"/>
      <c r="O193" s="669"/>
      <c r="P193" s="669"/>
      <c r="Q193" s="669"/>
      <c r="R193" s="468"/>
      <c r="S193" s="62">
        <f t="shared" si="51"/>
        <v>0</v>
      </c>
      <c r="T193" s="468">
        <f t="shared" si="52"/>
        <v>0</v>
      </c>
      <c r="V193" s="4"/>
      <c r="W193" s="4"/>
    </row>
    <row r="194" spans="1:23" s="1" customFormat="1" x14ac:dyDescent="0.3">
      <c r="A194" s="62" t="s">
        <v>417</v>
      </c>
      <c r="B194" s="504" t="s">
        <v>418</v>
      </c>
      <c r="C194" s="121" t="s">
        <v>19</v>
      </c>
      <c r="D194" s="678"/>
      <c r="E194" s="678"/>
      <c r="F194" s="678"/>
      <c r="G194" s="677"/>
      <c r="H194" s="669"/>
      <c r="I194" s="669"/>
      <c r="J194" s="669"/>
      <c r="K194" s="669"/>
      <c r="L194" s="669"/>
      <c r="M194" s="669"/>
      <c r="N194" s="669"/>
      <c r="O194" s="669"/>
      <c r="P194" s="669"/>
      <c r="Q194" s="669"/>
      <c r="R194" s="468"/>
      <c r="S194" s="62">
        <f t="shared" si="51"/>
        <v>0</v>
      </c>
      <c r="T194" s="468">
        <f t="shared" si="52"/>
        <v>0</v>
      </c>
      <c r="V194" s="4"/>
      <c r="W194" s="4"/>
    </row>
    <row r="195" spans="1:23" s="1" customFormat="1" x14ac:dyDescent="0.3">
      <c r="A195" s="62" t="s">
        <v>419</v>
      </c>
      <c r="B195" s="504" t="s">
        <v>420</v>
      </c>
      <c r="C195" s="121" t="s">
        <v>19</v>
      </c>
      <c r="D195" s="678"/>
      <c r="E195" s="678"/>
      <c r="F195" s="678"/>
      <c r="G195" s="677"/>
      <c r="H195" s="669"/>
      <c r="I195" s="669"/>
      <c r="J195" s="669"/>
      <c r="K195" s="669"/>
      <c r="L195" s="669"/>
      <c r="M195" s="669"/>
      <c r="N195" s="669"/>
      <c r="O195" s="669"/>
      <c r="P195" s="669"/>
      <c r="Q195" s="669"/>
      <c r="R195" s="468"/>
      <c r="S195" s="62">
        <f t="shared" si="51"/>
        <v>0</v>
      </c>
      <c r="T195" s="468">
        <f t="shared" si="52"/>
        <v>0</v>
      </c>
      <c r="V195" s="4"/>
      <c r="W195" s="4"/>
    </row>
    <row r="196" spans="1:23" s="1" customFormat="1" x14ac:dyDescent="0.3">
      <c r="A196" s="62"/>
      <c r="B196" s="62"/>
      <c r="C196" s="489"/>
      <c r="D196" s="678"/>
      <c r="E196" s="678"/>
      <c r="F196" s="678"/>
      <c r="G196" s="677"/>
      <c r="H196" s="677"/>
      <c r="I196" s="677"/>
      <c r="J196" s="677"/>
      <c r="K196" s="677"/>
      <c r="L196" s="677"/>
      <c r="M196" s="677"/>
      <c r="N196" s="677"/>
      <c r="O196" s="677"/>
      <c r="P196" s="677"/>
      <c r="Q196" s="677"/>
      <c r="R196" s="62"/>
      <c r="S196" s="62">
        <f t="shared" si="51"/>
        <v>0</v>
      </c>
      <c r="T196" s="62"/>
      <c r="V196" s="4"/>
      <c r="W196" s="4"/>
    </row>
    <row r="197" spans="1:23" s="1" customFormat="1" x14ac:dyDescent="0.3">
      <c r="A197" s="62"/>
      <c r="B197" s="62" t="s">
        <v>421</v>
      </c>
      <c r="C197" s="121"/>
      <c r="D197" s="678"/>
      <c r="E197" s="678"/>
      <c r="F197" s="678"/>
      <c r="G197" s="677"/>
      <c r="H197" s="678"/>
      <c r="I197" s="678"/>
      <c r="J197" s="678"/>
      <c r="K197" s="678"/>
      <c r="L197" s="678"/>
      <c r="M197" s="678"/>
      <c r="N197" s="678"/>
      <c r="O197" s="678"/>
      <c r="P197" s="678"/>
      <c r="Q197" s="678"/>
      <c r="R197" s="171"/>
      <c r="S197" s="62">
        <f t="shared" si="51"/>
        <v>0</v>
      </c>
      <c r="T197" s="468">
        <f>I197-S197</f>
        <v>0</v>
      </c>
      <c r="V197" s="4"/>
      <c r="W197" s="4"/>
    </row>
    <row r="198" spans="1:23" s="1" customFormat="1" x14ac:dyDescent="0.3">
      <c r="A198" s="62"/>
      <c r="B198" s="62"/>
      <c r="C198" s="121"/>
      <c r="D198" s="171"/>
      <c r="E198" s="171"/>
      <c r="F198" s="171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V198" s="4"/>
      <c r="W198" s="4"/>
    </row>
    <row r="199" spans="1:23" s="1" customFormat="1" x14ac:dyDescent="0.3">
      <c r="A199" s="62"/>
      <c r="B199" s="498" t="s">
        <v>422</v>
      </c>
      <c r="C199" s="121"/>
      <c r="D199" s="680">
        <v>-3934637663.6199999</v>
      </c>
      <c r="E199" s="680">
        <v>0</v>
      </c>
      <c r="F199" s="680">
        <v>-3934637663.6199999</v>
      </c>
      <c r="G199" s="680">
        <v>0</v>
      </c>
      <c r="H199" s="680">
        <v>-3934637663.6199999</v>
      </c>
      <c r="I199" s="680">
        <v>-3934637663.6199999</v>
      </c>
      <c r="J199" s="680">
        <v>-3934529513.6199999</v>
      </c>
      <c r="K199" s="680">
        <v>-108150</v>
      </c>
      <c r="L199" s="680">
        <v>0</v>
      </c>
      <c r="M199" s="680">
        <v>0</v>
      </c>
      <c r="N199" s="680">
        <v>0</v>
      </c>
      <c r="O199" s="680">
        <v>0</v>
      </c>
      <c r="P199" s="680">
        <v>0</v>
      </c>
      <c r="Q199" s="680">
        <v>0</v>
      </c>
      <c r="R199" s="171"/>
      <c r="S199" s="62">
        <f>SUM(J199:Q199)</f>
        <v>-3934637663.6199999</v>
      </c>
      <c r="T199" s="468">
        <f>I199-S199</f>
        <v>0</v>
      </c>
      <c r="V199" s="4"/>
      <c r="W199" s="4"/>
    </row>
    <row r="200" spans="1:23" s="1" customFormat="1" x14ac:dyDescent="0.3">
      <c r="A200" s="62"/>
      <c r="B200" s="62"/>
      <c r="C200" s="505"/>
      <c r="D200" s="171"/>
      <c r="E200" s="171"/>
      <c r="F200" s="171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V200" s="4"/>
      <c r="W200" s="4"/>
    </row>
    <row r="201" spans="1:23" s="1" customFormat="1" x14ac:dyDescent="0.3">
      <c r="A201" s="499" t="s">
        <v>423</v>
      </c>
      <c r="B201" s="62"/>
      <c r="C201" s="121"/>
      <c r="D201" s="171"/>
      <c r="E201" s="171"/>
      <c r="F201" s="171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V201" s="4"/>
      <c r="W201" s="4"/>
    </row>
    <row r="202" spans="1:23" x14ac:dyDescent="0.3">
      <c r="A202" s="498" t="s">
        <v>424</v>
      </c>
      <c r="B202" s="504" t="s">
        <v>425</v>
      </c>
      <c r="C202" s="121" t="s">
        <v>19</v>
      </c>
      <c r="D202" s="171">
        <v>12.55</v>
      </c>
      <c r="E202" s="171"/>
      <c r="F202" s="171">
        <f t="shared" ref="F202:F210" si="53">D202+E202</f>
        <v>12.55</v>
      </c>
      <c r="G202" s="62"/>
      <c r="H202" s="468">
        <f t="shared" ref="H202:H210" si="54">F202</f>
        <v>12.55</v>
      </c>
      <c r="I202" s="468">
        <f t="shared" ref="I202:I210" si="55">H202</f>
        <v>12.55</v>
      </c>
      <c r="J202" s="468">
        <v>0</v>
      </c>
      <c r="K202" s="468">
        <f>I202</f>
        <v>12.55</v>
      </c>
      <c r="L202" s="468">
        <v>0</v>
      </c>
      <c r="M202" s="468">
        <v>0</v>
      </c>
      <c r="N202" s="468">
        <v>0</v>
      </c>
      <c r="O202" s="468">
        <v>0</v>
      </c>
      <c r="P202" s="468">
        <v>0</v>
      </c>
      <c r="Q202" s="468">
        <v>0</v>
      </c>
      <c r="R202" s="468"/>
      <c r="S202" s="62">
        <f t="shared" ref="S202:S210" si="56">SUM(J202:Q202)</f>
        <v>12.55</v>
      </c>
      <c r="T202" s="468">
        <f t="shared" ref="T202:T210" si="57">I202-S202</f>
        <v>0</v>
      </c>
    </row>
    <row r="203" spans="1:23" x14ac:dyDescent="0.3">
      <c r="A203" s="498" t="s">
        <v>426</v>
      </c>
      <c r="B203" s="504" t="s">
        <v>374</v>
      </c>
      <c r="C203" s="121" t="s">
        <v>19</v>
      </c>
      <c r="D203" s="171">
        <v>0</v>
      </c>
      <c r="E203" s="171"/>
      <c r="F203" s="171">
        <f t="shared" si="53"/>
        <v>0</v>
      </c>
      <c r="G203" s="62"/>
      <c r="H203" s="468">
        <f t="shared" si="54"/>
        <v>0</v>
      </c>
      <c r="I203" s="468">
        <f t="shared" si="55"/>
        <v>0</v>
      </c>
      <c r="J203" s="468">
        <f>IF($I67=0,0,$I203*J67/$I67)</f>
        <v>0</v>
      </c>
      <c r="K203" s="468">
        <v>0</v>
      </c>
      <c r="L203" s="468">
        <f t="shared" ref="L203" si="58">IF($I67=0,0,$I203*L67/$I67)</f>
        <v>0</v>
      </c>
      <c r="M203" s="468">
        <f t="shared" ref="M203:Q203" si="59">IF($I67=0,0,$I203*M67/$I67)</f>
        <v>0</v>
      </c>
      <c r="N203" s="468">
        <f t="shared" si="59"/>
        <v>0</v>
      </c>
      <c r="O203" s="468">
        <f t="shared" si="59"/>
        <v>0</v>
      </c>
      <c r="P203" s="468">
        <f t="shared" si="59"/>
        <v>0</v>
      </c>
      <c r="Q203" s="468">
        <f t="shared" si="59"/>
        <v>0</v>
      </c>
      <c r="R203" s="468"/>
      <c r="S203" s="62">
        <f t="shared" si="56"/>
        <v>0</v>
      </c>
      <c r="T203" s="468">
        <f t="shared" si="57"/>
        <v>0</v>
      </c>
    </row>
    <row r="204" spans="1:23" x14ac:dyDescent="0.3">
      <c r="A204" s="498" t="s">
        <v>427</v>
      </c>
      <c r="B204" s="504" t="s">
        <v>428</v>
      </c>
      <c r="C204" s="121" t="s">
        <v>19</v>
      </c>
      <c r="D204" s="171">
        <v>-96268874.849999979</v>
      </c>
      <c r="E204" s="171"/>
      <c r="F204" s="171">
        <f t="shared" si="53"/>
        <v>-96268874.849999979</v>
      </c>
      <c r="G204" s="62"/>
      <c r="H204" s="468">
        <f t="shared" si="54"/>
        <v>-96268874.849999979</v>
      </c>
      <c r="I204" s="468">
        <f t="shared" si="55"/>
        <v>-96268874.849999979</v>
      </c>
      <c r="J204" s="171">
        <v>-8113207.0482403738</v>
      </c>
      <c r="K204" s="171">
        <v>-86796988.61118108</v>
      </c>
      <c r="L204" s="171">
        <v>-1358679.1905785636</v>
      </c>
      <c r="M204" s="171">
        <v>0</v>
      </c>
      <c r="N204" s="171">
        <v>0</v>
      </c>
      <c r="O204" s="171">
        <v>0</v>
      </c>
      <c r="P204" s="171">
        <v>0</v>
      </c>
      <c r="Q204" s="171">
        <v>0</v>
      </c>
      <c r="R204" s="468"/>
      <c r="S204" s="62">
        <f t="shared" si="56"/>
        <v>-96268874.850000024</v>
      </c>
      <c r="T204" s="468">
        <f t="shared" si="57"/>
        <v>0</v>
      </c>
    </row>
    <row r="205" spans="1:23" x14ac:dyDescent="0.3">
      <c r="A205" s="498" t="s">
        <v>429</v>
      </c>
      <c r="B205" s="504" t="s">
        <v>430</v>
      </c>
      <c r="C205" s="121" t="s">
        <v>19</v>
      </c>
      <c r="D205" s="171">
        <v>0</v>
      </c>
      <c r="E205" s="171"/>
      <c r="F205" s="171">
        <f t="shared" si="53"/>
        <v>0</v>
      </c>
      <c r="G205" s="62"/>
      <c r="H205" s="468">
        <f t="shared" si="54"/>
        <v>0</v>
      </c>
      <c r="I205" s="468">
        <f t="shared" si="55"/>
        <v>0</v>
      </c>
      <c r="J205" s="468">
        <f>IF($I69=0,0,$I205*J69/$I69)</f>
        <v>0</v>
      </c>
      <c r="K205" s="468">
        <v>0</v>
      </c>
      <c r="L205" s="468">
        <f t="shared" ref="L205:Q210" si="60">IF($I69=0,0,$I205*L69/$I69)</f>
        <v>0</v>
      </c>
      <c r="M205" s="468">
        <f t="shared" si="60"/>
        <v>0</v>
      </c>
      <c r="N205" s="468">
        <f t="shared" si="60"/>
        <v>0</v>
      </c>
      <c r="O205" s="468">
        <f t="shared" si="60"/>
        <v>0</v>
      </c>
      <c r="P205" s="468">
        <f t="shared" si="60"/>
        <v>0</v>
      </c>
      <c r="Q205" s="468">
        <f t="shared" si="60"/>
        <v>0</v>
      </c>
      <c r="R205" s="468"/>
      <c r="S205" s="62">
        <f t="shared" si="56"/>
        <v>0</v>
      </c>
      <c r="T205" s="468">
        <f t="shared" si="57"/>
        <v>0</v>
      </c>
    </row>
    <row r="206" spans="1:23" x14ac:dyDescent="0.3">
      <c r="A206" s="498" t="s">
        <v>431</v>
      </c>
      <c r="B206" s="504" t="s">
        <v>432</v>
      </c>
      <c r="C206" s="121" t="s">
        <v>19</v>
      </c>
      <c r="D206" s="171">
        <v>-111764383.40000001</v>
      </c>
      <c r="E206" s="171"/>
      <c r="F206" s="171">
        <f t="shared" si="53"/>
        <v>-111764383.40000001</v>
      </c>
      <c r="G206" s="62"/>
      <c r="H206" s="468">
        <f t="shared" si="54"/>
        <v>-111764383.40000001</v>
      </c>
      <c r="I206" s="468">
        <f t="shared" si="55"/>
        <v>-111764383.40000001</v>
      </c>
      <c r="J206" s="468">
        <f t="shared" ref="J206:K210" si="61">IF($I70=0,0,$I206*J70/$I70)</f>
        <v>0</v>
      </c>
      <c r="K206" s="468">
        <f t="shared" si="61"/>
        <v>-111764383.40000002</v>
      </c>
      <c r="L206" s="468">
        <f t="shared" si="60"/>
        <v>0</v>
      </c>
      <c r="M206" s="468">
        <f t="shared" si="60"/>
        <v>0</v>
      </c>
      <c r="N206" s="468">
        <f t="shared" si="60"/>
        <v>0</v>
      </c>
      <c r="O206" s="468">
        <f t="shared" si="60"/>
        <v>0</v>
      </c>
      <c r="P206" s="468">
        <f t="shared" si="60"/>
        <v>0</v>
      </c>
      <c r="Q206" s="468">
        <f t="shared" si="60"/>
        <v>0</v>
      </c>
      <c r="R206" s="468"/>
      <c r="S206" s="62">
        <f t="shared" si="56"/>
        <v>-111764383.40000002</v>
      </c>
      <c r="T206" s="468">
        <f t="shared" si="57"/>
        <v>0</v>
      </c>
    </row>
    <row r="207" spans="1:23" x14ac:dyDescent="0.3">
      <c r="A207" s="498" t="s">
        <v>433</v>
      </c>
      <c r="B207" s="504" t="s">
        <v>434</v>
      </c>
      <c r="C207" s="121" t="s">
        <v>19</v>
      </c>
      <c r="D207" s="171">
        <v>-66120178.470000006</v>
      </c>
      <c r="E207" s="171"/>
      <c r="F207" s="171">
        <f t="shared" si="53"/>
        <v>-66120178.470000006</v>
      </c>
      <c r="G207" s="62"/>
      <c r="H207" s="468">
        <f t="shared" si="54"/>
        <v>-66120178.470000006</v>
      </c>
      <c r="I207" s="468">
        <f t="shared" si="55"/>
        <v>-66120178.470000006</v>
      </c>
      <c r="J207" s="468">
        <f t="shared" si="61"/>
        <v>0</v>
      </c>
      <c r="K207" s="468">
        <f t="shared" si="61"/>
        <v>-66120178.470000006</v>
      </c>
      <c r="L207" s="468">
        <f t="shared" si="60"/>
        <v>0</v>
      </c>
      <c r="M207" s="468">
        <f t="shared" si="60"/>
        <v>0</v>
      </c>
      <c r="N207" s="468">
        <f t="shared" si="60"/>
        <v>0</v>
      </c>
      <c r="O207" s="468">
        <f t="shared" si="60"/>
        <v>0</v>
      </c>
      <c r="P207" s="468">
        <f t="shared" si="60"/>
        <v>0</v>
      </c>
      <c r="Q207" s="468">
        <f t="shared" si="60"/>
        <v>0</v>
      </c>
      <c r="R207" s="468"/>
      <c r="S207" s="62">
        <f t="shared" si="56"/>
        <v>-66120178.470000006</v>
      </c>
      <c r="T207" s="468">
        <f t="shared" si="57"/>
        <v>0</v>
      </c>
    </row>
    <row r="208" spans="1:23" x14ac:dyDescent="0.3">
      <c r="A208" s="498" t="s">
        <v>435</v>
      </c>
      <c r="B208" s="504" t="s">
        <v>1322</v>
      </c>
      <c r="C208" s="121" t="s">
        <v>19</v>
      </c>
      <c r="D208" s="171">
        <v>0</v>
      </c>
      <c r="E208" s="171"/>
      <c r="F208" s="171">
        <f t="shared" si="53"/>
        <v>0</v>
      </c>
      <c r="G208" s="62"/>
      <c r="H208" s="468">
        <f t="shared" si="54"/>
        <v>0</v>
      </c>
      <c r="I208" s="468">
        <f t="shared" si="55"/>
        <v>0</v>
      </c>
      <c r="J208" s="468">
        <f t="shared" si="61"/>
        <v>0</v>
      </c>
      <c r="K208" s="468">
        <v>0</v>
      </c>
      <c r="L208" s="468">
        <f t="shared" si="60"/>
        <v>0</v>
      </c>
      <c r="M208" s="468">
        <f t="shared" si="60"/>
        <v>0</v>
      </c>
      <c r="N208" s="468">
        <f t="shared" si="60"/>
        <v>0</v>
      </c>
      <c r="O208" s="468">
        <f t="shared" si="60"/>
        <v>0</v>
      </c>
      <c r="P208" s="468">
        <f t="shared" si="60"/>
        <v>0</v>
      </c>
      <c r="Q208" s="468">
        <f t="shared" si="60"/>
        <v>0</v>
      </c>
      <c r="R208" s="468"/>
      <c r="S208" s="62">
        <f t="shared" si="56"/>
        <v>0</v>
      </c>
      <c r="T208" s="468">
        <f t="shared" si="57"/>
        <v>0</v>
      </c>
    </row>
    <row r="209" spans="1:20" x14ac:dyDescent="0.3">
      <c r="A209" s="498" t="s">
        <v>436</v>
      </c>
      <c r="B209" s="503" t="s">
        <v>437</v>
      </c>
      <c r="C209" s="121" t="s">
        <v>19</v>
      </c>
      <c r="D209" s="171">
        <v>-1265118.5000000002</v>
      </c>
      <c r="E209" s="171"/>
      <c r="F209" s="171">
        <f t="shared" si="53"/>
        <v>-1265118.5000000002</v>
      </c>
      <c r="G209" s="62"/>
      <c r="H209" s="468">
        <f t="shared" si="54"/>
        <v>-1265118.5000000002</v>
      </c>
      <c r="I209" s="468">
        <f t="shared" si="55"/>
        <v>-1265118.5000000002</v>
      </c>
      <c r="J209" s="468">
        <f t="shared" si="61"/>
        <v>0</v>
      </c>
      <c r="K209" s="468">
        <f t="shared" si="61"/>
        <v>-1265118.5000000002</v>
      </c>
      <c r="L209" s="468">
        <f t="shared" si="60"/>
        <v>0</v>
      </c>
      <c r="M209" s="468">
        <f t="shared" si="60"/>
        <v>0</v>
      </c>
      <c r="N209" s="468">
        <f t="shared" si="60"/>
        <v>0</v>
      </c>
      <c r="O209" s="468">
        <f t="shared" si="60"/>
        <v>0</v>
      </c>
      <c r="P209" s="468">
        <f t="shared" si="60"/>
        <v>0</v>
      </c>
      <c r="Q209" s="468">
        <f t="shared" si="60"/>
        <v>0</v>
      </c>
      <c r="R209" s="468"/>
      <c r="S209" s="62">
        <f t="shared" si="56"/>
        <v>-1265118.5000000002</v>
      </c>
      <c r="T209" s="468">
        <f t="shared" si="57"/>
        <v>0</v>
      </c>
    </row>
    <row r="210" spans="1:20" x14ac:dyDescent="0.3">
      <c r="A210" s="498" t="s">
        <v>438</v>
      </c>
      <c r="B210" s="504" t="s">
        <v>439</v>
      </c>
      <c r="C210" s="121" t="s">
        <v>19</v>
      </c>
      <c r="D210" s="171">
        <v>0</v>
      </c>
      <c r="E210" s="171"/>
      <c r="F210" s="171">
        <f t="shared" si="53"/>
        <v>0</v>
      </c>
      <c r="G210" s="62"/>
      <c r="H210" s="468">
        <f t="shared" si="54"/>
        <v>0</v>
      </c>
      <c r="I210" s="468">
        <f t="shared" si="55"/>
        <v>0</v>
      </c>
      <c r="J210" s="468">
        <f t="shared" si="61"/>
        <v>0</v>
      </c>
      <c r="K210" s="468">
        <v>0</v>
      </c>
      <c r="L210" s="468">
        <f t="shared" si="60"/>
        <v>0</v>
      </c>
      <c r="M210" s="468">
        <f t="shared" si="60"/>
        <v>0</v>
      </c>
      <c r="N210" s="468">
        <f t="shared" si="60"/>
        <v>0</v>
      </c>
      <c r="O210" s="468">
        <f t="shared" si="60"/>
        <v>0</v>
      </c>
      <c r="P210" s="468">
        <f t="shared" si="60"/>
        <v>0</v>
      </c>
      <c r="Q210" s="468">
        <f t="shared" si="60"/>
        <v>0</v>
      </c>
      <c r="R210" s="468"/>
      <c r="S210" s="62">
        <f t="shared" si="56"/>
        <v>0</v>
      </c>
      <c r="T210" s="468">
        <f t="shared" si="57"/>
        <v>0</v>
      </c>
    </row>
    <row r="211" spans="1:20" x14ac:dyDescent="0.3">
      <c r="A211" s="498"/>
      <c r="B211" s="62"/>
      <c r="C211" s="489"/>
      <c r="D211" s="171"/>
      <c r="E211" s="171"/>
      <c r="F211" s="171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</row>
    <row r="212" spans="1:20" x14ac:dyDescent="0.3">
      <c r="A212" s="62"/>
      <c r="B212" s="498" t="s">
        <v>440</v>
      </c>
      <c r="C212" s="121"/>
      <c r="D212" s="171">
        <f>SUM(D202:D210)</f>
        <v>-275418542.67000002</v>
      </c>
      <c r="E212" s="171">
        <f>SUM(E202:E210)</f>
        <v>0</v>
      </c>
      <c r="F212" s="171">
        <f>SUM(F202:F210)</f>
        <v>-275418542.67000002</v>
      </c>
      <c r="G212" s="62"/>
      <c r="H212" s="171">
        <f t="shared" ref="H212:Q212" si="62">SUM(H202:H210)</f>
        <v>-275418542.67000002</v>
      </c>
      <c r="I212" s="171">
        <f t="shared" si="62"/>
        <v>-275418542.67000002</v>
      </c>
      <c r="J212" s="171">
        <f t="shared" si="62"/>
        <v>-8113207.0482403738</v>
      </c>
      <c r="K212" s="171">
        <f t="shared" si="62"/>
        <v>-265946656.4311811</v>
      </c>
      <c r="L212" s="171">
        <f t="shared" si="62"/>
        <v>-1358679.1905785636</v>
      </c>
      <c r="M212" s="171">
        <f t="shared" si="62"/>
        <v>0</v>
      </c>
      <c r="N212" s="171">
        <f t="shared" si="62"/>
        <v>0</v>
      </c>
      <c r="O212" s="171">
        <f t="shared" si="62"/>
        <v>0</v>
      </c>
      <c r="P212" s="171">
        <f t="shared" si="62"/>
        <v>0</v>
      </c>
      <c r="Q212" s="171">
        <f t="shared" si="62"/>
        <v>0</v>
      </c>
      <c r="R212" s="171"/>
      <c r="S212" s="62">
        <f>SUM(J212:Q212)</f>
        <v>-275418542.67000008</v>
      </c>
      <c r="T212" s="468">
        <f>I212-S212</f>
        <v>0</v>
      </c>
    </row>
    <row r="213" spans="1:20" x14ac:dyDescent="0.3">
      <c r="A213" s="62"/>
      <c r="B213" s="62"/>
      <c r="C213" s="505"/>
      <c r="D213" s="171"/>
      <c r="E213" s="171"/>
      <c r="F213" s="171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</row>
    <row r="214" spans="1:20" x14ac:dyDescent="0.3">
      <c r="A214" s="499" t="s">
        <v>441</v>
      </c>
      <c r="B214" s="62"/>
      <c r="C214" s="121"/>
      <c r="D214" s="171"/>
      <c r="E214" s="171"/>
      <c r="F214" s="171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</row>
    <row r="215" spans="1:20" x14ac:dyDescent="0.3">
      <c r="A215" s="503" t="s">
        <v>442</v>
      </c>
      <c r="B215" s="504" t="s">
        <v>425</v>
      </c>
      <c r="C215" s="121" t="s">
        <v>19</v>
      </c>
      <c r="D215" s="171">
        <v>-0.49</v>
      </c>
      <c r="E215" s="171"/>
      <c r="F215" s="171">
        <f t="shared" ref="F215:F228" si="63">D215+E215</f>
        <v>-0.49</v>
      </c>
      <c r="G215" s="62"/>
      <c r="H215" s="468">
        <f t="shared" ref="H215:H228" si="64">F215</f>
        <v>-0.49</v>
      </c>
      <c r="I215" s="468">
        <f t="shared" ref="I215:I228" si="65">H215</f>
        <v>-0.49</v>
      </c>
      <c r="J215" s="468">
        <f t="shared" ref="J215:L216" si="66">IF($I79=0,0,$I215*J79/$I79)</f>
        <v>0</v>
      </c>
      <c r="K215" s="468">
        <f t="shared" si="66"/>
        <v>-0.18480853677544426</v>
      </c>
      <c r="L215" s="468">
        <f t="shared" si="66"/>
        <v>-0.30519146322455565</v>
      </c>
      <c r="M215" s="468">
        <f t="shared" ref="M215:Q216" si="67">IF($I79=0,0,$I215*M79/$I79)</f>
        <v>0</v>
      </c>
      <c r="N215" s="468">
        <f t="shared" si="67"/>
        <v>0</v>
      </c>
      <c r="O215" s="468">
        <f t="shared" si="67"/>
        <v>0</v>
      </c>
      <c r="P215" s="468">
        <f t="shared" si="67"/>
        <v>0</v>
      </c>
      <c r="Q215" s="468">
        <f t="shared" si="67"/>
        <v>0</v>
      </c>
      <c r="R215" s="468"/>
      <c r="S215" s="62"/>
      <c r="T215" s="62"/>
    </row>
    <row r="216" spans="1:20" x14ac:dyDescent="0.3">
      <c r="A216" s="503" t="s">
        <v>443</v>
      </c>
      <c r="B216" s="503" t="s">
        <v>374</v>
      </c>
      <c r="C216" s="121" t="s">
        <v>19</v>
      </c>
      <c r="D216" s="171">
        <v>-1045880.8200000001</v>
      </c>
      <c r="E216" s="171"/>
      <c r="F216" s="171">
        <f t="shared" si="63"/>
        <v>-1045880.8200000001</v>
      </c>
      <c r="G216" s="62"/>
      <c r="H216" s="468">
        <f t="shared" si="64"/>
        <v>-1045880.8200000001</v>
      </c>
      <c r="I216" s="468">
        <f t="shared" si="65"/>
        <v>-1045880.8200000001</v>
      </c>
      <c r="J216" s="468">
        <f t="shared" si="66"/>
        <v>0</v>
      </c>
      <c r="K216" s="468">
        <f t="shared" si="66"/>
        <v>0</v>
      </c>
      <c r="L216" s="468">
        <f t="shared" si="66"/>
        <v>-1045880.8200000001</v>
      </c>
      <c r="M216" s="468">
        <f t="shared" si="67"/>
        <v>0</v>
      </c>
      <c r="N216" s="468">
        <f t="shared" si="67"/>
        <v>0</v>
      </c>
      <c r="O216" s="468">
        <f t="shared" si="67"/>
        <v>0</v>
      </c>
      <c r="P216" s="468">
        <f t="shared" si="67"/>
        <v>0</v>
      </c>
      <c r="Q216" s="468">
        <f t="shared" si="67"/>
        <v>0</v>
      </c>
      <c r="R216" s="468"/>
      <c r="S216" s="62">
        <f t="shared" ref="S216:S228" si="68">SUM(J216:Q216)</f>
        <v>-1045880.8200000001</v>
      </c>
      <c r="T216" s="468">
        <f t="shared" ref="T216:T228" si="69">I216-S216</f>
        <v>0</v>
      </c>
    </row>
    <row r="217" spans="1:20" x14ac:dyDescent="0.3">
      <c r="A217" s="503" t="s">
        <v>444</v>
      </c>
      <c r="B217" s="504" t="s">
        <v>428</v>
      </c>
      <c r="C217" s="121" t="s">
        <v>19</v>
      </c>
      <c r="D217" s="171">
        <v>-183573017.28000003</v>
      </c>
      <c r="E217" s="171"/>
      <c r="F217" s="171">
        <f t="shared" si="63"/>
        <v>-183573017.28000003</v>
      </c>
      <c r="G217" s="62"/>
      <c r="H217" s="468">
        <f t="shared" si="64"/>
        <v>-183573017.28000003</v>
      </c>
      <c r="I217" s="468">
        <f t="shared" si="65"/>
        <v>-183573017.28000003</v>
      </c>
      <c r="J217" s="171">
        <v>0</v>
      </c>
      <c r="K217" s="171">
        <v>-51184242.997617684</v>
      </c>
      <c r="L217" s="171">
        <v>-132388774.28238237</v>
      </c>
      <c r="M217" s="171">
        <v>0</v>
      </c>
      <c r="N217" s="171">
        <v>0</v>
      </c>
      <c r="O217" s="171">
        <v>0</v>
      </c>
      <c r="P217" s="171">
        <v>0</v>
      </c>
      <c r="Q217" s="171">
        <v>0</v>
      </c>
      <c r="R217" s="468"/>
      <c r="S217" s="62">
        <f t="shared" si="68"/>
        <v>-183573017.28000006</v>
      </c>
      <c r="T217" s="468">
        <f t="shared" si="69"/>
        <v>0</v>
      </c>
    </row>
    <row r="218" spans="1:20" x14ac:dyDescent="0.3">
      <c r="A218" s="504" t="s">
        <v>445</v>
      </c>
      <c r="B218" s="504" t="s">
        <v>446</v>
      </c>
      <c r="C218" s="121" t="s">
        <v>19</v>
      </c>
      <c r="D218" s="171">
        <v>0</v>
      </c>
      <c r="E218" s="171"/>
      <c r="F218" s="171">
        <f t="shared" si="63"/>
        <v>0</v>
      </c>
      <c r="G218" s="62"/>
      <c r="H218" s="468">
        <f t="shared" si="64"/>
        <v>0</v>
      </c>
      <c r="I218" s="468">
        <f t="shared" si="65"/>
        <v>0</v>
      </c>
      <c r="J218" s="468">
        <f t="shared" ref="J218:Q228" si="70">IF($I82=0,0,$I218*J82/$I82)</f>
        <v>0</v>
      </c>
      <c r="K218" s="468">
        <f t="shared" si="70"/>
        <v>0</v>
      </c>
      <c r="L218" s="468">
        <f t="shared" si="70"/>
        <v>0</v>
      </c>
      <c r="M218" s="468">
        <f t="shared" si="70"/>
        <v>0</v>
      </c>
      <c r="N218" s="468">
        <f t="shared" si="70"/>
        <v>0</v>
      </c>
      <c r="O218" s="468">
        <f t="shared" si="70"/>
        <v>0</v>
      </c>
      <c r="P218" s="468">
        <f t="shared" si="70"/>
        <v>0</v>
      </c>
      <c r="Q218" s="468">
        <f t="shared" si="70"/>
        <v>0</v>
      </c>
      <c r="R218" s="468"/>
      <c r="S218" s="62">
        <f t="shared" si="68"/>
        <v>0</v>
      </c>
      <c r="T218" s="468">
        <f t="shared" si="69"/>
        <v>0</v>
      </c>
    </row>
    <row r="219" spans="1:20" x14ac:dyDescent="0.3">
      <c r="A219" s="503" t="s">
        <v>447</v>
      </c>
      <c r="B219" s="503" t="s">
        <v>1323</v>
      </c>
      <c r="C219" s="121" t="s">
        <v>19</v>
      </c>
      <c r="D219" s="171">
        <v>-183526748.10999995</v>
      </c>
      <c r="E219" s="171"/>
      <c r="F219" s="171">
        <f t="shared" si="63"/>
        <v>-183526748.10999995</v>
      </c>
      <c r="G219" s="62"/>
      <c r="H219" s="468">
        <f t="shared" si="64"/>
        <v>-183526748.10999995</v>
      </c>
      <c r="I219" s="468">
        <f t="shared" si="65"/>
        <v>-183526748.10999995</v>
      </c>
      <c r="J219" s="468">
        <f t="shared" si="70"/>
        <v>0</v>
      </c>
      <c r="K219" s="468">
        <f t="shared" si="70"/>
        <v>0</v>
      </c>
      <c r="L219" s="468">
        <f t="shared" si="70"/>
        <v>-183526748.10999995</v>
      </c>
      <c r="M219" s="468">
        <f t="shared" si="70"/>
        <v>0</v>
      </c>
      <c r="N219" s="468">
        <f t="shared" si="70"/>
        <v>0</v>
      </c>
      <c r="O219" s="468">
        <f t="shared" si="70"/>
        <v>0</v>
      </c>
      <c r="P219" s="468">
        <f t="shared" si="70"/>
        <v>0</v>
      </c>
      <c r="Q219" s="468">
        <f t="shared" si="70"/>
        <v>0</v>
      </c>
      <c r="R219" s="468"/>
      <c r="S219" s="62">
        <f t="shared" si="68"/>
        <v>-183526748.10999995</v>
      </c>
      <c r="T219" s="468">
        <f t="shared" si="69"/>
        <v>0</v>
      </c>
    </row>
    <row r="220" spans="1:20" x14ac:dyDescent="0.3">
      <c r="A220" s="503" t="s">
        <v>448</v>
      </c>
      <c r="B220" s="504" t="s">
        <v>434</v>
      </c>
      <c r="C220" s="121" t="s">
        <v>19</v>
      </c>
      <c r="D220" s="171">
        <v>-125126089.82000002</v>
      </c>
      <c r="E220" s="171"/>
      <c r="F220" s="171">
        <f t="shared" si="63"/>
        <v>-125126089.82000002</v>
      </c>
      <c r="G220" s="62"/>
      <c r="H220" s="468">
        <f t="shared" si="64"/>
        <v>-125126089.82000002</v>
      </c>
      <c r="I220" s="468">
        <f t="shared" si="65"/>
        <v>-125126089.82000002</v>
      </c>
      <c r="J220" s="468">
        <f t="shared" si="70"/>
        <v>0</v>
      </c>
      <c r="K220" s="468">
        <f t="shared" si="70"/>
        <v>0</v>
      </c>
      <c r="L220" s="468">
        <f t="shared" si="70"/>
        <v>-125126089.82000002</v>
      </c>
      <c r="M220" s="468">
        <f t="shared" si="70"/>
        <v>0</v>
      </c>
      <c r="N220" s="468">
        <f t="shared" si="70"/>
        <v>0</v>
      </c>
      <c r="O220" s="468">
        <f t="shared" si="70"/>
        <v>0</v>
      </c>
      <c r="P220" s="468">
        <f t="shared" si="70"/>
        <v>0</v>
      </c>
      <c r="Q220" s="468">
        <f t="shared" si="70"/>
        <v>0</v>
      </c>
      <c r="R220" s="468"/>
      <c r="S220" s="62">
        <f t="shared" si="68"/>
        <v>-125126089.82000002</v>
      </c>
      <c r="T220" s="468">
        <f t="shared" si="69"/>
        <v>0</v>
      </c>
    </row>
    <row r="221" spans="1:20" x14ac:dyDescent="0.3">
      <c r="A221" s="503" t="s">
        <v>449</v>
      </c>
      <c r="B221" s="504" t="s">
        <v>450</v>
      </c>
      <c r="C221" s="121" t="s">
        <v>19</v>
      </c>
      <c r="D221" s="171">
        <v>-235498889.68000001</v>
      </c>
      <c r="E221" s="171"/>
      <c r="F221" s="171">
        <f t="shared" si="63"/>
        <v>-235498889.68000001</v>
      </c>
      <c r="G221" s="62"/>
      <c r="H221" s="468">
        <f t="shared" si="64"/>
        <v>-235498889.68000001</v>
      </c>
      <c r="I221" s="468">
        <f t="shared" si="65"/>
        <v>-235498889.68000001</v>
      </c>
      <c r="J221" s="468">
        <f t="shared" si="70"/>
        <v>0</v>
      </c>
      <c r="K221" s="468">
        <f t="shared" si="70"/>
        <v>0</v>
      </c>
      <c r="L221" s="468">
        <f t="shared" si="70"/>
        <v>-235498889.68000001</v>
      </c>
      <c r="M221" s="468">
        <f t="shared" si="70"/>
        <v>0</v>
      </c>
      <c r="N221" s="468">
        <f t="shared" si="70"/>
        <v>0</v>
      </c>
      <c r="O221" s="468">
        <f t="shared" si="70"/>
        <v>0</v>
      </c>
      <c r="P221" s="468">
        <f t="shared" si="70"/>
        <v>0</v>
      </c>
      <c r="Q221" s="468">
        <f t="shared" si="70"/>
        <v>0</v>
      </c>
      <c r="R221" s="468"/>
      <c r="S221" s="62">
        <f t="shared" si="68"/>
        <v>-235498889.68000001</v>
      </c>
      <c r="T221" s="468">
        <f t="shared" si="69"/>
        <v>0</v>
      </c>
    </row>
    <row r="222" spans="1:20" x14ac:dyDescent="0.3">
      <c r="A222" s="503" t="s">
        <v>451</v>
      </c>
      <c r="B222" s="503" t="s">
        <v>452</v>
      </c>
      <c r="C222" s="121" t="s">
        <v>19</v>
      </c>
      <c r="D222" s="171">
        <v>-137458653.82999998</v>
      </c>
      <c r="E222" s="171"/>
      <c r="F222" s="171">
        <f t="shared" si="63"/>
        <v>-137458653.82999998</v>
      </c>
      <c r="G222" s="62"/>
      <c r="H222" s="468">
        <f t="shared" si="64"/>
        <v>-137458653.82999998</v>
      </c>
      <c r="I222" s="468">
        <f t="shared" si="65"/>
        <v>-137458653.82999998</v>
      </c>
      <c r="J222" s="468">
        <f t="shared" si="70"/>
        <v>0</v>
      </c>
      <c r="K222" s="468">
        <f t="shared" si="70"/>
        <v>0</v>
      </c>
      <c r="L222" s="468">
        <f t="shared" si="70"/>
        <v>-137458653.82999998</v>
      </c>
      <c r="M222" s="468">
        <f t="shared" si="70"/>
        <v>0</v>
      </c>
      <c r="N222" s="468">
        <f t="shared" si="70"/>
        <v>0</v>
      </c>
      <c r="O222" s="468">
        <f t="shared" si="70"/>
        <v>0</v>
      </c>
      <c r="P222" s="468">
        <f t="shared" si="70"/>
        <v>0</v>
      </c>
      <c r="Q222" s="468">
        <f t="shared" si="70"/>
        <v>0</v>
      </c>
      <c r="R222" s="468"/>
      <c r="S222" s="62">
        <f t="shared" si="68"/>
        <v>-137458653.82999998</v>
      </c>
      <c r="T222" s="468">
        <f t="shared" si="69"/>
        <v>0</v>
      </c>
    </row>
    <row r="223" spans="1:20" x14ac:dyDescent="0.3">
      <c r="A223" s="503" t="s">
        <v>453</v>
      </c>
      <c r="B223" s="504" t="s">
        <v>454</v>
      </c>
      <c r="C223" s="121" t="s">
        <v>19</v>
      </c>
      <c r="D223" s="171">
        <v>-310438817.21999997</v>
      </c>
      <c r="E223" s="171"/>
      <c r="F223" s="171">
        <f t="shared" si="63"/>
        <v>-310438817.21999997</v>
      </c>
      <c r="G223" s="62"/>
      <c r="H223" s="468">
        <f t="shared" si="64"/>
        <v>-310438817.21999997</v>
      </c>
      <c r="I223" s="468">
        <f t="shared" si="65"/>
        <v>-310438817.21999997</v>
      </c>
      <c r="J223" s="468">
        <f t="shared" si="70"/>
        <v>0</v>
      </c>
      <c r="K223" s="468">
        <f t="shared" si="70"/>
        <v>0</v>
      </c>
      <c r="L223" s="468">
        <f t="shared" si="70"/>
        <v>-310438817.21999997</v>
      </c>
      <c r="M223" s="468">
        <f t="shared" si="70"/>
        <v>0</v>
      </c>
      <c r="N223" s="468">
        <f t="shared" si="70"/>
        <v>0</v>
      </c>
      <c r="O223" s="468">
        <f t="shared" si="70"/>
        <v>0</v>
      </c>
      <c r="P223" s="468">
        <f t="shared" si="70"/>
        <v>0</v>
      </c>
      <c r="Q223" s="468">
        <f t="shared" si="70"/>
        <v>0</v>
      </c>
      <c r="R223" s="468"/>
      <c r="S223" s="62">
        <f t="shared" si="68"/>
        <v>-310438817.21999997</v>
      </c>
      <c r="T223" s="468">
        <f t="shared" si="69"/>
        <v>0</v>
      </c>
    </row>
    <row r="224" spans="1:20" x14ac:dyDescent="0.3">
      <c r="A224" s="503" t="s">
        <v>455</v>
      </c>
      <c r="B224" s="503" t="s">
        <v>456</v>
      </c>
      <c r="C224" s="121" t="s">
        <v>19</v>
      </c>
      <c r="D224" s="171">
        <v>-196071854.42000005</v>
      </c>
      <c r="E224" s="171"/>
      <c r="F224" s="171">
        <f t="shared" si="63"/>
        <v>-196071854.42000005</v>
      </c>
      <c r="G224" s="62"/>
      <c r="H224" s="468">
        <f t="shared" si="64"/>
        <v>-196071854.42000005</v>
      </c>
      <c r="I224" s="468">
        <f t="shared" si="65"/>
        <v>-196071854.42000005</v>
      </c>
      <c r="J224" s="468">
        <f t="shared" si="70"/>
        <v>0</v>
      </c>
      <c r="K224" s="468">
        <f t="shared" si="70"/>
        <v>0</v>
      </c>
      <c r="L224" s="468">
        <f t="shared" si="70"/>
        <v>-196071854.42000005</v>
      </c>
      <c r="M224" s="468">
        <f t="shared" si="70"/>
        <v>0</v>
      </c>
      <c r="N224" s="468">
        <f t="shared" si="70"/>
        <v>0</v>
      </c>
      <c r="O224" s="468">
        <f t="shared" si="70"/>
        <v>0</v>
      </c>
      <c r="P224" s="468">
        <f t="shared" si="70"/>
        <v>0</v>
      </c>
      <c r="Q224" s="468">
        <f t="shared" si="70"/>
        <v>0</v>
      </c>
      <c r="R224" s="468"/>
      <c r="S224" s="62">
        <f t="shared" si="68"/>
        <v>-196071854.42000005</v>
      </c>
      <c r="T224" s="468">
        <f t="shared" si="69"/>
        <v>0</v>
      </c>
    </row>
    <row r="225" spans="1:20" x14ac:dyDescent="0.3">
      <c r="A225" s="503" t="s">
        <v>457</v>
      </c>
      <c r="B225" s="504" t="s">
        <v>458</v>
      </c>
      <c r="C225" s="121" t="s">
        <v>19</v>
      </c>
      <c r="D225" s="171">
        <v>-44011333.920000002</v>
      </c>
      <c r="E225" s="171"/>
      <c r="F225" s="171">
        <f t="shared" si="63"/>
        <v>-44011333.920000002</v>
      </c>
      <c r="G225" s="62"/>
      <c r="H225" s="468">
        <f t="shared" si="64"/>
        <v>-44011333.920000002</v>
      </c>
      <c r="I225" s="468">
        <f t="shared" si="65"/>
        <v>-44011333.920000002</v>
      </c>
      <c r="J225" s="468">
        <f t="shared" si="70"/>
        <v>0</v>
      </c>
      <c r="K225" s="468">
        <f t="shared" si="70"/>
        <v>0</v>
      </c>
      <c r="L225" s="468">
        <f t="shared" si="70"/>
        <v>0</v>
      </c>
      <c r="M225" s="468">
        <f t="shared" si="70"/>
        <v>-44011333.920000002</v>
      </c>
      <c r="N225" s="468">
        <f t="shared" si="70"/>
        <v>0</v>
      </c>
      <c r="O225" s="468">
        <f t="shared" si="70"/>
        <v>0</v>
      </c>
      <c r="P225" s="468">
        <f t="shared" si="70"/>
        <v>0</v>
      </c>
      <c r="Q225" s="468">
        <f t="shared" si="70"/>
        <v>0</v>
      </c>
      <c r="R225" s="468"/>
      <c r="S225" s="62">
        <f t="shared" si="68"/>
        <v>-44011333.920000002</v>
      </c>
      <c r="T225" s="468">
        <f t="shared" si="69"/>
        <v>0</v>
      </c>
    </row>
    <row r="226" spans="1:20" x14ac:dyDescent="0.3">
      <c r="A226" s="504" t="s">
        <v>459</v>
      </c>
      <c r="B226" s="504" t="s">
        <v>460</v>
      </c>
      <c r="C226" s="121" t="s">
        <v>19</v>
      </c>
      <c r="D226" s="171">
        <v>0</v>
      </c>
      <c r="E226" s="171"/>
      <c r="F226" s="171">
        <f t="shared" si="63"/>
        <v>0</v>
      </c>
      <c r="G226" s="62"/>
      <c r="H226" s="468">
        <f t="shared" si="64"/>
        <v>0</v>
      </c>
      <c r="I226" s="468">
        <f t="shared" si="65"/>
        <v>0</v>
      </c>
      <c r="J226" s="468">
        <f t="shared" si="70"/>
        <v>0</v>
      </c>
      <c r="K226" s="468">
        <f t="shared" si="70"/>
        <v>0</v>
      </c>
      <c r="L226" s="468">
        <f t="shared" si="70"/>
        <v>0</v>
      </c>
      <c r="M226" s="468">
        <f t="shared" si="70"/>
        <v>0</v>
      </c>
      <c r="N226" s="468">
        <f t="shared" si="70"/>
        <v>0</v>
      </c>
      <c r="O226" s="468">
        <f t="shared" si="70"/>
        <v>0</v>
      </c>
      <c r="P226" s="468">
        <f t="shared" si="70"/>
        <v>0</v>
      </c>
      <c r="Q226" s="468">
        <f t="shared" si="70"/>
        <v>0</v>
      </c>
      <c r="R226" s="468"/>
      <c r="S226" s="62">
        <f t="shared" si="68"/>
        <v>0</v>
      </c>
      <c r="T226" s="468">
        <f t="shared" si="69"/>
        <v>0</v>
      </c>
    </row>
    <row r="227" spans="1:20" x14ac:dyDescent="0.3">
      <c r="A227" s="504" t="s">
        <v>461</v>
      </c>
      <c r="B227" s="504" t="s">
        <v>462</v>
      </c>
      <c r="C227" s="121" t="s">
        <v>19</v>
      </c>
      <c r="D227" s="171">
        <v>0</v>
      </c>
      <c r="E227" s="171"/>
      <c r="F227" s="171">
        <f t="shared" si="63"/>
        <v>0</v>
      </c>
      <c r="G227" s="62"/>
      <c r="H227" s="468">
        <f t="shared" si="64"/>
        <v>0</v>
      </c>
      <c r="I227" s="468">
        <f t="shared" si="65"/>
        <v>0</v>
      </c>
      <c r="J227" s="468">
        <f t="shared" si="70"/>
        <v>0</v>
      </c>
      <c r="K227" s="468">
        <f t="shared" si="70"/>
        <v>0</v>
      </c>
      <c r="L227" s="468">
        <f t="shared" si="70"/>
        <v>0</v>
      </c>
      <c r="M227" s="468">
        <f t="shared" si="70"/>
        <v>0</v>
      </c>
      <c r="N227" s="468">
        <f t="shared" si="70"/>
        <v>0</v>
      </c>
      <c r="O227" s="468">
        <f t="shared" si="70"/>
        <v>0</v>
      </c>
      <c r="P227" s="468">
        <f t="shared" si="70"/>
        <v>0</v>
      </c>
      <c r="Q227" s="468">
        <f t="shared" si="70"/>
        <v>0</v>
      </c>
      <c r="R227" s="468"/>
      <c r="S227" s="62">
        <f t="shared" si="68"/>
        <v>0</v>
      </c>
      <c r="T227" s="468">
        <f t="shared" si="69"/>
        <v>0</v>
      </c>
    </row>
    <row r="228" spans="1:20" x14ac:dyDescent="0.3">
      <c r="A228" s="503" t="s">
        <v>463</v>
      </c>
      <c r="B228" s="504" t="s">
        <v>464</v>
      </c>
      <c r="C228" s="121" t="s">
        <v>19</v>
      </c>
      <c r="D228" s="171">
        <v>-89617983.400000006</v>
      </c>
      <c r="E228" s="171"/>
      <c r="F228" s="171">
        <f t="shared" si="63"/>
        <v>-89617983.400000006</v>
      </c>
      <c r="G228" s="62"/>
      <c r="H228" s="468">
        <f t="shared" si="64"/>
        <v>-89617983.400000006</v>
      </c>
      <c r="I228" s="468">
        <f t="shared" si="65"/>
        <v>-89617983.400000006</v>
      </c>
      <c r="J228" s="468">
        <f t="shared" si="70"/>
        <v>0</v>
      </c>
      <c r="K228" s="468">
        <f t="shared" si="70"/>
        <v>0</v>
      </c>
      <c r="L228" s="468">
        <f t="shared" si="70"/>
        <v>-89617983.400000006</v>
      </c>
      <c r="M228" s="468">
        <f t="shared" si="70"/>
        <v>0</v>
      </c>
      <c r="N228" s="468">
        <f t="shared" si="70"/>
        <v>0</v>
      </c>
      <c r="O228" s="468">
        <f t="shared" si="70"/>
        <v>0</v>
      </c>
      <c r="P228" s="468">
        <f t="shared" si="70"/>
        <v>0</v>
      </c>
      <c r="Q228" s="468">
        <f t="shared" si="70"/>
        <v>0</v>
      </c>
      <c r="R228" s="468"/>
      <c r="S228" s="62">
        <f t="shared" si="68"/>
        <v>-89617983.400000006</v>
      </c>
      <c r="T228" s="468">
        <f t="shared" si="69"/>
        <v>0</v>
      </c>
    </row>
    <row r="229" spans="1:20" x14ac:dyDescent="0.3">
      <c r="A229" s="62"/>
      <c r="B229" s="62"/>
      <c r="C229" s="489"/>
      <c r="D229" s="171"/>
      <c r="E229" s="171"/>
      <c r="F229" s="171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</row>
    <row r="230" spans="1:20" x14ac:dyDescent="0.3">
      <c r="A230" s="62"/>
      <c r="B230" s="498" t="s">
        <v>465</v>
      </c>
      <c r="C230" s="121"/>
      <c r="D230" s="171">
        <f>SUM(D215:D228)</f>
        <v>-1506369268.9900002</v>
      </c>
      <c r="E230" s="171">
        <f>SUM(E215:E228)</f>
        <v>0</v>
      </c>
      <c r="F230" s="171">
        <f>SUM(F215:F228)</f>
        <v>-1506369268.9900002</v>
      </c>
      <c r="G230" s="62"/>
      <c r="H230" s="171">
        <f t="shared" ref="H230:Q230" si="71">SUM(H215:H228)</f>
        <v>-1506369268.9900002</v>
      </c>
      <c r="I230" s="171">
        <f t="shared" si="71"/>
        <v>-1506369268.9900002</v>
      </c>
      <c r="J230" s="171">
        <f t="shared" si="71"/>
        <v>0</v>
      </c>
      <c r="K230" s="171">
        <f t="shared" si="71"/>
        <v>-51184243.182426222</v>
      </c>
      <c r="L230" s="171">
        <f t="shared" si="71"/>
        <v>-1411173691.887574</v>
      </c>
      <c r="M230" s="171">
        <f t="shared" si="71"/>
        <v>-44011333.920000002</v>
      </c>
      <c r="N230" s="171">
        <f t="shared" si="71"/>
        <v>0</v>
      </c>
      <c r="O230" s="171">
        <f t="shared" si="71"/>
        <v>0</v>
      </c>
      <c r="P230" s="171">
        <f t="shared" si="71"/>
        <v>0</v>
      </c>
      <c r="Q230" s="171">
        <f t="shared" si="71"/>
        <v>0</v>
      </c>
      <c r="R230" s="171"/>
      <c r="S230" s="62">
        <f>SUM(J230:Q230)</f>
        <v>-1506369268.9900002</v>
      </c>
      <c r="T230" s="468">
        <f>I230-S230</f>
        <v>0</v>
      </c>
    </row>
    <row r="231" spans="1:20" x14ac:dyDescent="0.3">
      <c r="A231" s="62"/>
      <c r="B231" s="62"/>
      <c r="C231" s="505"/>
      <c r="D231" s="171"/>
      <c r="E231" s="171"/>
      <c r="F231" s="171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</row>
    <row r="232" spans="1:20" x14ac:dyDescent="0.3">
      <c r="A232" s="463" t="s">
        <v>466</v>
      </c>
      <c r="B232" s="62"/>
      <c r="C232" s="505"/>
      <c r="D232" s="171">
        <f>D230+D212+D199</f>
        <v>-5716425475.2800007</v>
      </c>
      <c r="E232" s="171">
        <f>E230+E212+E199</f>
        <v>0</v>
      </c>
      <c r="F232" s="171">
        <f>F230+F212+F199</f>
        <v>-5716425475.2800007</v>
      </c>
      <c r="G232" s="62"/>
      <c r="H232" s="171">
        <f t="shared" ref="H232:Q232" si="72">H230+H212+H199</f>
        <v>-5716425475.2800007</v>
      </c>
      <c r="I232" s="171">
        <f t="shared" si="72"/>
        <v>-5716425475.2800007</v>
      </c>
      <c r="J232" s="171">
        <f t="shared" si="72"/>
        <v>-3942642720.6682401</v>
      </c>
      <c r="K232" s="171">
        <f t="shared" si="72"/>
        <v>-317239049.61360735</v>
      </c>
      <c r="L232" s="171">
        <f t="shared" si="72"/>
        <v>-1412532371.0781524</v>
      </c>
      <c r="M232" s="171">
        <f t="shared" si="72"/>
        <v>-44011333.920000002</v>
      </c>
      <c r="N232" s="171">
        <f t="shared" si="72"/>
        <v>0</v>
      </c>
      <c r="O232" s="171">
        <f t="shared" si="72"/>
        <v>0</v>
      </c>
      <c r="P232" s="171">
        <f t="shared" si="72"/>
        <v>0</v>
      </c>
      <c r="Q232" s="171">
        <f t="shared" si="72"/>
        <v>0</v>
      </c>
      <c r="R232" s="171"/>
      <c r="S232" s="62">
        <f>SUM(J232:Q232)</f>
        <v>-5716425475.2799997</v>
      </c>
      <c r="T232" s="468">
        <f>I232-S232</f>
        <v>0</v>
      </c>
    </row>
    <row r="233" spans="1:20" x14ac:dyDescent="0.3">
      <c r="A233" s="62"/>
      <c r="B233" s="62"/>
      <c r="C233" s="121"/>
      <c r="D233" s="171"/>
      <c r="E233" s="171"/>
      <c r="F233" s="171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</row>
    <row r="234" spans="1:20" x14ac:dyDescent="0.3">
      <c r="A234" s="499" t="s">
        <v>498</v>
      </c>
      <c r="B234" s="62"/>
      <c r="C234" s="121"/>
      <c r="D234" s="171">
        <f>D199+D212+D230</f>
        <v>-5716425475.2800007</v>
      </c>
      <c r="E234" s="171">
        <f t="shared" ref="E234:Q234" si="73">E199+E212+E230</f>
        <v>0</v>
      </c>
      <c r="F234" s="171">
        <f t="shared" si="73"/>
        <v>-5716425475.2800007</v>
      </c>
      <c r="G234" s="171">
        <f t="shared" si="73"/>
        <v>0</v>
      </c>
      <c r="H234" s="171">
        <f t="shared" si="73"/>
        <v>-5716425475.2800007</v>
      </c>
      <c r="I234" s="171">
        <f t="shared" si="73"/>
        <v>-5716425475.2800007</v>
      </c>
      <c r="J234" s="171">
        <f t="shared" si="73"/>
        <v>-3942642720.6682401</v>
      </c>
      <c r="K234" s="171">
        <f t="shared" si="73"/>
        <v>-317239049.61360735</v>
      </c>
      <c r="L234" s="171">
        <f t="shared" si="73"/>
        <v>-1412532371.0781524</v>
      </c>
      <c r="M234" s="171">
        <f t="shared" si="73"/>
        <v>-44011333.920000002</v>
      </c>
      <c r="N234" s="171">
        <f t="shared" si="73"/>
        <v>0</v>
      </c>
      <c r="O234" s="171">
        <f t="shared" si="73"/>
        <v>0</v>
      </c>
      <c r="P234" s="171">
        <f t="shared" si="73"/>
        <v>0</v>
      </c>
      <c r="Q234" s="171">
        <f t="shared" si="73"/>
        <v>0</v>
      </c>
      <c r="R234" s="171"/>
      <c r="S234" s="62">
        <f>SUM(J234:Q234)</f>
        <v>-5716425475.2799997</v>
      </c>
      <c r="T234" s="468">
        <f>I234-S234</f>
        <v>0</v>
      </c>
    </row>
    <row r="235" spans="1:20" x14ac:dyDescent="0.3">
      <c r="A235" s="62"/>
      <c r="B235" s="62"/>
      <c r="C235" s="121"/>
      <c r="D235" s="171"/>
      <c r="E235" s="171"/>
      <c r="F235" s="171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</row>
    <row r="236" spans="1:20" x14ac:dyDescent="0.3">
      <c r="A236" s="499" t="s">
        <v>468</v>
      </c>
      <c r="B236" s="62"/>
      <c r="C236" s="121"/>
      <c r="D236" s="171"/>
      <c r="E236" s="171"/>
      <c r="F236" s="171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</row>
    <row r="237" spans="1:20" x14ac:dyDescent="0.3">
      <c r="A237" s="62"/>
      <c r="B237" s="62"/>
      <c r="C237" s="121"/>
      <c r="D237" s="171"/>
      <c r="E237" s="171"/>
      <c r="F237" s="171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</row>
    <row r="238" spans="1:20" x14ac:dyDescent="0.3">
      <c r="A238" s="499" t="s">
        <v>469</v>
      </c>
      <c r="B238" s="62"/>
      <c r="C238" s="121"/>
      <c r="D238" s="171"/>
      <c r="E238" s="171"/>
      <c r="F238" s="171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</row>
    <row r="239" spans="1:20" x14ac:dyDescent="0.3">
      <c r="A239" s="503" t="s">
        <v>1151</v>
      </c>
      <c r="B239" s="504" t="s">
        <v>470</v>
      </c>
      <c r="C239" s="121" t="s">
        <v>19</v>
      </c>
      <c r="D239" s="171">
        <v>0</v>
      </c>
      <c r="E239" s="171"/>
      <c r="F239" s="171">
        <f t="shared" ref="F239:F248" si="74">D239+E239</f>
        <v>0</v>
      </c>
      <c r="G239" s="171">
        <f t="shared" ref="G239:G249" si="75">F239</f>
        <v>0</v>
      </c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>
        <f t="shared" ref="S239:S248" si="76">SUM(J239:Q239)</f>
        <v>0</v>
      </c>
      <c r="T239" s="468">
        <f t="shared" ref="T239:T249" si="77">I239-S239</f>
        <v>0</v>
      </c>
    </row>
    <row r="240" spans="1:20" x14ac:dyDescent="0.3">
      <c r="A240" s="511" t="s">
        <v>1152</v>
      </c>
      <c r="B240" s="507" t="s">
        <v>374</v>
      </c>
      <c r="C240" s="121" t="s">
        <v>19</v>
      </c>
      <c r="D240" s="171">
        <v>-28000.66</v>
      </c>
      <c r="E240" s="171"/>
      <c r="F240" s="171">
        <f t="shared" si="74"/>
        <v>-28000.66</v>
      </c>
      <c r="G240" s="171">
        <f t="shared" si="75"/>
        <v>-28000.66</v>
      </c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>
        <f t="shared" si="76"/>
        <v>0</v>
      </c>
      <c r="T240" s="468">
        <f t="shared" si="77"/>
        <v>0</v>
      </c>
    </row>
    <row r="241" spans="1:20" x14ac:dyDescent="0.3">
      <c r="A241" s="511" t="s">
        <v>1153</v>
      </c>
      <c r="B241" s="504" t="s">
        <v>471</v>
      </c>
      <c r="C241" s="121" t="s">
        <v>19</v>
      </c>
      <c r="D241" s="171">
        <v>-200427021.12999997</v>
      </c>
      <c r="E241" s="171"/>
      <c r="F241" s="171">
        <f t="shared" si="74"/>
        <v>-200427021.12999997</v>
      </c>
      <c r="G241" s="171">
        <f t="shared" si="75"/>
        <v>-200427021.12999997</v>
      </c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>
        <f t="shared" si="76"/>
        <v>0</v>
      </c>
      <c r="T241" s="468">
        <f t="shared" si="77"/>
        <v>0</v>
      </c>
    </row>
    <row r="242" spans="1:20" x14ac:dyDescent="0.3">
      <c r="A242" s="511" t="s">
        <v>1154</v>
      </c>
      <c r="B242" s="504" t="s">
        <v>472</v>
      </c>
      <c r="C242" s="121" t="s">
        <v>19</v>
      </c>
      <c r="D242" s="171">
        <v>-288565.25</v>
      </c>
      <c r="E242" s="171"/>
      <c r="F242" s="171">
        <f t="shared" si="74"/>
        <v>-288565.25</v>
      </c>
      <c r="G242" s="171">
        <f t="shared" si="75"/>
        <v>-288565.25</v>
      </c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>
        <f t="shared" si="76"/>
        <v>0</v>
      </c>
      <c r="T242" s="468">
        <f t="shared" si="77"/>
        <v>0</v>
      </c>
    </row>
    <row r="243" spans="1:20" x14ac:dyDescent="0.3">
      <c r="A243" s="511" t="s">
        <v>1155</v>
      </c>
      <c r="B243" s="503" t="s">
        <v>473</v>
      </c>
      <c r="C243" s="121" t="s">
        <v>19</v>
      </c>
      <c r="D243" s="171">
        <v>-13513575.469999999</v>
      </c>
      <c r="E243" s="171"/>
      <c r="F243" s="171">
        <f t="shared" si="74"/>
        <v>-13513575.469999999</v>
      </c>
      <c r="G243" s="171">
        <f t="shared" si="75"/>
        <v>-13513575.469999999</v>
      </c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>
        <f t="shared" si="76"/>
        <v>0</v>
      </c>
      <c r="T243" s="468">
        <f t="shared" si="77"/>
        <v>0</v>
      </c>
    </row>
    <row r="244" spans="1:20" x14ac:dyDescent="0.3">
      <c r="A244" s="511" t="s">
        <v>1156</v>
      </c>
      <c r="B244" s="503" t="s">
        <v>474</v>
      </c>
      <c r="C244" s="121" t="s">
        <v>19</v>
      </c>
      <c r="D244" s="171">
        <v>-4222154.7299999995</v>
      </c>
      <c r="E244" s="171"/>
      <c r="F244" s="171">
        <f t="shared" si="74"/>
        <v>-4222154.7299999995</v>
      </c>
      <c r="G244" s="171">
        <f t="shared" si="75"/>
        <v>-4222154.7299999995</v>
      </c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>
        <f t="shared" si="76"/>
        <v>0</v>
      </c>
      <c r="T244" s="468">
        <f t="shared" si="77"/>
        <v>0</v>
      </c>
    </row>
    <row r="245" spans="1:20" x14ac:dyDescent="0.3">
      <c r="A245" s="511" t="s">
        <v>1157</v>
      </c>
      <c r="B245" s="504" t="s">
        <v>456</v>
      </c>
      <c r="C245" s="121" t="s">
        <v>19</v>
      </c>
      <c r="D245" s="171">
        <v>-116085756.33000001</v>
      </c>
      <c r="E245" s="171"/>
      <c r="F245" s="171">
        <f t="shared" si="74"/>
        <v>-116085756.33000001</v>
      </c>
      <c r="G245" s="171">
        <f t="shared" si="75"/>
        <v>-116085756.33000001</v>
      </c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>
        <f t="shared" si="76"/>
        <v>0</v>
      </c>
      <c r="T245" s="468">
        <f t="shared" si="77"/>
        <v>0</v>
      </c>
    </row>
    <row r="246" spans="1:20" x14ac:dyDescent="0.3">
      <c r="A246" s="511" t="s">
        <v>1158</v>
      </c>
      <c r="B246" s="504" t="s">
        <v>475</v>
      </c>
      <c r="C246" s="121" t="s">
        <v>19</v>
      </c>
      <c r="D246" s="171">
        <v>-17825621.149999999</v>
      </c>
      <c r="E246" s="171"/>
      <c r="F246" s="171">
        <f t="shared" si="74"/>
        <v>-17825621.149999999</v>
      </c>
      <c r="G246" s="171">
        <f t="shared" si="75"/>
        <v>-17825621.149999999</v>
      </c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>
        <f t="shared" si="76"/>
        <v>0</v>
      </c>
      <c r="T246" s="468">
        <f t="shared" si="77"/>
        <v>0</v>
      </c>
    </row>
    <row r="247" spans="1:20" x14ac:dyDescent="0.3">
      <c r="A247" s="504" t="s">
        <v>1159</v>
      </c>
      <c r="B247" s="504" t="s">
        <v>476</v>
      </c>
      <c r="C247" s="121" t="s">
        <v>19</v>
      </c>
      <c r="D247" s="171">
        <v>-3282154.04</v>
      </c>
      <c r="E247" s="171"/>
      <c r="F247" s="171">
        <f t="shared" si="74"/>
        <v>-3282154.04</v>
      </c>
      <c r="G247" s="171">
        <f t="shared" si="75"/>
        <v>-3282154.04</v>
      </c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>
        <f t="shared" si="76"/>
        <v>0</v>
      </c>
      <c r="T247" s="468">
        <f t="shared" si="77"/>
        <v>0</v>
      </c>
    </row>
    <row r="248" spans="1:20" x14ac:dyDescent="0.3">
      <c r="A248" s="504" t="s">
        <v>1160</v>
      </c>
      <c r="B248" s="504" t="s">
        <v>477</v>
      </c>
      <c r="C248" s="121" t="s">
        <v>19</v>
      </c>
      <c r="D248" s="171">
        <v>-415351.15000000014</v>
      </c>
      <c r="E248" s="171"/>
      <c r="F248" s="171">
        <f t="shared" si="74"/>
        <v>-415351.15000000014</v>
      </c>
      <c r="G248" s="171">
        <f t="shared" si="75"/>
        <v>-415351.15000000014</v>
      </c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>
        <f t="shared" si="76"/>
        <v>0</v>
      </c>
      <c r="T248" s="468">
        <f t="shared" si="77"/>
        <v>0</v>
      </c>
    </row>
    <row r="249" spans="1:20" x14ac:dyDescent="0.3">
      <c r="A249" s="504" t="s">
        <v>1161</v>
      </c>
      <c r="B249" s="504" t="s">
        <v>478</v>
      </c>
      <c r="C249" s="121" t="s">
        <v>19</v>
      </c>
      <c r="D249" s="171">
        <v>0</v>
      </c>
      <c r="E249" s="171"/>
      <c r="F249" s="171">
        <f>D249+E249</f>
        <v>0</v>
      </c>
      <c r="G249" s="171">
        <f t="shared" si="75"/>
        <v>0</v>
      </c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>
        <f>SUM(J249:Q249)</f>
        <v>0</v>
      </c>
      <c r="T249" s="468">
        <f t="shared" si="77"/>
        <v>0</v>
      </c>
    </row>
    <row r="250" spans="1:20" x14ac:dyDescent="0.3">
      <c r="A250" s="504"/>
      <c r="B250" s="504"/>
      <c r="C250" s="489"/>
      <c r="D250" s="171"/>
      <c r="E250" s="171"/>
      <c r="F250" s="171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</row>
    <row r="251" spans="1:20" x14ac:dyDescent="0.3">
      <c r="A251" s="62"/>
      <c r="B251" s="498" t="s">
        <v>479</v>
      </c>
      <c r="C251" s="512"/>
      <c r="D251" s="171">
        <f>SUM(D239:D249)</f>
        <v>-356088199.90999991</v>
      </c>
      <c r="E251" s="171">
        <f>SUM(E239:E249)</f>
        <v>0</v>
      </c>
      <c r="F251" s="171">
        <f>SUM(F239:F249)</f>
        <v>-356088199.90999991</v>
      </c>
      <c r="G251" s="171">
        <f>SUM(G239:G249)</f>
        <v>-356088199.90999991</v>
      </c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</row>
    <row r="252" spans="1:20" x14ac:dyDescent="0.3">
      <c r="A252" s="62"/>
      <c r="B252" s="498"/>
      <c r="C252" s="512"/>
      <c r="D252" s="171"/>
      <c r="E252" s="171"/>
      <c r="F252" s="171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</row>
    <row r="253" spans="1:20" x14ac:dyDescent="0.3">
      <c r="A253" s="499" t="s">
        <v>499</v>
      </c>
      <c r="B253" s="62"/>
      <c r="C253" s="489"/>
      <c r="D253" s="171">
        <f>D251</f>
        <v>-356088199.90999991</v>
      </c>
      <c r="E253" s="171">
        <f>E251</f>
        <v>0</v>
      </c>
      <c r="F253" s="171">
        <f>F251</f>
        <v>-356088199.90999991</v>
      </c>
      <c r="G253" s="171">
        <f>G251</f>
        <v>-356088199.90999991</v>
      </c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</row>
    <row r="254" spans="1:20" x14ac:dyDescent="0.3">
      <c r="A254" s="498"/>
      <c r="B254" s="62"/>
      <c r="C254" s="489"/>
      <c r="D254" s="171"/>
      <c r="E254" s="171"/>
      <c r="F254" s="171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</row>
    <row r="255" spans="1:20" x14ac:dyDescent="0.3">
      <c r="A255" s="499" t="s">
        <v>481</v>
      </c>
      <c r="B255" s="62"/>
      <c r="C255" s="489"/>
      <c r="D255" s="171"/>
      <c r="E255" s="171"/>
      <c r="F255" s="171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</row>
    <row r="256" spans="1:20" x14ac:dyDescent="0.3">
      <c r="A256" s="498"/>
      <c r="B256" s="62"/>
      <c r="C256" s="489"/>
      <c r="D256" s="171"/>
      <c r="E256" s="171"/>
      <c r="F256" s="171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</row>
    <row r="257" spans="1:23" x14ac:dyDescent="0.3">
      <c r="A257" s="465" t="s">
        <v>1170</v>
      </c>
      <c r="B257" s="501" t="s">
        <v>425</v>
      </c>
      <c r="C257" s="121" t="s">
        <v>1199</v>
      </c>
      <c r="D257" s="171">
        <v>0</v>
      </c>
      <c r="E257" s="171"/>
      <c r="F257" s="171">
        <f t="shared" ref="F257:F262" si="78">D257+E257</f>
        <v>0</v>
      </c>
      <c r="G257" s="171">
        <v>0</v>
      </c>
      <c r="H257" s="171">
        <f t="shared" ref="H257:H266" si="79">F257-G257</f>
        <v>0</v>
      </c>
      <c r="I257" s="468">
        <f t="shared" ref="I257:I266" si="80">H257</f>
        <v>0</v>
      </c>
      <c r="J257" s="171">
        <v>0</v>
      </c>
      <c r="K257" s="171">
        <v>0</v>
      </c>
      <c r="L257" s="171">
        <f>0*'7a. LX_AG-i'!L$242/(SUM('7a. LX_AG-i'!$L$242:$Q$242))</f>
        <v>0</v>
      </c>
      <c r="M257" s="171">
        <f>0*'7a. LX_AG-i'!M$242/(SUM('7a. LX_AG-i'!$L$242:$Q$242))</f>
        <v>0</v>
      </c>
      <c r="N257" s="171">
        <f>0*'7a. LX_AG-i'!N$242/(SUM('7a. LX_AG-i'!$L$242:$Q$242))</f>
        <v>0</v>
      </c>
      <c r="O257" s="171">
        <f>0*'7a. LX_AG-i'!O$242/(SUM('7a. LX_AG-i'!$L$242:$Q$242))</f>
        <v>0</v>
      </c>
      <c r="P257" s="171">
        <f>0*'7a. LX_AG-i'!P$242/(SUM('7a. LX_AG-i'!$L$242:$Q$242))</f>
        <v>0</v>
      </c>
      <c r="Q257" s="171">
        <f>0*'7a. LX_AG-i'!Q$242/(SUM('7a. LX_AG-i'!$L$242:$Q$242))</f>
        <v>0</v>
      </c>
      <c r="R257" s="468"/>
      <c r="S257" s="62">
        <f t="shared" ref="S257:S266" si="81">SUM(J257:Q257)</f>
        <v>0</v>
      </c>
      <c r="T257" s="468">
        <f t="shared" ref="T257:T262" si="82">I257-S257</f>
        <v>0</v>
      </c>
    </row>
    <row r="258" spans="1:23" x14ac:dyDescent="0.3">
      <c r="A258" s="465" t="s">
        <v>1171</v>
      </c>
      <c r="B258" s="501" t="s">
        <v>374</v>
      </c>
      <c r="C258" s="121" t="s">
        <v>1199</v>
      </c>
      <c r="D258" s="171">
        <v>-53573891.739999995</v>
      </c>
      <c r="E258" s="171"/>
      <c r="F258" s="171">
        <f t="shared" si="78"/>
        <v>-53573891.739999995</v>
      </c>
      <c r="G258" s="171">
        <v>-10907.17580206905</v>
      </c>
      <c r="H258" s="171">
        <f t="shared" si="79"/>
        <v>-53562984.564197928</v>
      </c>
      <c r="I258" s="468">
        <f t="shared" si="80"/>
        <v>-53562984.564197928</v>
      </c>
      <c r="J258" s="171">
        <v>-35499763.053838298</v>
      </c>
      <c r="K258" s="171">
        <v>920292.29895293934</v>
      </c>
      <c r="L258" s="171">
        <f>-18983514*'7a. LX_AG-i'!L$242/(SUM('7a. LX_AG-i'!$L$242:$Q$242))</f>
        <v>-11690879.794648821</v>
      </c>
      <c r="M258" s="171">
        <f>-18983514*'7a. LX_AG-i'!M$242/(SUM('7a. LX_AG-i'!$L$242:$Q$242))</f>
        <v>-2581635.5227995017</v>
      </c>
      <c r="N258" s="171">
        <f>-18983514*'7a. LX_AG-i'!N$242/(SUM('7a. LX_AG-i'!$L$242:$Q$242))</f>
        <v>-689534.10532337904</v>
      </c>
      <c r="O258" s="171">
        <f>-18983514*'7a. LX_AG-i'!O$242/(SUM('7a. LX_AG-i'!$L$242:$Q$242))</f>
        <v>-3521678.3240306051</v>
      </c>
      <c r="P258" s="171">
        <f>-18983514*'7a. LX_AG-i'!P$242/(SUM('7a. LX_AG-i'!$L$242:$Q$242))</f>
        <v>-499786.25319769449</v>
      </c>
      <c r="Q258" s="171">
        <f>-18983514*'7a. LX_AG-i'!Q$242/(SUM('7a. LX_AG-i'!$L$242:$Q$242))</f>
        <v>0</v>
      </c>
      <c r="R258" s="468"/>
      <c r="S258" s="62">
        <f t="shared" si="81"/>
        <v>-53562984.754885361</v>
      </c>
      <c r="T258" s="468">
        <f t="shared" si="82"/>
        <v>0.19068743288516998</v>
      </c>
    </row>
    <row r="259" spans="1:23" x14ac:dyDescent="0.3">
      <c r="A259" s="465" t="s">
        <v>1172</v>
      </c>
      <c r="B259" s="501" t="s">
        <v>1162</v>
      </c>
      <c r="C259" s="121" t="s">
        <v>1199</v>
      </c>
      <c r="D259" s="171">
        <v>-79459980.780000091</v>
      </c>
      <c r="E259" s="171"/>
      <c r="F259" s="171">
        <f t="shared" si="78"/>
        <v>-79459980.780000091</v>
      </c>
      <c r="G259" s="171">
        <v>-2160359.9549672646</v>
      </c>
      <c r="H259" s="171">
        <f t="shared" si="79"/>
        <v>-77299620.82503283</v>
      </c>
      <c r="I259" s="468">
        <f t="shared" si="80"/>
        <v>-77299620.82503283</v>
      </c>
      <c r="J259" s="171">
        <v>-58028931.201072834</v>
      </c>
      <c r="K259" s="171">
        <v>-11611145.822504314</v>
      </c>
      <c r="L259" s="171">
        <f>-7659544*'7a. LX_AG-i'!L$242/(SUM('7a. LX_AG-i'!$L$242:$Q$242))</f>
        <v>-4717082.8428194905</v>
      </c>
      <c r="M259" s="171">
        <f>-7659544*'7a. LX_AG-i'!M$242/(SUM('7a. LX_AG-i'!$L$242:$Q$242))</f>
        <v>-1041648.6051447475</v>
      </c>
      <c r="N259" s="171">
        <f>-7659544*'7a. LX_AG-i'!N$242/(SUM('7a. LX_AG-i'!$L$242:$Q$242))</f>
        <v>-278215.97303982056</v>
      </c>
      <c r="O259" s="171">
        <f>-7659544*'7a. LX_AG-i'!O$242/(SUM('7a. LX_AG-i'!$L$242:$Q$242))</f>
        <v>-1420940.8266961889</v>
      </c>
      <c r="P259" s="171">
        <f>-7659544*'7a. LX_AG-i'!P$242/(SUM('7a. LX_AG-i'!$L$242:$Q$242))</f>
        <v>-201655.75229975238</v>
      </c>
      <c r="Q259" s="171">
        <f>-7659544*'7a. LX_AG-i'!Q$242/(SUM('7a. LX_AG-i'!$L$242:$Q$242))</f>
        <v>0</v>
      </c>
      <c r="R259" s="468"/>
      <c r="S259" s="62">
        <f t="shared" si="81"/>
        <v>-77299621.023577169</v>
      </c>
      <c r="T259" s="468">
        <f t="shared" si="82"/>
        <v>0.19854433834552765</v>
      </c>
    </row>
    <row r="260" spans="1:23" x14ac:dyDescent="0.3">
      <c r="A260" s="465" t="s">
        <v>1173</v>
      </c>
      <c r="B260" s="501" t="s">
        <v>1163</v>
      </c>
      <c r="C260" s="121" t="s">
        <v>1199</v>
      </c>
      <c r="D260" s="171">
        <v>-48053998.13000001</v>
      </c>
      <c r="E260" s="171"/>
      <c r="F260" s="171">
        <f t="shared" si="78"/>
        <v>-48053998.13000001</v>
      </c>
      <c r="G260" s="171">
        <v>-4786542.3887195773</v>
      </c>
      <c r="H260" s="171">
        <f t="shared" si="79"/>
        <v>-43267455.741280437</v>
      </c>
      <c r="I260" s="468">
        <f t="shared" si="80"/>
        <v>-43267455.741280437</v>
      </c>
      <c r="J260" s="171">
        <v>-8685697.8226312455</v>
      </c>
      <c r="K260" s="171">
        <v>-8292920.2950393138</v>
      </c>
      <c r="L260" s="171">
        <f>-26288838*'7a. LX_AG-i'!L$242/(SUM('7a. LX_AG-i'!$L$242:$Q$242))</f>
        <v>-16189818.439251874</v>
      </c>
      <c r="M260" s="171">
        <f>-26288838*'7a. LX_AG-i'!M$242/(SUM('7a. LX_AG-i'!$L$242:$Q$242))</f>
        <v>-3575112.4914976959</v>
      </c>
      <c r="N260" s="171">
        <f>-26288838*'7a. LX_AG-i'!N$242/(SUM('7a. LX_AG-i'!$L$242:$Q$242))</f>
        <v>-954883.82131576096</v>
      </c>
      <c r="O260" s="171">
        <f>-26288838*'7a. LX_AG-i'!O$242/(SUM('7a. LX_AG-i'!$L$242:$Q$242))</f>
        <v>-4876906.9282195121</v>
      </c>
      <c r="P260" s="171">
        <f>-26288838*'7a. LX_AG-i'!P$242/(SUM('7a. LX_AG-i'!$L$242:$Q$242))</f>
        <v>-692116.31971515773</v>
      </c>
      <c r="Q260" s="171">
        <f>-26288838*'7a. LX_AG-i'!Q$242/(SUM('7a. LX_AG-i'!$L$242:$Q$242))</f>
        <v>0</v>
      </c>
      <c r="R260" s="468"/>
      <c r="S260" s="62">
        <f t="shared" si="81"/>
        <v>-43267456.117670558</v>
      </c>
      <c r="T260" s="468">
        <f t="shared" si="82"/>
        <v>0.37639012187719345</v>
      </c>
    </row>
    <row r="261" spans="1:23" x14ac:dyDescent="0.3">
      <c r="A261" s="465" t="s">
        <v>1174</v>
      </c>
      <c r="B261" s="501" t="s">
        <v>1164</v>
      </c>
      <c r="C261" s="121" t="s">
        <v>1199</v>
      </c>
      <c r="D261" s="171">
        <v>-12065.079999999502</v>
      </c>
      <c r="E261" s="171"/>
      <c r="F261" s="171">
        <f t="shared" si="78"/>
        <v>-12065.079999999502</v>
      </c>
      <c r="G261" s="171">
        <v>1.8181423909948739E-4</v>
      </c>
      <c r="H261" s="171">
        <f t="shared" si="79"/>
        <v>-12065.080181813741</v>
      </c>
      <c r="I261" s="468">
        <f t="shared" si="80"/>
        <v>-12065.080181813741</v>
      </c>
      <c r="J261" s="171">
        <v>-11347.522651443271</v>
      </c>
      <c r="K261" s="171">
        <v>-114.83150983012793</v>
      </c>
      <c r="L261" s="171">
        <f>-603*'7a. LX_AG-i'!L$242/(SUM('7a. LX_AG-i'!$L$242:$Q$242))</f>
        <v>-371.35382396395306</v>
      </c>
      <c r="M261" s="171">
        <f>-603*'7a. LX_AG-i'!M$242/(SUM('7a. LX_AG-i'!$L$242:$Q$242))</f>
        <v>-82.004112634157167</v>
      </c>
      <c r="N261" s="171">
        <f>-603*'7a. LX_AG-i'!N$242/(SUM('7a. LX_AG-i'!$L$242:$Q$242))</f>
        <v>-21.902639601392956</v>
      </c>
      <c r="O261" s="171">
        <f>-603*'7a. LX_AG-i'!O$242/(SUM('7a. LX_AG-i'!$L$242:$Q$242))</f>
        <v>-111.86401155183677</v>
      </c>
      <c r="P261" s="171">
        <f>-603*'7a. LX_AG-i'!P$242/(SUM('7a. LX_AG-i'!$L$242:$Q$242))</f>
        <v>-15.875412248660064</v>
      </c>
      <c r="Q261" s="171">
        <f>-603*'7a. LX_AG-i'!Q$242/(SUM('7a. LX_AG-i'!$L$242:$Q$242))</f>
        <v>0</v>
      </c>
      <c r="R261" s="468"/>
      <c r="S261" s="62">
        <f t="shared" si="81"/>
        <v>-12065.354161273399</v>
      </c>
      <c r="T261" s="468">
        <f t="shared" si="82"/>
        <v>0.27397945965822146</v>
      </c>
    </row>
    <row r="262" spans="1:23" x14ac:dyDescent="0.3">
      <c r="A262" s="465" t="s">
        <v>1175</v>
      </c>
      <c r="B262" s="501" t="s">
        <v>1165</v>
      </c>
      <c r="C262" s="121" t="s">
        <v>1199</v>
      </c>
      <c r="D262" s="171">
        <v>-13873075.31000001</v>
      </c>
      <c r="E262" s="171"/>
      <c r="F262" s="171">
        <f t="shared" si="78"/>
        <v>-13873075.31000001</v>
      </c>
      <c r="G262" s="171">
        <v>-2535278.1735025486</v>
      </c>
      <c r="H262" s="171">
        <f t="shared" si="79"/>
        <v>-11337797.13649746</v>
      </c>
      <c r="I262" s="468">
        <f t="shared" si="80"/>
        <v>-11337797.13649746</v>
      </c>
      <c r="J262" s="171">
        <v>-3165023.9880177476</v>
      </c>
      <c r="K262" s="171">
        <v>-1651624.059000042</v>
      </c>
      <c r="L262" s="171">
        <f>-6521149*'7a. LX_AG-i'!L$242/(SUM('7a. LX_AG-i'!$L$242:$Q$242))</f>
        <v>-4016009.3163991845</v>
      </c>
      <c r="M262" s="171">
        <f>-6521149*'7a. LX_AG-i'!M$242/(SUM('7a. LX_AG-i'!$L$242:$Q$242))</f>
        <v>-886834.22404663579</v>
      </c>
      <c r="N262" s="171">
        <f>-6521149*'7a. LX_AG-i'!N$242/(SUM('7a. LX_AG-i'!$L$242:$Q$242))</f>
        <v>-236866.29574458385</v>
      </c>
      <c r="O262" s="171">
        <f>-6521149*'7a. LX_AG-i'!O$242/(SUM('7a. LX_AG-i'!$L$242:$Q$242))</f>
        <v>-1209754.3732458521</v>
      </c>
      <c r="P262" s="171">
        <f>-6521149*'7a. LX_AG-i'!P$242/(SUM('7a. LX_AG-i'!$L$242:$Q$242))</f>
        <v>-171684.7905637435</v>
      </c>
      <c r="Q262" s="171">
        <f>-6521149*'7a. LX_AG-i'!Q$242/(SUM('7a. LX_AG-i'!$L$242:$Q$242))</f>
        <v>0</v>
      </c>
      <c r="R262" s="468"/>
      <c r="S262" s="62">
        <f t="shared" si="81"/>
        <v>-11337797.047017789</v>
      </c>
      <c r="T262" s="468">
        <f t="shared" si="82"/>
        <v>-8.9479671791195869E-2</v>
      </c>
    </row>
    <row r="263" spans="1:23" x14ac:dyDescent="0.3">
      <c r="A263" s="465" t="s">
        <v>1176</v>
      </c>
      <c r="B263" s="501" t="s">
        <v>1166</v>
      </c>
      <c r="C263" s="121" t="s">
        <v>1199</v>
      </c>
      <c r="D263" s="171">
        <v>126230.79999999999</v>
      </c>
      <c r="E263" s="171"/>
      <c r="F263" s="171">
        <f>D263+E263</f>
        <v>126230.79999999999</v>
      </c>
      <c r="G263" s="171">
        <v>8227.541298111837</v>
      </c>
      <c r="H263" s="171">
        <f t="shared" si="79"/>
        <v>118003.25870188815</v>
      </c>
      <c r="I263" s="468">
        <f t="shared" si="80"/>
        <v>118003.25870188815</v>
      </c>
      <c r="J263" s="171">
        <v>-69280.559645158806</v>
      </c>
      <c r="K263" s="171">
        <v>197615.70921475018</v>
      </c>
      <c r="L263" s="171">
        <f>-10332*'7a. LX_AG-i'!L$242/(SUM('7a. LX_AG-i'!$L$242:$Q$242))</f>
        <v>-6362.8983568748972</v>
      </c>
      <c r="M263" s="171">
        <f>-10332*'7a. LX_AG-i'!M$242/(SUM('7a. LX_AG-i'!$L$242:$Q$242))</f>
        <v>-1405.0853925972003</v>
      </c>
      <c r="N263" s="171">
        <f>-10332*'7a. LX_AG-i'!N$242/(SUM('7a. LX_AG-i'!$L$242:$Q$242))</f>
        <v>-375.28701884177775</v>
      </c>
      <c r="O263" s="171">
        <f>-10332*'7a. LX_AG-i'!O$242/(SUM('7a. LX_AG-i'!$L$242:$Q$242))</f>
        <v>-1916.7147053956508</v>
      </c>
      <c r="P263" s="171">
        <f>-10332*'7a. LX_AG-i'!P$242/(SUM('7a. LX_AG-i'!$L$242:$Q$242))</f>
        <v>-272.0145262904739</v>
      </c>
      <c r="Q263" s="171">
        <f>-10332*'7a. LX_AG-i'!Q$242/(SUM('7a. LX_AG-i'!$L$242:$Q$242))</f>
        <v>0</v>
      </c>
      <c r="R263" s="468"/>
      <c r="S263" s="62">
        <f t="shared" si="81"/>
        <v>118003.14956959138</v>
      </c>
      <c r="T263" s="468">
        <f t="shared" ref="T263:T266" si="83">I263-S263</f>
        <v>0.10913229676953051</v>
      </c>
    </row>
    <row r="264" spans="1:23" x14ac:dyDescent="0.3">
      <c r="A264" s="465" t="s">
        <v>1177</v>
      </c>
      <c r="B264" s="501" t="s">
        <v>1167</v>
      </c>
      <c r="C264" s="121" t="s">
        <v>1199</v>
      </c>
      <c r="D264" s="171">
        <v>-8045589.6699999962</v>
      </c>
      <c r="E264" s="171"/>
      <c r="F264" s="171">
        <f>D264+E264</f>
        <v>-8045589.6699999962</v>
      </c>
      <c r="G264" s="171">
        <v>-41934.347247695878</v>
      </c>
      <c r="H264" s="171">
        <f t="shared" si="79"/>
        <v>-8003655.3227523006</v>
      </c>
      <c r="I264" s="468">
        <f t="shared" si="80"/>
        <v>-8003655.3227523006</v>
      </c>
      <c r="J264" s="171">
        <v>-4808610.7533029271</v>
      </c>
      <c r="K264" s="171">
        <v>-452703.66919155518</v>
      </c>
      <c r="L264" s="171">
        <f>-2742341*'7a. LX_AG-i'!L$242/(SUM('7a. LX_AG-i'!$L$242:$Q$242))</f>
        <v>-1688853.7594745124</v>
      </c>
      <c r="M264" s="171">
        <f>-2742341*'7a. LX_AG-i'!M$242/(SUM('7a. LX_AG-i'!$L$242:$Q$242))</f>
        <v>-372940.69692415785</v>
      </c>
      <c r="N264" s="171">
        <f>-2742341*'7a. LX_AG-i'!N$242/(SUM('7a. LX_AG-i'!$L$242:$Q$242))</f>
        <v>-99609.463660238063</v>
      </c>
      <c r="O264" s="171">
        <f>-2742341*'7a. LX_AG-i'!O$242/(SUM('7a. LX_AG-i'!$L$242:$Q$242))</f>
        <v>-508738.41675468592</v>
      </c>
      <c r="P264" s="171">
        <f>-2742341*'7a. LX_AG-i'!P$242/(SUM('7a. LX_AG-i'!$L$242:$Q$242))</f>
        <v>-72198.663186405785</v>
      </c>
      <c r="Q264" s="171">
        <f>-2742341*'7a. LX_AG-i'!Q$242/(SUM('7a. LX_AG-i'!$L$242:$Q$242))</f>
        <v>0</v>
      </c>
      <c r="R264" s="468"/>
      <c r="S264" s="62">
        <f t="shared" si="81"/>
        <v>-8003655.4224944822</v>
      </c>
      <c r="T264" s="468">
        <f t="shared" si="83"/>
        <v>9.9742181599140167E-2</v>
      </c>
    </row>
    <row r="265" spans="1:23" s="1" customFormat="1" x14ac:dyDescent="0.3">
      <c r="A265" s="465" t="s">
        <v>1178</v>
      </c>
      <c r="B265" s="501" t="s">
        <v>1168</v>
      </c>
      <c r="C265" s="121" t="s">
        <v>1199</v>
      </c>
      <c r="D265" s="171">
        <v>-67371731.799999967</v>
      </c>
      <c r="E265" s="171"/>
      <c r="F265" s="171">
        <f>D265+E265</f>
        <v>-67371731.799999967</v>
      </c>
      <c r="G265" s="171">
        <v>-428455.72000000003</v>
      </c>
      <c r="H265" s="171">
        <f t="shared" si="79"/>
        <v>-66943276.079999968</v>
      </c>
      <c r="I265" s="468">
        <f t="shared" si="80"/>
        <v>-66943276.079999968</v>
      </c>
      <c r="J265" s="468">
        <v>-7737658.7834576089</v>
      </c>
      <c r="K265" s="468">
        <v>-13878353.837443978</v>
      </c>
      <c r="L265" s="171">
        <f>-45327263*'7a. LX_AG-i'!L$242/(SUM('7a. LX_AG-i'!$L$242:$Q$242))</f>
        <v>-27914514.833946604</v>
      </c>
      <c r="M265" s="171">
        <f>-45327263*'7a. LX_AG-i'!M$242/(SUM('7a. LX_AG-i'!$L$242:$Q$242))</f>
        <v>-6164215.5563019319</v>
      </c>
      <c r="N265" s="171">
        <f>-45327263*'7a. LX_AG-i'!N$242/(SUM('7a. LX_AG-i'!$L$242:$Q$242))</f>
        <v>-1646412.4471087123</v>
      </c>
      <c r="O265" s="171">
        <f>-45327263*'7a. LX_AG-i'!O$242/(SUM('7a. LX_AG-i'!$L$242:$Q$242))</f>
        <v>-8408771.9267746974</v>
      </c>
      <c r="P265" s="171">
        <f>-45327263*'7a. LX_AG-i'!P$242/(SUM('7a. LX_AG-i'!$L$242:$Q$242))</f>
        <v>-1193348.2358680533</v>
      </c>
      <c r="Q265" s="171">
        <f>-45327263*'7a. LX_AG-i'!Q$242/(SUM('7a. LX_AG-i'!$L$242:$Q$242))</f>
        <v>0</v>
      </c>
      <c r="R265" s="468"/>
      <c r="S265" s="62">
        <f t="shared" si="81"/>
        <v>-66943275.620901577</v>
      </c>
      <c r="T265" s="468">
        <f t="shared" si="83"/>
        <v>-0.45909839123487473</v>
      </c>
      <c r="V265" s="4"/>
      <c r="W265" s="4"/>
    </row>
    <row r="266" spans="1:23" x14ac:dyDescent="0.3">
      <c r="A266" s="465" t="s">
        <v>1179</v>
      </c>
      <c r="B266" s="501" t="s">
        <v>1169</v>
      </c>
      <c r="C266" s="121" t="s">
        <v>1199</v>
      </c>
      <c r="D266" s="171">
        <v>-10750950.840000002</v>
      </c>
      <c r="E266" s="171"/>
      <c r="F266" s="171">
        <f>D266+E266</f>
        <v>-10750950.840000002</v>
      </c>
      <c r="G266" s="171">
        <v>-240827.72091469573</v>
      </c>
      <c r="H266" s="171">
        <f t="shared" si="79"/>
        <v>-10510123.119085306</v>
      </c>
      <c r="I266" s="468">
        <f t="shared" si="80"/>
        <v>-10510123.119085306</v>
      </c>
      <c r="J266" s="171">
        <v>-1244552.2902823908</v>
      </c>
      <c r="K266" s="171">
        <v>-1684605.235616056</v>
      </c>
      <c r="L266" s="171">
        <f>-7580966*'7a. LX_AG-i'!L$242/(SUM('7a. LX_AG-i'!$L$242:$Q$242))</f>
        <v>-4668691.0670658592</v>
      </c>
      <c r="M266" s="171">
        <f>-7580966*'7a. LX_AG-i'!M$242/(SUM('7a. LX_AG-i'!$L$242:$Q$242))</f>
        <v>-1030962.5037142884</v>
      </c>
      <c r="N266" s="171">
        <f>-7580966*'7a. LX_AG-i'!N$242/(SUM('7a. LX_AG-i'!$L$242:$Q$242))</f>
        <v>-275361.80120798264</v>
      </c>
      <c r="O266" s="171">
        <f>-7580966*'7a. LX_AG-i'!O$242/(SUM('7a. LX_AG-i'!$L$242:$Q$242))</f>
        <v>-1406363.6288525402</v>
      </c>
      <c r="P266" s="171">
        <f>-7580966*'7a. LX_AG-i'!P$242/(SUM('7a. LX_AG-i'!$L$242:$Q$242))</f>
        <v>-199586.99915932916</v>
      </c>
      <c r="Q266" s="171">
        <f>-7580966*'7a. LX_AG-i'!Q$242/(SUM('7a. LX_AG-i'!$L$242:$Q$242))</f>
        <v>0</v>
      </c>
      <c r="R266" s="468"/>
      <c r="S266" s="62">
        <f t="shared" si="81"/>
        <v>-10510123.525898445</v>
      </c>
      <c r="T266" s="468">
        <f t="shared" si="83"/>
        <v>0.40681313909590244</v>
      </c>
    </row>
    <row r="267" spans="1:23" x14ac:dyDescent="0.3">
      <c r="A267" s="62"/>
      <c r="B267" s="62"/>
      <c r="C267" s="489"/>
      <c r="D267" s="171"/>
      <c r="E267" s="171"/>
      <c r="F267" s="171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</row>
    <row r="268" spans="1:23" x14ac:dyDescent="0.3">
      <c r="A268" s="499" t="s">
        <v>491</v>
      </c>
      <c r="B268" s="62"/>
      <c r="C268" s="489"/>
      <c r="D268" s="171">
        <f t="shared" ref="D268" si="84">SUM(D257:D266)</f>
        <v>-281015052.55000001</v>
      </c>
      <c r="E268" s="171">
        <f t="shared" ref="E268:Q268" si="85">SUM(E257:E266)</f>
        <v>0</v>
      </c>
      <c r="F268" s="171">
        <f t="shared" si="85"/>
        <v>-281015052.55000001</v>
      </c>
      <c r="G268" s="171">
        <f t="shared" si="85"/>
        <v>-10196077.939673925</v>
      </c>
      <c r="H268" s="171">
        <f t="shared" si="85"/>
        <v>-270818974.61032617</v>
      </c>
      <c r="I268" s="171">
        <f t="shared" si="85"/>
        <v>-270818974.61032617</v>
      </c>
      <c r="J268" s="171">
        <f t="shared" si="85"/>
        <v>-119250865.97489965</v>
      </c>
      <c r="K268" s="171">
        <f t="shared" si="85"/>
        <v>-36453559.742137402</v>
      </c>
      <c r="L268" s="171">
        <f t="shared" si="85"/>
        <v>-70892584.305787191</v>
      </c>
      <c r="M268" s="171">
        <f t="shared" si="85"/>
        <v>-15654836.689934189</v>
      </c>
      <c r="N268" s="171">
        <f t="shared" si="85"/>
        <v>-4181281.0970589197</v>
      </c>
      <c r="O268" s="171">
        <f t="shared" si="85"/>
        <v>-21355183.003291029</v>
      </c>
      <c r="P268" s="171">
        <f t="shared" si="85"/>
        <v>-3030664.9039286757</v>
      </c>
      <c r="Q268" s="171">
        <f t="shared" si="85"/>
        <v>0</v>
      </c>
      <c r="R268" s="171"/>
      <c r="S268" s="62">
        <f>SUM(J268:Q268)</f>
        <v>-270818975.71703708</v>
      </c>
      <c r="T268" s="468">
        <f>I268-S268</f>
        <v>1.1067109107971191</v>
      </c>
    </row>
    <row r="269" spans="1:23" x14ac:dyDescent="0.3">
      <c r="A269" s="498"/>
      <c r="B269" s="62"/>
      <c r="C269" s="489"/>
      <c r="D269" s="171"/>
      <c r="E269" s="171"/>
      <c r="F269" s="171"/>
      <c r="G269" s="62"/>
      <c r="H269" s="468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</row>
    <row r="270" spans="1:23" x14ac:dyDescent="0.3">
      <c r="A270" s="498"/>
      <c r="B270" s="62"/>
      <c r="C270" s="489"/>
      <c r="D270" s="171"/>
      <c r="E270" s="171"/>
      <c r="F270" s="171"/>
      <c r="G270" s="62"/>
      <c r="H270" s="468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</row>
    <row r="271" spans="1:23" x14ac:dyDescent="0.3">
      <c r="A271" s="463" t="s">
        <v>492</v>
      </c>
      <c r="B271" s="62"/>
      <c r="C271" s="489"/>
      <c r="D271" s="171"/>
      <c r="E271" s="171"/>
      <c r="F271" s="171"/>
      <c r="G271" s="62"/>
      <c r="H271" s="468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</row>
    <row r="272" spans="1:23" x14ac:dyDescent="0.3">
      <c r="A272" s="62"/>
      <c r="B272" s="62"/>
      <c r="C272" s="489"/>
      <c r="D272" s="171"/>
      <c r="E272" s="171"/>
      <c r="F272" s="171"/>
      <c r="G272" s="62"/>
      <c r="H272" s="468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</row>
    <row r="273" spans="1:20" x14ac:dyDescent="0.3">
      <c r="A273" s="62" t="s">
        <v>493</v>
      </c>
      <c r="B273" s="62" t="s">
        <v>102</v>
      </c>
      <c r="C273" s="489"/>
      <c r="D273" s="171">
        <v>0</v>
      </c>
      <c r="E273" s="171"/>
      <c r="F273" s="171">
        <f>D273+E273</f>
        <v>0</v>
      </c>
      <c r="G273" s="62"/>
      <c r="H273" s="171">
        <f>F273-G273</f>
        <v>0</v>
      </c>
      <c r="I273" s="171">
        <f>H273</f>
        <v>0</v>
      </c>
      <c r="J273" s="171">
        <f>$I273*'7a. LX_AG-i'!J$242/'7a. LX_AG-i'!$I$242</f>
        <v>0</v>
      </c>
      <c r="K273" s="171">
        <f>$I273*'7a. LX_AG-i'!K$242/'7a. LX_AG-i'!$I$242</f>
        <v>0</v>
      </c>
      <c r="L273" s="171">
        <f>$I273*'7a. LX_AG-i'!L$242/'7a. LX_AG-i'!$I$242</f>
        <v>0</v>
      </c>
      <c r="M273" s="171">
        <f>$I273*'7a. LX_AG-i'!M$242/'7a. LX_AG-i'!$I$242</f>
        <v>0</v>
      </c>
      <c r="N273" s="171">
        <f>$I273*'7a. LX_AG-i'!N$242/'7a. LX_AG-i'!$I$242</f>
        <v>0</v>
      </c>
      <c r="O273" s="171">
        <f>$I273*'7a. LX_AG-i'!O$242/'7a. LX_AG-i'!$I$242</f>
        <v>0</v>
      </c>
      <c r="P273" s="171">
        <f>$I273*'7a. LX_AG-i'!P$242/'7a. LX_AG-i'!$I$242</f>
        <v>0</v>
      </c>
      <c r="Q273" s="171">
        <f>$I273*'7a. LX_AG-i'!Q$242/'7a. LX_AG-i'!$I$242</f>
        <v>0</v>
      </c>
      <c r="R273" s="468"/>
      <c r="S273" s="62">
        <f>SUM(J273:Q273)</f>
        <v>0</v>
      </c>
      <c r="T273" s="468">
        <f>I273-S273</f>
        <v>0</v>
      </c>
    </row>
    <row r="274" spans="1:20" x14ac:dyDescent="0.3">
      <c r="A274" s="62"/>
      <c r="B274" s="62" t="s">
        <v>103</v>
      </c>
      <c r="C274" s="489"/>
      <c r="D274" s="171">
        <v>0</v>
      </c>
      <c r="E274" s="171"/>
      <c r="F274" s="171">
        <f>D274+E274</f>
        <v>0</v>
      </c>
      <c r="G274" s="62"/>
      <c r="H274" s="171">
        <f>F274-G274</f>
        <v>0</v>
      </c>
      <c r="I274" s="171">
        <f>H274</f>
        <v>0</v>
      </c>
      <c r="J274" s="171">
        <v>0</v>
      </c>
      <c r="K274" s="171"/>
      <c r="L274" s="171"/>
      <c r="M274" s="171"/>
      <c r="N274" s="171"/>
      <c r="O274" s="171"/>
      <c r="P274" s="171"/>
      <c r="Q274" s="171"/>
      <c r="R274" s="468"/>
      <c r="S274" s="62">
        <f>SUM(J274:Q274)</f>
        <v>0</v>
      </c>
      <c r="T274" s="468">
        <f>I274-S274</f>
        <v>0</v>
      </c>
    </row>
    <row r="275" spans="1:20" x14ac:dyDescent="0.3">
      <c r="A275" s="62"/>
      <c r="B275" s="62"/>
      <c r="C275" s="489"/>
      <c r="D275" s="171"/>
      <c r="E275" s="171"/>
      <c r="F275" s="171"/>
      <c r="G275" s="62"/>
      <c r="H275" s="468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</row>
    <row r="276" spans="1:20" x14ac:dyDescent="0.3">
      <c r="A276" s="499" t="s">
        <v>494</v>
      </c>
      <c r="B276" s="62"/>
      <c r="C276" s="489"/>
      <c r="D276" s="171">
        <f>SUM(D273:D275)</f>
        <v>0</v>
      </c>
      <c r="E276" s="171">
        <f t="shared" ref="E276:L276" si="86">SUM(E273:E275)</f>
        <v>0</v>
      </c>
      <c r="F276" s="171">
        <f t="shared" si="86"/>
        <v>0</v>
      </c>
      <c r="G276" s="171">
        <f t="shared" si="86"/>
        <v>0</v>
      </c>
      <c r="H276" s="171">
        <f t="shared" si="86"/>
        <v>0</v>
      </c>
      <c r="I276" s="171">
        <f t="shared" si="86"/>
        <v>0</v>
      </c>
      <c r="J276" s="171">
        <f t="shared" si="86"/>
        <v>0</v>
      </c>
      <c r="K276" s="171">
        <f>SUM(K273:K275)</f>
        <v>0</v>
      </c>
      <c r="L276" s="171">
        <f t="shared" si="86"/>
        <v>0</v>
      </c>
      <c r="M276" s="171">
        <f>SUM(M273:M275)</f>
        <v>0</v>
      </c>
      <c r="N276" s="171">
        <f>SUM(N273:N275)</f>
        <v>0</v>
      </c>
      <c r="O276" s="171">
        <f>SUM(O273:O275)</f>
        <v>0</v>
      </c>
      <c r="P276" s="171">
        <f>SUM(P273:P275)</f>
        <v>0</v>
      </c>
      <c r="Q276" s="171">
        <f>SUM(Q273:Q275)</f>
        <v>0</v>
      </c>
      <c r="R276" s="171"/>
      <c r="S276" s="62"/>
      <c r="T276" s="62"/>
    </row>
    <row r="277" spans="1:20" x14ac:dyDescent="0.3">
      <c r="A277" s="498"/>
      <c r="B277" s="62"/>
      <c r="C277" s="489"/>
      <c r="D277" s="171"/>
      <c r="E277" s="171"/>
      <c r="F277" s="171"/>
      <c r="G277" s="62"/>
      <c r="H277" s="468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</row>
    <row r="278" spans="1:20" s="1" customFormat="1" x14ac:dyDescent="0.3">
      <c r="A278" s="463" t="s">
        <v>500</v>
      </c>
      <c r="B278" s="62"/>
      <c r="C278" s="489"/>
      <c r="D278" s="171">
        <f>D234+D253+D268+D276</f>
        <v>-6353528727.7400007</v>
      </c>
      <c r="E278" s="171">
        <f t="shared" ref="E278:Q278" si="87">E234+E253+E268+E276</f>
        <v>0</v>
      </c>
      <c r="F278" s="171">
        <f t="shared" si="87"/>
        <v>-6353528727.7400007</v>
      </c>
      <c r="G278" s="171">
        <f t="shared" si="87"/>
        <v>-366284277.84967381</v>
      </c>
      <c r="H278" s="171">
        <f t="shared" si="87"/>
        <v>-5987244449.8903265</v>
      </c>
      <c r="I278" s="171">
        <f t="shared" si="87"/>
        <v>-5987244449.8903265</v>
      </c>
      <c r="J278" s="171">
        <f t="shared" si="87"/>
        <v>-4061893586.6431398</v>
      </c>
      <c r="K278" s="171">
        <f t="shared" si="87"/>
        <v>-353692609.35574472</v>
      </c>
      <c r="L278" s="171">
        <f t="shared" si="87"/>
        <v>-1483424955.3839395</v>
      </c>
      <c r="M278" s="171">
        <f t="shared" si="87"/>
        <v>-59666170.609934188</v>
      </c>
      <c r="N278" s="171">
        <f t="shared" si="87"/>
        <v>-4181281.0970589197</v>
      </c>
      <c r="O278" s="171">
        <f t="shared" si="87"/>
        <v>-21355183.003291029</v>
      </c>
      <c r="P278" s="171">
        <f t="shared" si="87"/>
        <v>-3030664.9039286757</v>
      </c>
      <c r="Q278" s="171">
        <f t="shared" si="87"/>
        <v>0</v>
      </c>
      <c r="R278" s="171"/>
      <c r="S278" s="62">
        <f>SUM(J278:Q278)</f>
        <v>-5987244450.9970369</v>
      </c>
      <c r="T278" s="468">
        <f>I278-S278</f>
        <v>1.1067104339599609</v>
      </c>
    </row>
    <row r="279" spans="1:20" s="1" customFormat="1" x14ac:dyDescent="0.3">
      <c r="A279" s="62"/>
      <c r="B279" s="62"/>
      <c r="C279" s="489"/>
      <c r="D279" s="171"/>
      <c r="E279" s="171"/>
      <c r="F279" s="171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</row>
    <row r="280" spans="1:20" s="1" customFormat="1" x14ac:dyDescent="0.3">
      <c r="A280" s="62"/>
      <c r="B280" s="62"/>
      <c r="C280" s="489"/>
      <c r="D280" s="171"/>
      <c r="E280" s="171"/>
      <c r="F280" s="171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</row>
    <row r="281" spans="1:20" s="1" customFormat="1" x14ac:dyDescent="0.3">
      <c r="A281" s="499" t="s">
        <v>811</v>
      </c>
      <c r="B281" s="62"/>
      <c r="C281" s="489"/>
      <c r="D281" s="171"/>
      <c r="E281" s="171"/>
      <c r="F281" s="171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</row>
    <row r="282" spans="1:20" s="1" customFormat="1" x14ac:dyDescent="0.3">
      <c r="A282" s="499"/>
      <c r="B282" s="62"/>
      <c r="C282" s="489"/>
      <c r="D282" s="171"/>
      <c r="E282" s="171"/>
      <c r="F282" s="171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</row>
    <row r="283" spans="1:20" s="1" customFormat="1" x14ac:dyDescent="0.3">
      <c r="A283" s="499" t="s">
        <v>1142</v>
      </c>
      <c r="B283" s="62"/>
      <c r="C283" s="489"/>
      <c r="D283" s="171"/>
      <c r="E283" s="171"/>
      <c r="F283" s="171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</row>
    <row r="284" spans="1:20" s="1" customFormat="1" x14ac:dyDescent="0.3">
      <c r="A284" s="499" t="s">
        <v>1143</v>
      </c>
      <c r="B284" s="62" t="s">
        <v>1144</v>
      </c>
      <c r="C284" s="489"/>
      <c r="D284" s="678"/>
      <c r="E284" s="678"/>
      <c r="F284" s="678"/>
      <c r="G284" s="678"/>
      <c r="H284" s="678"/>
      <c r="I284" s="678"/>
      <c r="J284" s="678"/>
      <c r="K284" s="678"/>
      <c r="L284" s="678"/>
      <c r="M284" s="678"/>
      <c r="N284" s="678"/>
      <c r="O284" s="678"/>
      <c r="P284" s="678"/>
      <c r="Q284" s="678"/>
      <c r="R284" s="171"/>
      <c r="S284" s="62">
        <f t="shared" ref="S284:S286" si="88">SUM(J284:Q284)</f>
        <v>0</v>
      </c>
      <c r="T284" s="468">
        <f t="shared" ref="T284:T286" si="89">I284-S284</f>
        <v>0</v>
      </c>
    </row>
    <row r="285" spans="1:20" s="1" customFormat="1" x14ac:dyDescent="0.3">
      <c r="A285" s="499" t="s">
        <v>1145</v>
      </c>
      <c r="B285" s="62" t="s">
        <v>1146</v>
      </c>
      <c r="C285" s="489"/>
      <c r="D285" s="678"/>
      <c r="E285" s="678"/>
      <c r="F285" s="678"/>
      <c r="G285" s="678"/>
      <c r="H285" s="678"/>
      <c r="I285" s="678"/>
      <c r="J285" s="678"/>
      <c r="K285" s="678"/>
      <c r="L285" s="678"/>
      <c r="M285" s="678"/>
      <c r="N285" s="678"/>
      <c r="O285" s="678"/>
      <c r="P285" s="678"/>
      <c r="Q285" s="678"/>
      <c r="R285" s="171"/>
      <c r="S285" s="62">
        <f t="shared" si="88"/>
        <v>0</v>
      </c>
      <c r="T285" s="468">
        <f t="shared" si="89"/>
        <v>0</v>
      </c>
    </row>
    <row r="286" spans="1:20" s="1" customFormat="1" x14ac:dyDescent="0.3">
      <c r="A286" s="499" t="s">
        <v>1147</v>
      </c>
      <c r="B286" s="62" t="s">
        <v>1148</v>
      </c>
      <c r="C286" s="489"/>
      <c r="D286" s="678"/>
      <c r="E286" s="678"/>
      <c r="F286" s="678"/>
      <c r="G286" s="678"/>
      <c r="H286" s="678"/>
      <c r="I286" s="678"/>
      <c r="J286" s="678"/>
      <c r="K286" s="678"/>
      <c r="L286" s="678"/>
      <c r="M286" s="678"/>
      <c r="N286" s="678"/>
      <c r="O286" s="678"/>
      <c r="P286" s="678"/>
      <c r="Q286" s="678"/>
      <c r="R286" s="171"/>
      <c r="S286" s="62">
        <f t="shared" si="88"/>
        <v>0</v>
      </c>
      <c r="T286" s="468">
        <f t="shared" si="89"/>
        <v>0</v>
      </c>
    </row>
    <row r="287" spans="1:20" s="1" customFormat="1" x14ac:dyDescent="0.3">
      <c r="A287" s="499"/>
      <c r="B287" s="62"/>
      <c r="C287" s="489"/>
      <c r="D287" s="678"/>
      <c r="E287" s="678"/>
      <c r="F287" s="678"/>
      <c r="G287" s="677"/>
      <c r="H287" s="677"/>
      <c r="I287" s="677"/>
      <c r="J287" s="677"/>
      <c r="K287" s="677"/>
      <c r="L287" s="677"/>
      <c r="M287" s="677"/>
      <c r="N287" s="677"/>
      <c r="O287" s="677"/>
      <c r="P287" s="677"/>
      <c r="Q287" s="677"/>
      <c r="R287" s="62"/>
      <c r="S287" s="62"/>
      <c r="T287" s="62"/>
    </row>
    <row r="288" spans="1:20" s="1" customFormat="1" x14ac:dyDescent="0.3">
      <c r="A288" s="498"/>
      <c r="B288" s="62" t="s">
        <v>1149</v>
      </c>
      <c r="C288" s="489"/>
      <c r="D288" s="678"/>
      <c r="E288" s="678"/>
      <c r="F288" s="678"/>
      <c r="G288" s="678"/>
      <c r="H288" s="678"/>
      <c r="I288" s="678"/>
      <c r="J288" s="678"/>
      <c r="K288" s="678"/>
      <c r="L288" s="678"/>
      <c r="M288" s="678"/>
      <c r="N288" s="678"/>
      <c r="O288" s="678"/>
      <c r="P288" s="678"/>
      <c r="Q288" s="678"/>
      <c r="R288" s="62"/>
      <c r="S288" s="62">
        <f t="shared" ref="S288" si="90">SUM(J288:Q288)</f>
        <v>0</v>
      </c>
      <c r="T288" s="468">
        <f t="shared" ref="T288" si="91">I288-S288</f>
        <v>0</v>
      </c>
    </row>
    <row r="289" spans="1:20" s="1" customFormat="1" x14ac:dyDescent="0.3">
      <c r="A289" s="498"/>
      <c r="B289" s="62"/>
      <c r="C289" s="489"/>
      <c r="D289" s="678"/>
      <c r="E289" s="678"/>
      <c r="F289" s="678"/>
      <c r="G289" s="677"/>
      <c r="H289" s="677"/>
      <c r="I289" s="677"/>
      <c r="J289" s="677"/>
      <c r="K289" s="677"/>
      <c r="L289" s="677"/>
      <c r="M289" s="677"/>
      <c r="N289" s="677"/>
      <c r="O289" s="677"/>
      <c r="P289" s="677"/>
      <c r="Q289" s="677"/>
      <c r="R289" s="62"/>
      <c r="S289" s="62"/>
      <c r="T289" s="62"/>
    </row>
    <row r="290" spans="1:20" s="1" customFormat="1" x14ac:dyDescent="0.3">
      <c r="A290" s="463" t="s">
        <v>370</v>
      </c>
      <c r="B290" s="62"/>
      <c r="C290" s="489"/>
      <c r="D290" s="678"/>
      <c r="E290" s="678"/>
      <c r="F290" s="678"/>
      <c r="G290" s="677"/>
      <c r="H290" s="677"/>
      <c r="I290" s="677"/>
      <c r="J290" s="677"/>
      <c r="K290" s="677"/>
      <c r="L290" s="677"/>
      <c r="M290" s="677"/>
      <c r="N290" s="677"/>
      <c r="O290" s="677"/>
      <c r="P290" s="677"/>
      <c r="Q290" s="677"/>
      <c r="R290" s="62"/>
      <c r="S290" s="62"/>
      <c r="T290" s="62"/>
    </row>
    <row r="291" spans="1:20" s="1" customFormat="1" x14ac:dyDescent="0.3">
      <c r="A291" s="498" t="s">
        <v>371</v>
      </c>
      <c r="B291" s="62" t="s">
        <v>372</v>
      </c>
      <c r="C291" s="489"/>
      <c r="D291" s="678"/>
      <c r="E291" s="678"/>
      <c r="F291" s="678"/>
      <c r="G291" s="678"/>
      <c r="H291" s="678"/>
      <c r="I291" s="678"/>
      <c r="J291" s="678"/>
      <c r="K291" s="678"/>
      <c r="L291" s="678"/>
      <c r="M291" s="678"/>
      <c r="N291" s="678"/>
      <c r="O291" s="678"/>
      <c r="P291" s="678"/>
      <c r="Q291" s="678"/>
      <c r="R291" s="171"/>
      <c r="S291" s="62">
        <f t="shared" ref="S291:S297" si="92">SUM(J291:Q291)</f>
        <v>0</v>
      </c>
      <c r="T291" s="468">
        <f t="shared" ref="T291:T297" si="93">I291-S291</f>
        <v>0</v>
      </c>
    </row>
    <row r="292" spans="1:20" s="1" customFormat="1" x14ac:dyDescent="0.3">
      <c r="A292" s="498" t="s">
        <v>373</v>
      </c>
      <c r="B292" s="498" t="s">
        <v>374</v>
      </c>
      <c r="C292" s="512"/>
      <c r="D292" s="678"/>
      <c r="E292" s="678"/>
      <c r="F292" s="678"/>
      <c r="G292" s="678"/>
      <c r="H292" s="678"/>
      <c r="I292" s="678"/>
      <c r="J292" s="678"/>
      <c r="K292" s="678"/>
      <c r="L292" s="678"/>
      <c r="M292" s="678"/>
      <c r="N292" s="678"/>
      <c r="O292" s="678"/>
      <c r="P292" s="678"/>
      <c r="Q292" s="678"/>
      <c r="R292" s="171"/>
      <c r="S292" s="62">
        <f t="shared" si="92"/>
        <v>0</v>
      </c>
      <c r="T292" s="468">
        <f t="shared" si="93"/>
        <v>0</v>
      </c>
    </row>
    <row r="293" spans="1:20" s="1" customFormat="1" x14ac:dyDescent="0.3">
      <c r="A293" s="498" t="s">
        <v>375</v>
      </c>
      <c r="B293" s="498" t="s">
        <v>376</v>
      </c>
      <c r="C293" s="512"/>
      <c r="D293" s="678"/>
      <c r="E293" s="678"/>
      <c r="F293" s="678"/>
      <c r="G293" s="678"/>
      <c r="H293" s="678"/>
      <c r="I293" s="678"/>
      <c r="J293" s="678"/>
      <c r="K293" s="678"/>
      <c r="L293" s="678"/>
      <c r="M293" s="678"/>
      <c r="N293" s="678"/>
      <c r="O293" s="678"/>
      <c r="P293" s="678"/>
      <c r="Q293" s="678"/>
      <c r="R293" s="171"/>
      <c r="S293" s="62">
        <f t="shared" si="92"/>
        <v>0</v>
      </c>
      <c r="T293" s="468">
        <f t="shared" si="93"/>
        <v>0</v>
      </c>
    </row>
    <row r="294" spans="1:20" s="1" customFormat="1" x14ac:dyDescent="0.3">
      <c r="A294" s="498" t="s">
        <v>377</v>
      </c>
      <c r="B294" s="62" t="s">
        <v>378</v>
      </c>
      <c r="C294" s="489"/>
      <c r="D294" s="678"/>
      <c r="E294" s="678"/>
      <c r="F294" s="678"/>
      <c r="G294" s="678"/>
      <c r="H294" s="678"/>
      <c r="I294" s="678"/>
      <c r="J294" s="678"/>
      <c r="K294" s="678"/>
      <c r="L294" s="678"/>
      <c r="M294" s="678"/>
      <c r="N294" s="678"/>
      <c r="O294" s="678"/>
      <c r="P294" s="678"/>
      <c r="Q294" s="678"/>
      <c r="R294" s="171"/>
      <c r="S294" s="62">
        <f t="shared" si="92"/>
        <v>0</v>
      </c>
      <c r="T294" s="468">
        <f t="shared" si="93"/>
        <v>0</v>
      </c>
    </row>
    <row r="295" spans="1:20" s="1" customFormat="1" x14ac:dyDescent="0.3">
      <c r="A295" s="498" t="s">
        <v>379</v>
      </c>
      <c r="B295" s="62" t="s">
        <v>380</v>
      </c>
      <c r="C295" s="489"/>
      <c r="D295" s="678"/>
      <c r="E295" s="678"/>
      <c r="F295" s="678"/>
      <c r="G295" s="678"/>
      <c r="H295" s="678"/>
      <c r="I295" s="678"/>
      <c r="J295" s="678"/>
      <c r="K295" s="678"/>
      <c r="L295" s="678"/>
      <c r="M295" s="678"/>
      <c r="N295" s="678"/>
      <c r="O295" s="678"/>
      <c r="P295" s="678"/>
      <c r="Q295" s="678"/>
      <c r="R295" s="171"/>
      <c r="S295" s="62">
        <f t="shared" si="92"/>
        <v>0</v>
      </c>
      <c r="T295" s="468">
        <f t="shared" si="93"/>
        <v>0</v>
      </c>
    </row>
    <row r="296" spans="1:20" s="1" customFormat="1" x14ac:dyDescent="0.3">
      <c r="A296" s="498" t="s">
        <v>381</v>
      </c>
      <c r="B296" s="62" t="s">
        <v>382</v>
      </c>
      <c r="C296" s="489"/>
      <c r="D296" s="678"/>
      <c r="E296" s="678"/>
      <c r="F296" s="678"/>
      <c r="G296" s="678"/>
      <c r="H296" s="678"/>
      <c r="I296" s="678"/>
      <c r="J296" s="678"/>
      <c r="K296" s="678"/>
      <c r="L296" s="678"/>
      <c r="M296" s="678"/>
      <c r="N296" s="678"/>
      <c r="O296" s="678"/>
      <c r="P296" s="678"/>
      <c r="Q296" s="678"/>
      <c r="R296" s="171"/>
      <c r="S296" s="62">
        <f t="shared" si="92"/>
        <v>0</v>
      </c>
      <c r="T296" s="468">
        <f t="shared" si="93"/>
        <v>0</v>
      </c>
    </row>
    <row r="297" spans="1:20" s="1" customFormat="1" x14ac:dyDescent="0.3">
      <c r="A297" s="498" t="s">
        <v>383</v>
      </c>
      <c r="B297" s="62" t="s">
        <v>384</v>
      </c>
      <c r="C297" s="489"/>
      <c r="D297" s="678"/>
      <c r="E297" s="678"/>
      <c r="F297" s="678"/>
      <c r="G297" s="678"/>
      <c r="H297" s="678"/>
      <c r="I297" s="678"/>
      <c r="J297" s="678"/>
      <c r="K297" s="678"/>
      <c r="L297" s="678"/>
      <c r="M297" s="678"/>
      <c r="N297" s="678"/>
      <c r="O297" s="678"/>
      <c r="P297" s="678"/>
      <c r="Q297" s="678"/>
      <c r="R297" s="171"/>
      <c r="S297" s="62">
        <f t="shared" si="92"/>
        <v>0</v>
      </c>
      <c r="T297" s="468">
        <f t="shared" si="93"/>
        <v>0</v>
      </c>
    </row>
    <row r="298" spans="1:20" s="1" customFormat="1" x14ac:dyDescent="0.3">
      <c r="A298" s="62"/>
      <c r="B298" s="62"/>
      <c r="C298" s="489"/>
      <c r="D298" s="678"/>
      <c r="E298" s="678"/>
      <c r="F298" s="678"/>
      <c r="G298" s="677"/>
      <c r="H298" s="678"/>
      <c r="I298" s="677"/>
      <c r="J298" s="677"/>
      <c r="K298" s="677"/>
      <c r="L298" s="677"/>
      <c r="M298" s="677"/>
      <c r="N298" s="677"/>
      <c r="O298" s="677"/>
      <c r="P298" s="677"/>
      <c r="Q298" s="677"/>
      <c r="R298" s="62"/>
      <c r="S298" s="62"/>
      <c r="T298" s="62"/>
    </row>
    <row r="299" spans="1:20" s="1" customFormat="1" x14ac:dyDescent="0.3">
      <c r="A299" s="62"/>
      <c r="B299" s="62" t="s">
        <v>385</v>
      </c>
      <c r="C299" s="489"/>
      <c r="D299" s="678"/>
      <c r="E299" s="678"/>
      <c r="F299" s="678"/>
      <c r="G299" s="677"/>
      <c r="H299" s="678"/>
      <c r="I299" s="678"/>
      <c r="J299" s="678"/>
      <c r="K299" s="678"/>
      <c r="L299" s="678"/>
      <c r="M299" s="678"/>
      <c r="N299" s="678"/>
      <c r="O299" s="678"/>
      <c r="P299" s="678"/>
      <c r="Q299" s="678"/>
      <c r="R299" s="171"/>
      <c r="S299" s="62">
        <f>SUM(J299:Q299)</f>
        <v>0</v>
      </c>
      <c r="T299" s="468">
        <f>I299-S299</f>
        <v>0</v>
      </c>
    </row>
    <row r="300" spans="1:20" s="1" customFormat="1" x14ac:dyDescent="0.3">
      <c r="A300" s="62"/>
      <c r="B300" s="62"/>
      <c r="C300" s="489"/>
      <c r="D300" s="678"/>
      <c r="E300" s="678"/>
      <c r="F300" s="678"/>
      <c r="G300" s="677"/>
      <c r="H300" s="677"/>
      <c r="I300" s="677"/>
      <c r="J300" s="677"/>
      <c r="K300" s="677"/>
      <c r="L300" s="677"/>
      <c r="M300" s="677"/>
      <c r="N300" s="677"/>
      <c r="O300" s="677"/>
      <c r="P300" s="677"/>
      <c r="Q300" s="677"/>
      <c r="R300" s="62"/>
      <c r="S300" s="62"/>
      <c r="T300" s="468"/>
    </row>
    <row r="301" spans="1:20" s="1" customFormat="1" x14ac:dyDescent="0.3">
      <c r="A301" s="463" t="s">
        <v>386</v>
      </c>
      <c r="B301" s="62"/>
      <c r="C301" s="489"/>
      <c r="D301" s="678"/>
      <c r="E301" s="678"/>
      <c r="F301" s="678"/>
      <c r="G301" s="677"/>
      <c r="H301" s="677"/>
      <c r="I301" s="677"/>
      <c r="J301" s="677"/>
      <c r="K301" s="677"/>
      <c r="L301" s="677"/>
      <c r="M301" s="677"/>
      <c r="N301" s="677"/>
      <c r="O301" s="677"/>
      <c r="P301" s="677"/>
      <c r="Q301" s="677"/>
      <c r="R301" s="62"/>
      <c r="S301" s="62"/>
      <c r="T301" s="62"/>
    </row>
    <row r="302" spans="1:20" s="1" customFormat="1" x14ac:dyDescent="0.3">
      <c r="A302" s="500" t="s">
        <v>387</v>
      </c>
      <c r="B302" s="501" t="s">
        <v>372</v>
      </c>
      <c r="C302" s="489"/>
      <c r="D302" s="678"/>
      <c r="E302" s="678"/>
      <c r="F302" s="678"/>
      <c r="G302" s="678"/>
      <c r="H302" s="678"/>
      <c r="I302" s="678"/>
      <c r="J302" s="678"/>
      <c r="K302" s="678"/>
      <c r="L302" s="678"/>
      <c r="M302" s="678"/>
      <c r="N302" s="678"/>
      <c r="O302" s="678"/>
      <c r="P302" s="678"/>
      <c r="Q302" s="678"/>
      <c r="R302" s="171"/>
      <c r="S302" s="62">
        <f t="shared" ref="S302:S307" si="94">SUM(J302:Q302)</f>
        <v>0</v>
      </c>
      <c r="T302" s="468">
        <f t="shared" ref="T302:T309" si="95">I302-S302</f>
        <v>0</v>
      </c>
    </row>
    <row r="303" spans="1:20" s="1" customFormat="1" x14ac:dyDescent="0.3">
      <c r="A303" s="500" t="s">
        <v>388</v>
      </c>
      <c r="B303" s="502" t="s">
        <v>374</v>
      </c>
      <c r="C303" s="512"/>
      <c r="D303" s="678"/>
      <c r="E303" s="678"/>
      <c r="F303" s="678"/>
      <c r="G303" s="678"/>
      <c r="H303" s="678"/>
      <c r="I303" s="678"/>
      <c r="J303" s="678"/>
      <c r="K303" s="678"/>
      <c r="L303" s="678"/>
      <c r="M303" s="678"/>
      <c r="N303" s="678"/>
      <c r="O303" s="678"/>
      <c r="P303" s="678"/>
      <c r="Q303" s="678"/>
      <c r="R303" s="171"/>
      <c r="S303" s="62">
        <f t="shared" si="94"/>
        <v>0</v>
      </c>
      <c r="T303" s="468">
        <f t="shared" si="95"/>
        <v>0</v>
      </c>
    </row>
    <row r="304" spans="1:20" s="1" customFormat="1" x14ac:dyDescent="0.3">
      <c r="A304" s="500" t="s">
        <v>389</v>
      </c>
      <c r="B304" s="502" t="s">
        <v>390</v>
      </c>
      <c r="C304" s="512"/>
      <c r="D304" s="678"/>
      <c r="E304" s="678"/>
      <c r="F304" s="678"/>
      <c r="G304" s="678"/>
      <c r="H304" s="678"/>
      <c r="I304" s="678"/>
      <c r="J304" s="678"/>
      <c r="K304" s="678"/>
      <c r="L304" s="678"/>
      <c r="M304" s="678"/>
      <c r="N304" s="678"/>
      <c r="O304" s="678"/>
      <c r="P304" s="678"/>
      <c r="Q304" s="678"/>
      <c r="R304" s="171"/>
      <c r="S304" s="62">
        <f t="shared" si="94"/>
        <v>0</v>
      </c>
      <c r="T304" s="468">
        <f t="shared" si="95"/>
        <v>0</v>
      </c>
    </row>
    <row r="305" spans="1:28" s="1" customFormat="1" x14ac:dyDescent="0.3">
      <c r="A305" s="500" t="s">
        <v>391</v>
      </c>
      <c r="B305" s="501" t="s">
        <v>378</v>
      </c>
      <c r="C305" s="489"/>
      <c r="D305" s="678"/>
      <c r="E305" s="678"/>
      <c r="F305" s="678"/>
      <c r="G305" s="678"/>
      <c r="H305" s="678"/>
      <c r="I305" s="678"/>
      <c r="J305" s="678"/>
      <c r="K305" s="678"/>
      <c r="L305" s="678"/>
      <c r="M305" s="678"/>
      <c r="N305" s="678"/>
      <c r="O305" s="678"/>
      <c r="P305" s="678"/>
      <c r="Q305" s="678"/>
      <c r="R305" s="171"/>
      <c r="S305" s="62">
        <f t="shared" si="94"/>
        <v>0</v>
      </c>
      <c r="T305" s="468">
        <f t="shared" si="95"/>
        <v>0</v>
      </c>
    </row>
    <row r="306" spans="1:28" s="1" customFormat="1" x14ac:dyDescent="0.3">
      <c r="A306" s="500" t="s">
        <v>392</v>
      </c>
      <c r="B306" s="501" t="s">
        <v>380</v>
      </c>
      <c r="C306" s="489"/>
      <c r="D306" s="678"/>
      <c r="E306" s="678"/>
      <c r="F306" s="678"/>
      <c r="G306" s="678"/>
      <c r="H306" s="678"/>
      <c r="I306" s="678"/>
      <c r="J306" s="678"/>
      <c r="K306" s="678"/>
      <c r="L306" s="678"/>
      <c r="M306" s="678"/>
      <c r="N306" s="678"/>
      <c r="O306" s="678"/>
      <c r="P306" s="678"/>
      <c r="Q306" s="678"/>
      <c r="R306" s="171"/>
      <c r="S306" s="62">
        <f t="shared" si="94"/>
        <v>0</v>
      </c>
      <c r="T306" s="468">
        <f t="shared" si="95"/>
        <v>0</v>
      </c>
    </row>
    <row r="307" spans="1:28" s="1" customFormat="1" x14ac:dyDescent="0.3">
      <c r="A307" s="500" t="s">
        <v>393</v>
      </c>
      <c r="B307" s="501" t="s">
        <v>382</v>
      </c>
      <c r="C307" s="489"/>
      <c r="D307" s="678"/>
      <c r="E307" s="678"/>
      <c r="F307" s="678"/>
      <c r="G307" s="678"/>
      <c r="H307" s="678"/>
      <c r="I307" s="678"/>
      <c r="J307" s="678"/>
      <c r="K307" s="678"/>
      <c r="L307" s="678"/>
      <c r="M307" s="678"/>
      <c r="N307" s="678"/>
      <c r="O307" s="678"/>
      <c r="P307" s="678"/>
      <c r="Q307" s="678"/>
      <c r="R307" s="171"/>
      <c r="S307" s="62">
        <f t="shared" si="94"/>
        <v>0</v>
      </c>
      <c r="T307" s="468">
        <f t="shared" si="95"/>
        <v>0</v>
      </c>
    </row>
    <row r="308" spans="1:28" x14ac:dyDescent="0.3">
      <c r="A308" s="500" t="s">
        <v>1150</v>
      </c>
      <c r="B308" s="501" t="s">
        <v>384</v>
      </c>
      <c r="C308" s="489"/>
      <c r="D308" s="678"/>
      <c r="E308" s="678"/>
      <c r="F308" s="678"/>
      <c r="G308" s="678"/>
      <c r="H308" s="678"/>
      <c r="I308" s="678"/>
      <c r="J308" s="678"/>
      <c r="K308" s="678"/>
      <c r="L308" s="678"/>
      <c r="M308" s="678"/>
      <c r="N308" s="678"/>
      <c r="O308" s="678"/>
      <c r="P308" s="678"/>
      <c r="Q308" s="678"/>
      <c r="R308" s="171"/>
      <c r="S308" s="62">
        <f t="shared" ref="S308" si="96">SUM(J308:Q308)</f>
        <v>0</v>
      </c>
      <c r="T308" s="468">
        <f t="shared" ref="T308" si="97">I308-S308</f>
        <v>0</v>
      </c>
      <c r="U308" s="1"/>
      <c r="V308" s="1"/>
      <c r="W308" s="1"/>
      <c r="X308" s="1"/>
      <c r="Y308" s="1"/>
      <c r="Z308" s="1"/>
      <c r="AA308" s="1"/>
      <c r="AB308" s="1"/>
    </row>
    <row r="309" spans="1:28" s="1" customFormat="1" x14ac:dyDescent="0.3">
      <c r="A309" s="500"/>
      <c r="B309" s="501" t="s">
        <v>91</v>
      </c>
      <c r="C309" s="489"/>
      <c r="D309" s="678"/>
      <c r="E309" s="678"/>
      <c r="F309" s="678"/>
      <c r="G309" s="678"/>
      <c r="H309" s="678"/>
      <c r="I309" s="678"/>
      <c r="J309" s="678"/>
      <c r="K309" s="678"/>
      <c r="L309" s="678"/>
      <c r="M309" s="678"/>
      <c r="N309" s="678"/>
      <c r="O309" s="678"/>
      <c r="P309" s="678"/>
      <c r="Q309" s="678"/>
      <c r="R309" s="171"/>
      <c r="S309" s="62">
        <f>SUM(J309:Q309)</f>
        <v>0</v>
      </c>
      <c r="T309" s="468">
        <f t="shared" si="95"/>
        <v>0</v>
      </c>
    </row>
    <row r="310" spans="1:28" s="1" customFormat="1" x14ac:dyDescent="0.3">
      <c r="A310" s="62"/>
      <c r="B310" s="62"/>
      <c r="C310" s="489"/>
      <c r="D310" s="678"/>
      <c r="E310" s="678"/>
      <c r="F310" s="678"/>
      <c r="G310" s="677"/>
      <c r="H310" s="677"/>
      <c r="I310" s="677"/>
      <c r="J310" s="677"/>
      <c r="K310" s="677"/>
      <c r="L310" s="677"/>
      <c r="M310" s="677"/>
      <c r="N310" s="677"/>
      <c r="O310" s="677"/>
      <c r="P310" s="677"/>
      <c r="Q310" s="677"/>
      <c r="R310" s="62"/>
      <c r="S310" s="62"/>
      <c r="T310" s="62"/>
    </row>
    <row r="311" spans="1:28" s="1" customFormat="1" x14ac:dyDescent="0.3">
      <c r="A311" s="62"/>
      <c r="B311" s="62" t="s">
        <v>394</v>
      </c>
      <c r="C311" s="489"/>
      <c r="D311" s="678"/>
      <c r="E311" s="678"/>
      <c r="F311" s="678"/>
      <c r="G311" s="677"/>
      <c r="H311" s="678"/>
      <c r="I311" s="678"/>
      <c r="J311" s="678"/>
      <c r="K311" s="678"/>
      <c r="L311" s="678"/>
      <c r="M311" s="678"/>
      <c r="N311" s="678"/>
      <c r="O311" s="678"/>
      <c r="P311" s="678"/>
      <c r="Q311" s="678"/>
      <c r="R311" s="171"/>
      <c r="S311" s="62">
        <f>SUM(J311:Q311)</f>
        <v>0</v>
      </c>
      <c r="T311" s="468">
        <f>I311-S311</f>
        <v>0</v>
      </c>
    </row>
    <row r="312" spans="1:28" s="1" customFormat="1" x14ac:dyDescent="0.3">
      <c r="A312" s="62"/>
      <c r="B312" s="62"/>
      <c r="C312" s="489"/>
      <c r="D312" s="678"/>
      <c r="E312" s="678"/>
      <c r="F312" s="678"/>
      <c r="G312" s="677"/>
      <c r="H312" s="677"/>
      <c r="I312" s="677"/>
      <c r="J312" s="677"/>
      <c r="K312" s="677"/>
      <c r="L312" s="677"/>
      <c r="M312" s="677"/>
      <c r="N312" s="677"/>
      <c r="O312" s="677"/>
      <c r="P312" s="677"/>
      <c r="Q312" s="677"/>
      <c r="R312" s="62"/>
      <c r="S312" s="62"/>
      <c r="T312" s="62"/>
    </row>
    <row r="313" spans="1:28" s="1" customFormat="1" x14ac:dyDescent="0.3">
      <c r="A313" s="463" t="s">
        <v>395</v>
      </c>
      <c r="B313" s="62"/>
      <c r="C313" s="489"/>
      <c r="D313" s="678"/>
      <c r="E313" s="678"/>
      <c r="F313" s="678"/>
      <c r="G313" s="677"/>
      <c r="H313" s="677"/>
      <c r="I313" s="677"/>
      <c r="J313" s="677"/>
      <c r="K313" s="677"/>
      <c r="L313" s="677"/>
      <c r="M313" s="677"/>
      <c r="N313" s="677"/>
      <c r="O313" s="677"/>
      <c r="P313" s="677"/>
      <c r="Q313" s="677"/>
      <c r="R313" s="62"/>
      <c r="S313" s="62"/>
      <c r="T313" s="62"/>
    </row>
    <row r="314" spans="1:28" s="1" customFormat="1" x14ac:dyDescent="0.3">
      <c r="A314" s="498" t="s">
        <v>396</v>
      </c>
      <c r="B314" s="62" t="s">
        <v>372</v>
      </c>
      <c r="C314" s="489"/>
      <c r="D314" s="678"/>
      <c r="E314" s="678"/>
      <c r="F314" s="678"/>
      <c r="G314" s="678"/>
      <c r="H314" s="678"/>
      <c r="I314" s="678"/>
      <c r="J314" s="678"/>
      <c r="K314" s="678"/>
      <c r="L314" s="678"/>
      <c r="M314" s="678"/>
      <c r="N314" s="678"/>
      <c r="O314" s="678"/>
      <c r="P314" s="678"/>
      <c r="Q314" s="678"/>
      <c r="R314" s="171"/>
      <c r="S314" s="62">
        <f t="shared" ref="S314:S322" si="98">SUM(J314:Q314)</f>
        <v>0</v>
      </c>
      <c r="T314" s="468">
        <f t="shared" ref="T314:T320" si="99">I314-S314</f>
        <v>0</v>
      </c>
    </row>
    <row r="315" spans="1:28" s="1" customFormat="1" x14ac:dyDescent="0.3">
      <c r="A315" s="498" t="s">
        <v>397</v>
      </c>
      <c r="B315" s="498" t="s">
        <v>374</v>
      </c>
      <c r="C315" s="512"/>
      <c r="D315" s="678"/>
      <c r="E315" s="678"/>
      <c r="F315" s="678"/>
      <c r="G315" s="678"/>
      <c r="H315" s="678"/>
      <c r="I315" s="678"/>
      <c r="J315" s="678"/>
      <c r="K315" s="678"/>
      <c r="L315" s="678"/>
      <c r="M315" s="678"/>
      <c r="N315" s="678"/>
      <c r="O315" s="678"/>
      <c r="P315" s="678"/>
      <c r="Q315" s="678"/>
      <c r="R315" s="171"/>
      <c r="S315" s="62">
        <f t="shared" si="98"/>
        <v>0</v>
      </c>
      <c r="T315" s="468">
        <f t="shared" si="99"/>
        <v>0</v>
      </c>
    </row>
    <row r="316" spans="1:28" s="1" customFormat="1" x14ac:dyDescent="0.3">
      <c r="A316" s="498" t="s">
        <v>398</v>
      </c>
      <c r="B316" s="62" t="s">
        <v>1321</v>
      </c>
      <c r="C316" s="489"/>
      <c r="D316" s="678"/>
      <c r="E316" s="678"/>
      <c r="F316" s="678"/>
      <c r="G316" s="678"/>
      <c r="H316" s="678"/>
      <c r="I316" s="678"/>
      <c r="J316" s="678"/>
      <c r="K316" s="678"/>
      <c r="L316" s="678"/>
      <c r="M316" s="678"/>
      <c r="N316" s="678"/>
      <c r="O316" s="678"/>
      <c r="P316" s="678"/>
      <c r="Q316" s="678"/>
      <c r="R316" s="171"/>
      <c r="S316" s="62">
        <f t="shared" si="98"/>
        <v>0</v>
      </c>
      <c r="T316" s="468">
        <f t="shared" si="99"/>
        <v>0</v>
      </c>
    </row>
    <row r="317" spans="1:28" s="1" customFormat="1" x14ac:dyDescent="0.3">
      <c r="A317" s="498" t="s">
        <v>399</v>
      </c>
      <c r="B317" s="62" t="s">
        <v>400</v>
      </c>
      <c r="C317" s="489"/>
      <c r="D317" s="678"/>
      <c r="E317" s="678"/>
      <c r="F317" s="678"/>
      <c r="G317" s="678"/>
      <c r="H317" s="678"/>
      <c r="I317" s="678"/>
      <c r="J317" s="678"/>
      <c r="K317" s="678"/>
      <c r="L317" s="678"/>
      <c r="M317" s="678"/>
      <c r="N317" s="678"/>
      <c r="O317" s="678"/>
      <c r="P317" s="678"/>
      <c r="Q317" s="678"/>
      <c r="R317" s="171"/>
      <c r="S317" s="62">
        <f t="shared" si="98"/>
        <v>0</v>
      </c>
      <c r="T317" s="468">
        <f t="shared" si="99"/>
        <v>0</v>
      </c>
    </row>
    <row r="318" spans="1:28" s="1" customFormat="1" x14ac:dyDescent="0.3">
      <c r="A318" s="498" t="s">
        <v>401</v>
      </c>
      <c r="B318" s="62" t="s">
        <v>402</v>
      </c>
      <c r="C318" s="489"/>
      <c r="D318" s="678"/>
      <c r="E318" s="678"/>
      <c r="F318" s="678"/>
      <c r="G318" s="678"/>
      <c r="H318" s="678"/>
      <c r="I318" s="678"/>
      <c r="J318" s="678"/>
      <c r="K318" s="678"/>
      <c r="L318" s="678"/>
      <c r="M318" s="678"/>
      <c r="N318" s="678"/>
      <c r="O318" s="678"/>
      <c r="P318" s="678"/>
      <c r="Q318" s="678"/>
      <c r="R318" s="171"/>
      <c r="S318" s="62">
        <f t="shared" si="98"/>
        <v>0</v>
      </c>
      <c r="T318" s="468">
        <f t="shared" si="99"/>
        <v>0</v>
      </c>
    </row>
    <row r="319" spans="1:28" s="1" customFormat="1" x14ac:dyDescent="0.3">
      <c r="A319" s="498" t="s">
        <v>403</v>
      </c>
      <c r="B319" s="62" t="s">
        <v>404</v>
      </c>
      <c r="C319" s="489"/>
      <c r="D319" s="678"/>
      <c r="E319" s="678"/>
      <c r="F319" s="678"/>
      <c r="G319" s="678"/>
      <c r="H319" s="678"/>
      <c r="I319" s="678"/>
      <c r="J319" s="678"/>
      <c r="K319" s="678"/>
      <c r="L319" s="678"/>
      <c r="M319" s="678"/>
      <c r="N319" s="678"/>
      <c r="O319" s="678"/>
      <c r="P319" s="678"/>
      <c r="Q319" s="678"/>
      <c r="R319" s="171"/>
      <c r="S319" s="62">
        <f t="shared" si="98"/>
        <v>0</v>
      </c>
      <c r="T319" s="468">
        <f t="shared" si="99"/>
        <v>0</v>
      </c>
    </row>
    <row r="320" spans="1:28" s="1" customFormat="1" x14ac:dyDescent="0.3">
      <c r="A320" s="498" t="s">
        <v>405</v>
      </c>
      <c r="B320" s="62" t="s">
        <v>406</v>
      </c>
      <c r="C320" s="489"/>
      <c r="D320" s="678"/>
      <c r="E320" s="678"/>
      <c r="F320" s="678"/>
      <c r="G320" s="678"/>
      <c r="H320" s="678"/>
      <c r="I320" s="678"/>
      <c r="J320" s="678"/>
      <c r="K320" s="678"/>
      <c r="L320" s="678"/>
      <c r="M320" s="678"/>
      <c r="N320" s="678"/>
      <c r="O320" s="678"/>
      <c r="P320" s="678"/>
      <c r="Q320" s="678"/>
      <c r="R320" s="171"/>
      <c r="S320" s="62">
        <f t="shared" si="98"/>
        <v>0</v>
      </c>
      <c r="T320" s="468">
        <f t="shared" si="99"/>
        <v>0</v>
      </c>
    </row>
    <row r="321" spans="1:20" s="1" customFormat="1" x14ac:dyDescent="0.3">
      <c r="A321" s="62"/>
      <c r="B321" s="62"/>
      <c r="C321" s="489"/>
      <c r="D321" s="678"/>
      <c r="E321" s="678"/>
      <c r="F321" s="678"/>
      <c r="G321" s="677"/>
      <c r="H321" s="677"/>
      <c r="I321" s="677"/>
      <c r="J321" s="677"/>
      <c r="K321" s="677"/>
      <c r="L321" s="677"/>
      <c r="M321" s="677"/>
      <c r="N321" s="677"/>
      <c r="O321" s="677"/>
      <c r="P321" s="677"/>
      <c r="Q321" s="677"/>
      <c r="R321" s="62"/>
      <c r="S321" s="62">
        <f t="shared" si="98"/>
        <v>0</v>
      </c>
      <c r="T321" s="62"/>
    </row>
    <row r="322" spans="1:20" s="1" customFormat="1" x14ac:dyDescent="0.3">
      <c r="A322" s="62"/>
      <c r="B322" s="62" t="s">
        <v>407</v>
      </c>
      <c r="C322" s="489"/>
      <c r="D322" s="678"/>
      <c r="E322" s="678"/>
      <c r="F322" s="678"/>
      <c r="G322" s="678"/>
      <c r="H322" s="678"/>
      <c r="I322" s="678"/>
      <c r="J322" s="678"/>
      <c r="K322" s="678"/>
      <c r="L322" s="678"/>
      <c r="M322" s="678"/>
      <c r="N322" s="678"/>
      <c r="O322" s="678"/>
      <c r="P322" s="678"/>
      <c r="Q322" s="678"/>
      <c r="R322" s="171"/>
      <c r="S322" s="62">
        <f t="shared" si="98"/>
        <v>0</v>
      </c>
      <c r="T322" s="468">
        <f>I322-S322</f>
        <v>0</v>
      </c>
    </row>
    <row r="323" spans="1:20" s="1" customFormat="1" x14ac:dyDescent="0.3">
      <c r="A323" s="62"/>
      <c r="B323" s="62"/>
      <c r="C323" s="489"/>
      <c r="D323" s="678"/>
      <c r="E323" s="678"/>
      <c r="F323" s="678"/>
      <c r="G323" s="677"/>
      <c r="H323" s="677"/>
      <c r="I323" s="677"/>
      <c r="J323" s="677"/>
      <c r="K323" s="677"/>
      <c r="L323" s="677"/>
      <c r="M323" s="677"/>
      <c r="N323" s="677"/>
      <c r="O323" s="677"/>
      <c r="P323" s="677"/>
      <c r="Q323" s="677"/>
      <c r="R323" s="62"/>
      <c r="S323" s="62"/>
      <c r="T323" s="62"/>
    </row>
    <row r="324" spans="1:20" s="1" customFormat="1" x14ac:dyDescent="0.3">
      <c r="A324" s="463" t="s">
        <v>408</v>
      </c>
      <c r="B324" s="62"/>
      <c r="C324" s="489"/>
      <c r="D324" s="678"/>
      <c r="E324" s="678"/>
      <c r="F324" s="678"/>
      <c r="G324" s="677"/>
      <c r="H324" s="677"/>
      <c r="I324" s="677"/>
      <c r="J324" s="677"/>
      <c r="K324" s="677"/>
      <c r="L324" s="677"/>
      <c r="M324" s="677"/>
      <c r="N324" s="677"/>
      <c r="O324" s="677"/>
      <c r="P324" s="677"/>
      <c r="Q324" s="677"/>
      <c r="R324" s="62"/>
      <c r="S324" s="62"/>
      <c r="T324" s="62"/>
    </row>
    <row r="325" spans="1:20" s="1" customFormat="1" x14ac:dyDescent="0.3">
      <c r="A325" s="62" t="s">
        <v>409</v>
      </c>
      <c r="B325" s="62" t="s">
        <v>372</v>
      </c>
      <c r="C325" s="489"/>
      <c r="D325" s="678"/>
      <c r="E325" s="678"/>
      <c r="F325" s="678"/>
      <c r="G325" s="678"/>
      <c r="H325" s="678"/>
      <c r="I325" s="678"/>
      <c r="J325" s="678"/>
      <c r="K325" s="678"/>
      <c r="L325" s="678"/>
      <c r="M325" s="678"/>
      <c r="N325" s="678"/>
      <c r="O325" s="678"/>
      <c r="P325" s="678"/>
      <c r="Q325" s="678"/>
      <c r="R325" s="171"/>
      <c r="S325" s="62">
        <f t="shared" ref="S325:S331" si="100">SUM(J325:Q325)</f>
        <v>0</v>
      </c>
      <c r="T325" s="468">
        <f t="shared" ref="T325:T331" si="101">I325-S325</f>
        <v>0</v>
      </c>
    </row>
    <row r="326" spans="1:20" s="1" customFormat="1" x14ac:dyDescent="0.3">
      <c r="A326" s="62" t="s">
        <v>410</v>
      </c>
      <c r="B326" s="498" t="s">
        <v>374</v>
      </c>
      <c r="C326" s="512"/>
      <c r="D326" s="678"/>
      <c r="E326" s="678"/>
      <c r="F326" s="678"/>
      <c r="G326" s="678"/>
      <c r="H326" s="678"/>
      <c r="I326" s="678"/>
      <c r="J326" s="678"/>
      <c r="K326" s="678"/>
      <c r="L326" s="678"/>
      <c r="M326" s="678"/>
      <c r="N326" s="678"/>
      <c r="O326" s="678"/>
      <c r="P326" s="678"/>
      <c r="Q326" s="678"/>
      <c r="R326" s="171"/>
      <c r="S326" s="62">
        <f t="shared" si="100"/>
        <v>0</v>
      </c>
      <c r="T326" s="468">
        <f t="shared" si="101"/>
        <v>0</v>
      </c>
    </row>
    <row r="327" spans="1:20" s="1" customFormat="1" x14ac:dyDescent="0.3">
      <c r="A327" s="62" t="s">
        <v>411</v>
      </c>
      <c r="B327" s="62" t="s">
        <v>412</v>
      </c>
      <c r="C327" s="489"/>
      <c r="D327" s="678"/>
      <c r="E327" s="678"/>
      <c r="F327" s="678"/>
      <c r="G327" s="678"/>
      <c r="H327" s="678"/>
      <c r="I327" s="678"/>
      <c r="J327" s="678"/>
      <c r="K327" s="678"/>
      <c r="L327" s="678"/>
      <c r="M327" s="678"/>
      <c r="N327" s="678"/>
      <c r="O327" s="678"/>
      <c r="P327" s="678"/>
      <c r="Q327" s="678"/>
      <c r="R327" s="171"/>
      <c r="S327" s="62">
        <f t="shared" si="100"/>
        <v>0</v>
      </c>
      <c r="T327" s="468">
        <f t="shared" si="101"/>
        <v>0</v>
      </c>
    </row>
    <row r="328" spans="1:20" s="1" customFormat="1" x14ac:dyDescent="0.3">
      <c r="A328" s="62" t="s">
        <v>413</v>
      </c>
      <c r="B328" s="62" t="s">
        <v>414</v>
      </c>
      <c r="C328" s="489"/>
      <c r="D328" s="678"/>
      <c r="E328" s="678"/>
      <c r="F328" s="678"/>
      <c r="G328" s="678"/>
      <c r="H328" s="678"/>
      <c r="I328" s="678"/>
      <c r="J328" s="678"/>
      <c r="K328" s="678"/>
      <c r="L328" s="678"/>
      <c r="M328" s="678"/>
      <c r="N328" s="678"/>
      <c r="O328" s="678"/>
      <c r="P328" s="678"/>
      <c r="Q328" s="678"/>
      <c r="R328" s="171"/>
      <c r="S328" s="62">
        <f t="shared" si="100"/>
        <v>0</v>
      </c>
      <c r="T328" s="468">
        <f t="shared" si="101"/>
        <v>0</v>
      </c>
    </row>
    <row r="329" spans="1:20" s="1" customFormat="1" x14ac:dyDescent="0.3">
      <c r="A329" s="62" t="s">
        <v>415</v>
      </c>
      <c r="B329" s="498" t="s">
        <v>416</v>
      </c>
      <c r="C329" s="512"/>
      <c r="D329" s="678"/>
      <c r="E329" s="678"/>
      <c r="F329" s="678"/>
      <c r="G329" s="678"/>
      <c r="H329" s="678"/>
      <c r="I329" s="678"/>
      <c r="J329" s="678"/>
      <c r="K329" s="678"/>
      <c r="L329" s="678"/>
      <c r="M329" s="678"/>
      <c r="N329" s="678"/>
      <c r="O329" s="678"/>
      <c r="P329" s="678"/>
      <c r="Q329" s="678"/>
      <c r="R329" s="171"/>
      <c r="S329" s="62">
        <f t="shared" si="100"/>
        <v>0</v>
      </c>
      <c r="T329" s="468">
        <f t="shared" si="101"/>
        <v>0</v>
      </c>
    </row>
    <row r="330" spans="1:20" s="1" customFormat="1" x14ac:dyDescent="0.3">
      <c r="A330" s="62" t="s">
        <v>417</v>
      </c>
      <c r="B330" s="62" t="s">
        <v>418</v>
      </c>
      <c r="C330" s="489"/>
      <c r="D330" s="678"/>
      <c r="E330" s="678"/>
      <c r="F330" s="678"/>
      <c r="G330" s="678"/>
      <c r="H330" s="678"/>
      <c r="I330" s="678"/>
      <c r="J330" s="678"/>
      <c r="K330" s="678"/>
      <c r="L330" s="678"/>
      <c r="M330" s="678"/>
      <c r="N330" s="678"/>
      <c r="O330" s="678"/>
      <c r="P330" s="678"/>
      <c r="Q330" s="678"/>
      <c r="R330" s="171"/>
      <c r="S330" s="62">
        <f t="shared" si="100"/>
        <v>0</v>
      </c>
      <c r="T330" s="468">
        <f t="shared" si="101"/>
        <v>0</v>
      </c>
    </row>
    <row r="331" spans="1:20" s="1" customFormat="1" x14ac:dyDescent="0.3">
      <c r="A331" s="62" t="s">
        <v>419</v>
      </c>
      <c r="B331" s="62" t="s">
        <v>420</v>
      </c>
      <c r="C331" s="489"/>
      <c r="D331" s="678"/>
      <c r="E331" s="678"/>
      <c r="F331" s="678"/>
      <c r="G331" s="678"/>
      <c r="H331" s="678"/>
      <c r="I331" s="678"/>
      <c r="J331" s="678"/>
      <c r="K331" s="678"/>
      <c r="L331" s="678"/>
      <c r="M331" s="678"/>
      <c r="N331" s="678"/>
      <c r="O331" s="678"/>
      <c r="P331" s="678"/>
      <c r="Q331" s="678"/>
      <c r="R331" s="171"/>
      <c r="S331" s="62">
        <f t="shared" si="100"/>
        <v>0</v>
      </c>
      <c r="T331" s="468">
        <f t="shared" si="101"/>
        <v>0</v>
      </c>
    </row>
    <row r="332" spans="1:20" s="1" customFormat="1" x14ac:dyDescent="0.3">
      <c r="A332" s="62"/>
      <c r="B332" s="62"/>
      <c r="C332" s="489"/>
      <c r="D332" s="678"/>
      <c r="E332" s="678"/>
      <c r="F332" s="678"/>
      <c r="G332" s="677"/>
      <c r="H332" s="677"/>
      <c r="I332" s="677"/>
      <c r="J332" s="677"/>
      <c r="K332" s="677"/>
      <c r="L332" s="677"/>
      <c r="M332" s="677"/>
      <c r="N332" s="677"/>
      <c r="O332" s="677"/>
      <c r="P332" s="677"/>
      <c r="Q332" s="677"/>
      <c r="R332" s="62"/>
      <c r="S332" s="62"/>
      <c r="T332" s="62"/>
    </row>
    <row r="333" spans="1:20" s="1" customFormat="1" x14ac:dyDescent="0.3">
      <c r="A333" s="62"/>
      <c r="B333" s="62" t="s">
        <v>421</v>
      </c>
      <c r="C333" s="489"/>
      <c r="D333" s="678"/>
      <c r="E333" s="678"/>
      <c r="F333" s="678"/>
      <c r="G333" s="677"/>
      <c r="H333" s="678"/>
      <c r="I333" s="678"/>
      <c r="J333" s="678"/>
      <c r="K333" s="678"/>
      <c r="L333" s="678"/>
      <c r="M333" s="678"/>
      <c r="N333" s="678"/>
      <c r="O333" s="678"/>
      <c r="P333" s="678"/>
      <c r="Q333" s="678"/>
      <c r="R333" s="171"/>
      <c r="S333" s="62">
        <f>SUM(J333:Q333)</f>
        <v>0</v>
      </c>
      <c r="T333" s="468">
        <f>I333-S333</f>
        <v>0</v>
      </c>
    </row>
    <row r="334" spans="1:20" s="1" customFormat="1" x14ac:dyDescent="0.3">
      <c r="A334" s="62"/>
      <c r="B334" s="62"/>
      <c r="C334" s="489"/>
      <c r="D334" s="171"/>
      <c r="E334" s="171"/>
      <c r="F334" s="171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</row>
    <row r="335" spans="1:20" s="1" customFormat="1" x14ac:dyDescent="0.3">
      <c r="A335" s="62"/>
      <c r="B335" s="498" t="s">
        <v>422</v>
      </c>
      <c r="C335" s="512"/>
      <c r="D335" s="680">
        <v>3255676500.5500002</v>
      </c>
      <c r="E335" s="680">
        <v>0</v>
      </c>
      <c r="F335" s="680">
        <v>3255676500.5500002</v>
      </c>
      <c r="G335" s="680">
        <v>0</v>
      </c>
      <c r="H335" s="680">
        <v>3255676500.5500002</v>
      </c>
      <c r="I335" s="680">
        <v>3255676500.5500002</v>
      </c>
      <c r="J335" s="680">
        <v>3255274580.5500002</v>
      </c>
      <c r="K335" s="680">
        <v>401920</v>
      </c>
      <c r="L335" s="680">
        <v>0</v>
      </c>
      <c r="M335" s="680">
        <v>0</v>
      </c>
      <c r="N335" s="680">
        <v>0</v>
      </c>
      <c r="O335" s="680">
        <v>0</v>
      </c>
      <c r="P335" s="680">
        <v>0</v>
      </c>
      <c r="Q335" s="680">
        <v>0</v>
      </c>
      <c r="R335" s="171"/>
      <c r="S335" s="62">
        <f>SUM(J335:Q335)</f>
        <v>3255676500.5500002</v>
      </c>
      <c r="T335" s="468">
        <f>I335-S335</f>
        <v>0</v>
      </c>
    </row>
    <row r="336" spans="1:20" s="1" customFormat="1" x14ac:dyDescent="0.3">
      <c r="A336" s="62"/>
      <c r="B336" s="62"/>
      <c r="C336" s="489"/>
      <c r="D336" s="171"/>
      <c r="E336" s="171"/>
      <c r="F336" s="171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</row>
    <row r="337" spans="1:20" s="1" customFormat="1" x14ac:dyDescent="0.3">
      <c r="A337" s="499" t="s">
        <v>423</v>
      </c>
      <c r="B337" s="62"/>
      <c r="C337" s="489"/>
      <c r="D337" s="171"/>
      <c r="E337" s="171"/>
      <c r="F337" s="171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</row>
    <row r="338" spans="1:20" s="1" customFormat="1" x14ac:dyDescent="0.3">
      <c r="A338" s="498" t="s">
        <v>424</v>
      </c>
      <c r="B338" s="62" t="s">
        <v>425</v>
      </c>
      <c r="C338" s="489"/>
      <c r="D338" s="171">
        <f t="shared" ref="D338:D346" si="102">D66+D202</f>
        <v>95574769.460000008</v>
      </c>
      <c r="E338" s="171">
        <f t="shared" ref="E338:Q338" si="103">E66+E202</f>
        <v>0</v>
      </c>
      <c r="F338" s="171">
        <f t="shared" si="103"/>
        <v>95574769.460000008</v>
      </c>
      <c r="G338" s="171">
        <f t="shared" si="103"/>
        <v>0</v>
      </c>
      <c r="H338" s="171">
        <f t="shared" si="103"/>
        <v>95574769.460000008</v>
      </c>
      <c r="I338" s="171">
        <f t="shared" si="103"/>
        <v>95574769.460000008</v>
      </c>
      <c r="J338" s="171">
        <f t="shared" si="103"/>
        <v>262521.31399974052</v>
      </c>
      <c r="K338" s="171">
        <f t="shared" si="103"/>
        <v>93251091.795797452</v>
      </c>
      <c r="L338" s="171">
        <f t="shared" si="103"/>
        <v>2061156.3502027788</v>
      </c>
      <c r="M338" s="171">
        <f t="shared" si="103"/>
        <v>0</v>
      </c>
      <c r="N338" s="171">
        <f t="shared" si="103"/>
        <v>0</v>
      </c>
      <c r="O338" s="171">
        <f t="shared" si="103"/>
        <v>0</v>
      </c>
      <c r="P338" s="171">
        <f t="shared" si="103"/>
        <v>0</v>
      </c>
      <c r="Q338" s="171">
        <f t="shared" si="103"/>
        <v>0</v>
      </c>
      <c r="R338" s="171"/>
      <c r="S338" s="62">
        <f t="shared" ref="S338:S346" si="104">SUM(J338:Q338)</f>
        <v>95574769.459999979</v>
      </c>
      <c r="T338" s="468">
        <f t="shared" ref="T338:T346" si="105">I338-S338</f>
        <v>0</v>
      </c>
    </row>
    <row r="339" spans="1:20" s="1" customFormat="1" x14ac:dyDescent="0.3">
      <c r="A339" s="498" t="s">
        <v>426</v>
      </c>
      <c r="B339" s="62" t="s">
        <v>374</v>
      </c>
      <c r="C339" s="489"/>
      <c r="D339" s="171">
        <f t="shared" si="102"/>
        <v>0</v>
      </c>
      <c r="E339" s="171">
        <f t="shared" ref="E339:Q339" si="106">E67+E203</f>
        <v>0</v>
      </c>
      <c r="F339" s="171">
        <f t="shared" si="106"/>
        <v>0</v>
      </c>
      <c r="G339" s="171">
        <f t="shared" si="106"/>
        <v>0</v>
      </c>
      <c r="H339" s="171">
        <f t="shared" si="106"/>
        <v>0</v>
      </c>
      <c r="I339" s="171">
        <f t="shared" si="106"/>
        <v>0</v>
      </c>
      <c r="J339" s="171">
        <f t="shared" si="106"/>
        <v>0</v>
      </c>
      <c r="K339" s="171">
        <f t="shared" si="106"/>
        <v>0</v>
      </c>
      <c r="L339" s="171">
        <f t="shared" si="106"/>
        <v>0</v>
      </c>
      <c r="M339" s="171">
        <f t="shared" si="106"/>
        <v>0</v>
      </c>
      <c r="N339" s="171">
        <f t="shared" si="106"/>
        <v>0</v>
      </c>
      <c r="O339" s="171">
        <f t="shared" si="106"/>
        <v>0</v>
      </c>
      <c r="P339" s="171">
        <f t="shared" si="106"/>
        <v>0</v>
      </c>
      <c r="Q339" s="171">
        <f t="shared" si="106"/>
        <v>0</v>
      </c>
      <c r="R339" s="171"/>
      <c r="S339" s="62">
        <f t="shared" si="104"/>
        <v>0</v>
      </c>
      <c r="T339" s="468">
        <f t="shared" si="105"/>
        <v>0</v>
      </c>
    </row>
    <row r="340" spans="1:20" s="1" customFormat="1" x14ac:dyDescent="0.3">
      <c r="A340" s="498" t="s">
        <v>427</v>
      </c>
      <c r="B340" s="62" t="s">
        <v>428</v>
      </c>
      <c r="C340" s="489"/>
      <c r="D340" s="171">
        <f t="shared" si="102"/>
        <v>299992263.92000008</v>
      </c>
      <c r="E340" s="171">
        <f t="shared" ref="E340:Q340" si="107">E68+E204</f>
        <v>0</v>
      </c>
      <c r="F340" s="171">
        <f t="shared" si="107"/>
        <v>299992263.92000008</v>
      </c>
      <c r="G340" s="171">
        <f t="shared" si="107"/>
        <v>0</v>
      </c>
      <c r="H340" s="171">
        <f t="shared" si="107"/>
        <v>299992263.92000008</v>
      </c>
      <c r="I340" s="171">
        <f t="shared" si="107"/>
        <v>299992263.92000008</v>
      </c>
      <c r="J340" s="171">
        <f t="shared" si="107"/>
        <v>2448431.6217596279</v>
      </c>
      <c r="K340" s="171">
        <f t="shared" si="107"/>
        <v>290310434.14615697</v>
      </c>
      <c r="L340" s="171">
        <f t="shared" si="107"/>
        <v>7233398.1520831864</v>
      </c>
      <c r="M340" s="171">
        <f t="shared" si="107"/>
        <v>0</v>
      </c>
      <c r="N340" s="171">
        <f t="shared" si="107"/>
        <v>0</v>
      </c>
      <c r="O340" s="171">
        <f t="shared" si="107"/>
        <v>0</v>
      </c>
      <c r="P340" s="171">
        <f t="shared" si="107"/>
        <v>0</v>
      </c>
      <c r="Q340" s="171">
        <f t="shared" si="107"/>
        <v>0</v>
      </c>
      <c r="R340" s="171"/>
      <c r="S340" s="62">
        <f t="shared" si="104"/>
        <v>299992263.91999978</v>
      </c>
      <c r="T340" s="468">
        <f t="shared" si="105"/>
        <v>0</v>
      </c>
    </row>
    <row r="341" spans="1:20" s="1" customFormat="1" x14ac:dyDescent="0.3">
      <c r="A341" s="498" t="s">
        <v>429</v>
      </c>
      <c r="B341" s="62" t="s">
        <v>430</v>
      </c>
      <c r="C341" s="489"/>
      <c r="D341" s="171">
        <f t="shared" si="102"/>
        <v>0</v>
      </c>
      <c r="E341" s="171">
        <f t="shared" ref="E341:Q341" si="108">E69+E205</f>
        <v>0</v>
      </c>
      <c r="F341" s="171">
        <f t="shared" si="108"/>
        <v>0</v>
      </c>
      <c r="G341" s="171">
        <f t="shared" si="108"/>
        <v>0</v>
      </c>
      <c r="H341" s="171">
        <f t="shared" si="108"/>
        <v>0</v>
      </c>
      <c r="I341" s="171">
        <f t="shared" si="108"/>
        <v>0</v>
      </c>
      <c r="J341" s="171">
        <f t="shared" si="108"/>
        <v>0</v>
      </c>
      <c r="K341" s="171">
        <f t="shared" si="108"/>
        <v>0</v>
      </c>
      <c r="L341" s="171">
        <f t="shared" si="108"/>
        <v>0</v>
      </c>
      <c r="M341" s="171">
        <f t="shared" si="108"/>
        <v>0</v>
      </c>
      <c r="N341" s="171">
        <f t="shared" si="108"/>
        <v>0</v>
      </c>
      <c r="O341" s="171">
        <f t="shared" si="108"/>
        <v>0</v>
      </c>
      <c r="P341" s="171">
        <f t="shared" si="108"/>
        <v>0</v>
      </c>
      <c r="Q341" s="171">
        <f t="shared" si="108"/>
        <v>0</v>
      </c>
      <c r="R341" s="171"/>
      <c r="S341" s="62">
        <f t="shared" si="104"/>
        <v>0</v>
      </c>
      <c r="T341" s="468">
        <f t="shared" si="105"/>
        <v>0</v>
      </c>
    </row>
    <row r="342" spans="1:20" s="1" customFormat="1" x14ac:dyDescent="0.3">
      <c r="A342" s="498" t="s">
        <v>431</v>
      </c>
      <c r="B342" s="62" t="s">
        <v>432</v>
      </c>
      <c r="C342" s="489"/>
      <c r="D342" s="171">
        <f t="shared" si="102"/>
        <v>269358922.00999999</v>
      </c>
      <c r="E342" s="171">
        <f t="shared" ref="E342:Q342" si="109">E70+E206</f>
        <v>0</v>
      </c>
      <c r="F342" s="171">
        <f t="shared" si="109"/>
        <v>269358922.00999999</v>
      </c>
      <c r="G342" s="171">
        <f t="shared" si="109"/>
        <v>0</v>
      </c>
      <c r="H342" s="171">
        <f t="shared" si="109"/>
        <v>269358922.00999999</v>
      </c>
      <c r="I342" s="171">
        <f t="shared" si="109"/>
        <v>269358922.00999999</v>
      </c>
      <c r="J342" s="171">
        <f t="shared" si="109"/>
        <v>0</v>
      </c>
      <c r="K342" s="171">
        <f t="shared" si="109"/>
        <v>269358922.00999993</v>
      </c>
      <c r="L342" s="171">
        <f t="shared" si="109"/>
        <v>0</v>
      </c>
      <c r="M342" s="171">
        <f t="shared" si="109"/>
        <v>0</v>
      </c>
      <c r="N342" s="171">
        <f t="shared" si="109"/>
        <v>0</v>
      </c>
      <c r="O342" s="171">
        <f t="shared" si="109"/>
        <v>0</v>
      </c>
      <c r="P342" s="171">
        <f t="shared" si="109"/>
        <v>0</v>
      </c>
      <c r="Q342" s="171">
        <f t="shared" si="109"/>
        <v>0</v>
      </c>
      <c r="R342" s="171"/>
      <c r="S342" s="62">
        <f t="shared" si="104"/>
        <v>269358922.00999993</v>
      </c>
      <c r="T342" s="468">
        <f t="shared" si="105"/>
        <v>0</v>
      </c>
    </row>
    <row r="343" spans="1:20" s="1" customFormat="1" x14ac:dyDescent="0.3">
      <c r="A343" s="498" t="s">
        <v>433</v>
      </c>
      <c r="B343" s="62" t="s">
        <v>434</v>
      </c>
      <c r="C343" s="489"/>
      <c r="D343" s="171">
        <f t="shared" si="102"/>
        <v>46825397.390000008</v>
      </c>
      <c r="E343" s="171">
        <f t="shared" ref="E343:Q343" si="110">E71+E207</f>
        <v>0</v>
      </c>
      <c r="F343" s="171">
        <f t="shared" si="110"/>
        <v>46825397.390000008</v>
      </c>
      <c r="G343" s="171">
        <f t="shared" si="110"/>
        <v>0</v>
      </c>
      <c r="H343" s="171">
        <f t="shared" si="110"/>
        <v>46825397.390000008</v>
      </c>
      <c r="I343" s="171">
        <f t="shared" si="110"/>
        <v>46825397.390000008</v>
      </c>
      <c r="J343" s="171">
        <f t="shared" si="110"/>
        <v>0</v>
      </c>
      <c r="K343" s="171">
        <f t="shared" si="110"/>
        <v>46825397.390000008</v>
      </c>
      <c r="L343" s="171">
        <f t="shared" si="110"/>
        <v>0</v>
      </c>
      <c r="M343" s="171">
        <f t="shared" si="110"/>
        <v>0</v>
      </c>
      <c r="N343" s="171">
        <f t="shared" si="110"/>
        <v>0</v>
      </c>
      <c r="O343" s="171">
        <f t="shared" si="110"/>
        <v>0</v>
      </c>
      <c r="P343" s="171">
        <f t="shared" si="110"/>
        <v>0</v>
      </c>
      <c r="Q343" s="171">
        <f t="shared" si="110"/>
        <v>0</v>
      </c>
      <c r="R343" s="171"/>
      <c r="S343" s="62">
        <f t="shared" si="104"/>
        <v>46825397.390000008</v>
      </c>
      <c r="T343" s="468">
        <f t="shared" si="105"/>
        <v>0</v>
      </c>
    </row>
    <row r="344" spans="1:20" s="1" customFormat="1" x14ac:dyDescent="0.3">
      <c r="A344" s="498" t="s">
        <v>435</v>
      </c>
      <c r="B344" s="62" t="s">
        <v>1322</v>
      </c>
      <c r="C344" s="489"/>
      <c r="D344" s="171">
        <f t="shared" si="102"/>
        <v>0</v>
      </c>
      <c r="E344" s="171">
        <f t="shared" ref="E344:Q344" si="111">E72+E208</f>
        <v>0</v>
      </c>
      <c r="F344" s="171">
        <f t="shared" si="111"/>
        <v>0</v>
      </c>
      <c r="G344" s="171">
        <f t="shared" si="111"/>
        <v>0</v>
      </c>
      <c r="H344" s="171">
        <f t="shared" si="111"/>
        <v>0</v>
      </c>
      <c r="I344" s="171">
        <f t="shared" si="111"/>
        <v>0</v>
      </c>
      <c r="J344" s="171">
        <f t="shared" si="111"/>
        <v>0</v>
      </c>
      <c r="K344" s="171">
        <f t="shared" si="111"/>
        <v>0</v>
      </c>
      <c r="L344" s="171">
        <f t="shared" si="111"/>
        <v>0</v>
      </c>
      <c r="M344" s="171">
        <f t="shared" si="111"/>
        <v>0</v>
      </c>
      <c r="N344" s="171">
        <f t="shared" si="111"/>
        <v>0</v>
      </c>
      <c r="O344" s="171">
        <f t="shared" si="111"/>
        <v>0</v>
      </c>
      <c r="P344" s="171">
        <f t="shared" si="111"/>
        <v>0</v>
      </c>
      <c r="Q344" s="171">
        <f t="shared" si="111"/>
        <v>0</v>
      </c>
      <c r="R344" s="171"/>
      <c r="S344" s="62">
        <f t="shared" si="104"/>
        <v>0</v>
      </c>
      <c r="T344" s="468">
        <f t="shared" si="105"/>
        <v>0</v>
      </c>
    </row>
    <row r="345" spans="1:20" s="1" customFormat="1" x14ac:dyDescent="0.3">
      <c r="A345" s="498" t="s">
        <v>436</v>
      </c>
      <c r="B345" s="498" t="s">
        <v>437</v>
      </c>
      <c r="C345" s="512"/>
      <c r="D345" s="171">
        <f t="shared" si="102"/>
        <v>1047236.0899999996</v>
      </c>
      <c r="E345" s="171">
        <f t="shared" ref="E345:Q345" si="112">E73+E209</f>
        <v>0</v>
      </c>
      <c r="F345" s="171">
        <f t="shared" si="112"/>
        <v>1047236.0899999996</v>
      </c>
      <c r="G345" s="171">
        <f t="shared" si="112"/>
        <v>0</v>
      </c>
      <c r="H345" s="171">
        <f t="shared" si="112"/>
        <v>1047236.0899999996</v>
      </c>
      <c r="I345" s="171">
        <f t="shared" si="112"/>
        <v>1047236.0899999996</v>
      </c>
      <c r="J345" s="171">
        <f t="shared" si="112"/>
        <v>0</v>
      </c>
      <c r="K345" s="171">
        <f t="shared" si="112"/>
        <v>1047236.0899999996</v>
      </c>
      <c r="L345" s="171">
        <f t="shared" si="112"/>
        <v>0</v>
      </c>
      <c r="M345" s="171">
        <f t="shared" si="112"/>
        <v>0</v>
      </c>
      <c r="N345" s="171">
        <f t="shared" si="112"/>
        <v>0</v>
      </c>
      <c r="O345" s="171">
        <f t="shared" si="112"/>
        <v>0</v>
      </c>
      <c r="P345" s="171">
        <f t="shared" si="112"/>
        <v>0</v>
      </c>
      <c r="Q345" s="171">
        <f t="shared" si="112"/>
        <v>0</v>
      </c>
      <c r="R345" s="171"/>
      <c r="S345" s="62">
        <f t="shared" si="104"/>
        <v>1047236.0899999996</v>
      </c>
      <c r="T345" s="468">
        <f t="shared" si="105"/>
        <v>0</v>
      </c>
    </row>
    <row r="346" spans="1:20" s="1" customFormat="1" x14ac:dyDescent="0.3">
      <c r="A346" s="498" t="s">
        <v>438</v>
      </c>
      <c r="B346" s="62" t="s">
        <v>439</v>
      </c>
      <c r="C346" s="489"/>
      <c r="D346" s="171">
        <f t="shared" si="102"/>
        <v>0</v>
      </c>
      <c r="E346" s="171">
        <f t="shared" ref="E346:Q346" si="113">E74+E210</f>
        <v>0</v>
      </c>
      <c r="F346" s="171">
        <f t="shared" si="113"/>
        <v>0</v>
      </c>
      <c r="G346" s="171">
        <f t="shared" si="113"/>
        <v>0</v>
      </c>
      <c r="H346" s="171">
        <f t="shared" si="113"/>
        <v>0</v>
      </c>
      <c r="I346" s="171">
        <f t="shared" si="113"/>
        <v>0</v>
      </c>
      <c r="J346" s="171">
        <f t="shared" si="113"/>
        <v>0</v>
      </c>
      <c r="K346" s="171">
        <f t="shared" si="113"/>
        <v>0</v>
      </c>
      <c r="L346" s="171">
        <f t="shared" si="113"/>
        <v>0</v>
      </c>
      <c r="M346" s="171">
        <f t="shared" si="113"/>
        <v>0</v>
      </c>
      <c r="N346" s="171">
        <f t="shared" si="113"/>
        <v>0</v>
      </c>
      <c r="O346" s="171">
        <f t="shared" si="113"/>
        <v>0</v>
      </c>
      <c r="P346" s="171">
        <f t="shared" si="113"/>
        <v>0</v>
      </c>
      <c r="Q346" s="171">
        <f t="shared" si="113"/>
        <v>0</v>
      </c>
      <c r="R346" s="171"/>
      <c r="S346" s="62">
        <f t="shared" si="104"/>
        <v>0</v>
      </c>
      <c r="T346" s="468">
        <f t="shared" si="105"/>
        <v>0</v>
      </c>
    </row>
    <row r="347" spans="1:20" s="1" customFormat="1" x14ac:dyDescent="0.3">
      <c r="A347" s="498"/>
      <c r="B347" s="62"/>
      <c r="C347" s="489"/>
      <c r="D347" s="171"/>
      <c r="E347" s="171"/>
      <c r="F347" s="171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</row>
    <row r="348" spans="1:20" s="1" customFormat="1" x14ac:dyDescent="0.3">
      <c r="A348" s="62"/>
      <c r="B348" s="498" t="s">
        <v>440</v>
      </c>
      <c r="C348" s="512"/>
      <c r="D348" s="171">
        <f>SUM(D338:D346)</f>
        <v>712798588.87000012</v>
      </c>
      <c r="E348" s="171">
        <f>SUM(E338:E346)</f>
        <v>0</v>
      </c>
      <c r="F348" s="171">
        <f>SUM(F338:F346)</f>
        <v>712798588.87000012</v>
      </c>
      <c r="G348" s="62"/>
      <c r="H348" s="171">
        <f t="shared" ref="H348:Q348" si="114">SUM(H338:H346)</f>
        <v>712798588.87000012</v>
      </c>
      <c r="I348" s="171">
        <f t="shared" si="114"/>
        <v>712798588.87000012</v>
      </c>
      <c r="J348" s="171">
        <f t="shared" si="114"/>
        <v>2710952.9357593684</v>
      </c>
      <c r="K348" s="171">
        <f t="shared" si="114"/>
        <v>700793081.43195438</v>
      </c>
      <c r="L348" s="171">
        <f t="shared" si="114"/>
        <v>9294554.5022859648</v>
      </c>
      <c r="M348" s="171">
        <f t="shared" si="114"/>
        <v>0</v>
      </c>
      <c r="N348" s="171">
        <f t="shared" si="114"/>
        <v>0</v>
      </c>
      <c r="O348" s="171">
        <f t="shared" si="114"/>
        <v>0</v>
      </c>
      <c r="P348" s="171">
        <f t="shared" si="114"/>
        <v>0</v>
      </c>
      <c r="Q348" s="171">
        <f t="shared" si="114"/>
        <v>0</v>
      </c>
      <c r="R348" s="171"/>
      <c r="S348" s="62">
        <f>SUM(J348:Q348)</f>
        <v>712798588.86999977</v>
      </c>
      <c r="T348" s="468">
        <f>I348-S348</f>
        <v>0</v>
      </c>
    </row>
    <row r="349" spans="1:20" s="1" customFormat="1" x14ac:dyDescent="0.3">
      <c r="A349" s="62"/>
      <c r="B349" s="62"/>
      <c r="C349" s="489"/>
      <c r="D349" s="171"/>
      <c r="E349" s="171"/>
      <c r="F349" s="171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</row>
    <row r="350" spans="1:20" s="1" customFormat="1" x14ac:dyDescent="0.3">
      <c r="A350" s="499" t="s">
        <v>441</v>
      </c>
      <c r="B350" s="62"/>
      <c r="C350" s="489"/>
      <c r="D350" s="171"/>
      <c r="E350" s="171"/>
      <c r="F350" s="171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</row>
    <row r="351" spans="1:20" s="1" customFormat="1" x14ac:dyDescent="0.3">
      <c r="A351" s="498" t="s">
        <v>442</v>
      </c>
      <c r="B351" s="62" t="s">
        <v>425</v>
      </c>
      <c r="C351" s="489"/>
      <c r="D351" s="171">
        <f t="shared" ref="D351:D364" si="115">D79+D215</f>
        <v>20929109.550000004</v>
      </c>
      <c r="E351" s="171">
        <f t="shared" ref="E351:Q351" si="116">E79+E215</f>
        <v>0</v>
      </c>
      <c r="F351" s="171">
        <f t="shared" si="116"/>
        <v>20929109.550000004</v>
      </c>
      <c r="G351" s="171">
        <f t="shared" si="116"/>
        <v>0</v>
      </c>
      <c r="H351" s="171">
        <f t="shared" si="116"/>
        <v>20929109.550000004</v>
      </c>
      <c r="I351" s="171">
        <f t="shared" si="116"/>
        <v>20929109.550000004</v>
      </c>
      <c r="J351" s="171">
        <f t="shared" si="116"/>
        <v>0</v>
      </c>
      <c r="K351" s="171">
        <f t="shared" si="116"/>
        <v>7893628.7998948516</v>
      </c>
      <c r="L351" s="171">
        <f t="shared" si="116"/>
        <v>13035480.750105148</v>
      </c>
      <c r="M351" s="171">
        <f t="shared" si="116"/>
        <v>0</v>
      </c>
      <c r="N351" s="171">
        <f t="shared" si="116"/>
        <v>0</v>
      </c>
      <c r="O351" s="171">
        <f t="shared" si="116"/>
        <v>0</v>
      </c>
      <c r="P351" s="171">
        <f t="shared" si="116"/>
        <v>0</v>
      </c>
      <c r="Q351" s="171">
        <f t="shared" si="116"/>
        <v>0</v>
      </c>
      <c r="R351" s="171"/>
      <c r="S351" s="62"/>
      <c r="T351" s="62"/>
    </row>
    <row r="352" spans="1:20" s="1" customFormat="1" x14ac:dyDescent="0.3">
      <c r="A352" s="498" t="s">
        <v>443</v>
      </c>
      <c r="B352" s="498" t="s">
        <v>374</v>
      </c>
      <c r="C352" s="512"/>
      <c r="D352" s="171">
        <f t="shared" si="115"/>
        <v>2899831.99</v>
      </c>
      <c r="E352" s="171">
        <f t="shared" ref="E352:Q352" si="117">E80+E216</f>
        <v>0</v>
      </c>
      <c r="F352" s="171">
        <f t="shared" si="117"/>
        <v>2899831.99</v>
      </c>
      <c r="G352" s="171">
        <f t="shared" si="117"/>
        <v>0</v>
      </c>
      <c r="H352" s="171">
        <f t="shared" si="117"/>
        <v>2899831.99</v>
      </c>
      <c r="I352" s="171">
        <f t="shared" si="117"/>
        <v>2899831.99</v>
      </c>
      <c r="J352" s="171">
        <f t="shared" si="117"/>
        <v>0</v>
      </c>
      <c r="K352" s="171">
        <f t="shared" si="117"/>
        <v>0</v>
      </c>
      <c r="L352" s="171">
        <f t="shared" si="117"/>
        <v>2899831.99</v>
      </c>
      <c r="M352" s="171">
        <f t="shared" si="117"/>
        <v>0</v>
      </c>
      <c r="N352" s="171">
        <f t="shared" si="117"/>
        <v>0</v>
      </c>
      <c r="O352" s="171">
        <f t="shared" si="117"/>
        <v>0</v>
      </c>
      <c r="P352" s="171">
        <f t="shared" si="117"/>
        <v>0</v>
      </c>
      <c r="Q352" s="171">
        <f t="shared" si="117"/>
        <v>0</v>
      </c>
      <c r="R352" s="171"/>
      <c r="S352" s="62">
        <f t="shared" ref="S352:S364" si="118">SUM(J352:Q352)</f>
        <v>2899831.99</v>
      </c>
      <c r="T352" s="468">
        <f t="shared" ref="T352:T364" si="119">I352-S352</f>
        <v>0</v>
      </c>
    </row>
    <row r="353" spans="1:20" s="1" customFormat="1" x14ac:dyDescent="0.3">
      <c r="A353" s="498" t="s">
        <v>444</v>
      </c>
      <c r="B353" s="62" t="s">
        <v>428</v>
      </c>
      <c r="C353" s="489"/>
      <c r="D353" s="171">
        <f t="shared" si="115"/>
        <v>382032230.31999999</v>
      </c>
      <c r="E353" s="171">
        <f t="shared" ref="E353:Q353" si="120">E81+E217</f>
        <v>0</v>
      </c>
      <c r="F353" s="171">
        <f t="shared" si="120"/>
        <v>382032230.31999999</v>
      </c>
      <c r="G353" s="171">
        <f t="shared" si="120"/>
        <v>0</v>
      </c>
      <c r="H353" s="171">
        <f t="shared" si="120"/>
        <v>382032230.31999999</v>
      </c>
      <c r="I353" s="171">
        <f t="shared" si="120"/>
        <v>382032230.31999999</v>
      </c>
      <c r="J353" s="171">
        <f t="shared" si="120"/>
        <v>0</v>
      </c>
      <c r="K353" s="171">
        <f t="shared" si="120"/>
        <v>65416875.032057099</v>
      </c>
      <c r="L353" s="171">
        <f t="shared" si="120"/>
        <v>316615355.28794265</v>
      </c>
      <c r="M353" s="171">
        <f t="shared" si="120"/>
        <v>0</v>
      </c>
      <c r="N353" s="171">
        <f t="shared" si="120"/>
        <v>0</v>
      </c>
      <c r="O353" s="171">
        <f t="shared" si="120"/>
        <v>0</v>
      </c>
      <c r="P353" s="171">
        <f t="shared" si="120"/>
        <v>0</v>
      </c>
      <c r="Q353" s="171">
        <f t="shared" si="120"/>
        <v>0</v>
      </c>
      <c r="R353" s="171"/>
      <c r="S353" s="62">
        <f t="shared" si="118"/>
        <v>382032230.31999975</v>
      </c>
      <c r="T353" s="468">
        <f t="shared" si="119"/>
        <v>0</v>
      </c>
    </row>
    <row r="354" spans="1:20" s="1" customFormat="1" x14ac:dyDescent="0.3">
      <c r="A354" s="62" t="s">
        <v>445</v>
      </c>
      <c r="B354" s="62" t="s">
        <v>446</v>
      </c>
      <c r="C354" s="489"/>
      <c r="D354" s="171">
        <f t="shared" si="115"/>
        <v>0</v>
      </c>
      <c r="E354" s="171">
        <f t="shared" ref="E354:Q354" si="121">E82+E218</f>
        <v>0</v>
      </c>
      <c r="F354" s="171">
        <f t="shared" si="121"/>
        <v>0</v>
      </c>
      <c r="G354" s="171">
        <f t="shared" si="121"/>
        <v>0</v>
      </c>
      <c r="H354" s="171">
        <f t="shared" si="121"/>
        <v>0</v>
      </c>
      <c r="I354" s="171">
        <f t="shared" si="121"/>
        <v>0</v>
      </c>
      <c r="J354" s="171">
        <f t="shared" si="121"/>
        <v>0</v>
      </c>
      <c r="K354" s="171">
        <f t="shared" si="121"/>
        <v>0</v>
      </c>
      <c r="L354" s="171">
        <f t="shared" si="121"/>
        <v>0</v>
      </c>
      <c r="M354" s="171">
        <f t="shared" si="121"/>
        <v>0</v>
      </c>
      <c r="N354" s="171">
        <f t="shared" si="121"/>
        <v>0</v>
      </c>
      <c r="O354" s="171">
        <f t="shared" si="121"/>
        <v>0</v>
      </c>
      <c r="P354" s="171">
        <f t="shared" si="121"/>
        <v>0</v>
      </c>
      <c r="Q354" s="171">
        <f t="shared" si="121"/>
        <v>0</v>
      </c>
      <c r="R354" s="171"/>
      <c r="S354" s="62">
        <f t="shared" si="118"/>
        <v>0</v>
      </c>
      <c r="T354" s="468">
        <f t="shared" si="119"/>
        <v>0</v>
      </c>
    </row>
    <row r="355" spans="1:20" s="1" customFormat="1" x14ac:dyDescent="0.3">
      <c r="A355" s="498" t="s">
        <v>447</v>
      </c>
      <c r="B355" s="498" t="s">
        <v>1323</v>
      </c>
      <c r="C355" s="512"/>
      <c r="D355" s="171">
        <f t="shared" si="115"/>
        <v>323514496.19</v>
      </c>
      <c r="E355" s="171">
        <f t="shared" ref="E355:Q355" si="122">E83+E219</f>
        <v>0</v>
      </c>
      <c r="F355" s="171">
        <f t="shared" si="122"/>
        <v>323514496.19</v>
      </c>
      <c r="G355" s="171">
        <f t="shared" si="122"/>
        <v>0</v>
      </c>
      <c r="H355" s="171">
        <f t="shared" si="122"/>
        <v>323514496.19</v>
      </c>
      <c r="I355" s="171">
        <f t="shared" si="122"/>
        <v>323514496.19</v>
      </c>
      <c r="J355" s="171">
        <f t="shared" si="122"/>
        <v>0</v>
      </c>
      <c r="K355" s="171">
        <f t="shared" si="122"/>
        <v>0</v>
      </c>
      <c r="L355" s="171">
        <f t="shared" si="122"/>
        <v>323514496.19</v>
      </c>
      <c r="M355" s="171">
        <f t="shared" si="122"/>
        <v>0</v>
      </c>
      <c r="N355" s="171">
        <f t="shared" si="122"/>
        <v>0</v>
      </c>
      <c r="O355" s="171">
        <f t="shared" si="122"/>
        <v>0</v>
      </c>
      <c r="P355" s="171">
        <f t="shared" si="122"/>
        <v>0</v>
      </c>
      <c r="Q355" s="171">
        <f t="shared" si="122"/>
        <v>0</v>
      </c>
      <c r="R355" s="171"/>
      <c r="S355" s="62">
        <f t="shared" si="118"/>
        <v>323514496.19</v>
      </c>
      <c r="T355" s="468">
        <f t="shared" si="119"/>
        <v>0</v>
      </c>
    </row>
    <row r="356" spans="1:20" s="1" customFormat="1" x14ac:dyDescent="0.3">
      <c r="A356" s="498" t="s">
        <v>448</v>
      </c>
      <c r="B356" s="62" t="s">
        <v>434</v>
      </c>
      <c r="C356" s="489"/>
      <c r="D356" s="171">
        <f t="shared" si="115"/>
        <v>207949966.80999997</v>
      </c>
      <c r="E356" s="171">
        <f t="shared" ref="E356:Q356" si="123">E84+E220</f>
        <v>0</v>
      </c>
      <c r="F356" s="171">
        <f t="shared" si="123"/>
        <v>207949966.80999997</v>
      </c>
      <c r="G356" s="171">
        <f t="shared" si="123"/>
        <v>0</v>
      </c>
      <c r="H356" s="171">
        <f t="shared" si="123"/>
        <v>207949966.80999997</v>
      </c>
      <c r="I356" s="171">
        <f t="shared" si="123"/>
        <v>207949966.80999997</v>
      </c>
      <c r="J356" s="171">
        <f t="shared" si="123"/>
        <v>0</v>
      </c>
      <c r="K356" s="171">
        <f t="shared" si="123"/>
        <v>0</v>
      </c>
      <c r="L356" s="171">
        <f t="shared" si="123"/>
        <v>207949966.80999997</v>
      </c>
      <c r="M356" s="171">
        <f t="shared" si="123"/>
        <v>0</v>
      </c>
      <c r="N356" s="171">
        <f t="shared" si="123"/>
        <v>0</v>
      </c>
      <c r="O356" s="171">
        <f t="shared" si="123"/>
        <v>0</v>
      </c>
      <c r="P356" s="171">
        <f t="shared" si="123"/>
        <v>0</v>
      </c>
      <c r="Q356" s="171">
        <f t="shared" si="123"/>
        <v>0</v>
      </c>
      <c r="R356" s="171"/>
      <c r="S356" s="62">
        <f t="shared" si="118"/>
        <v>207949966.80999997</v>
      </c>
      <c r="T356" s="468">
        <f t="shared" si="119"/>
        <v>0</v>
      </c>
    </row>
    <row r="357" spans="1:20" s="1" customFormat="1" x14ac:dyDescent="0.3">
      <c r="A357" s="498" t="s">
        <v>449</v>
      </c>
      <c r="B357" s="62" t="s">
        <v>450</v>
      </c>
      <c r="C357" s="489"/>
      <c r="D357" s="171">
        <f t="shared" si="115"/>
        <v>288257347.02000004</v>
      </c>
      <c r="E357" s="171">
        <f t="shared" ref="E357:Q357" si="124">E85+E221</f>
        <v>0</v>
      </c>
      <c r="F357" s="171">
        <f t="shared" si="124"/>
        <v>288257347.02000004</v>
      </c>
      <c r="G357" s="171">
        <f t="shared" si="124"/>
        <v>0</v>
      </c>
      <c r="H357" s="171">
        <f t="shared" si="124"/>
        <v>288257347.02000004</v>
      </c>
      <c r="I357" s="171">
        <f t="shared" si="124"/>
        <v>288257347.02000004</v>
      </c>
      <c r="J357" s="171">
        <f t="shared" si="124"/>
        <v>0</v>
      </c>
      <c r="K357" s="171">
        <f t="shared" si="124"/>
        <v>0</v>
      </c>
      <c r="L357" s="171">
        <f t="shared" si="124"/>
        <v>288257347.02000004</v>
      </c>
      <c r="M357" s="171">
        <f t="shared" si="124"/>
        <v>0</v>
      </c>
      <c r="N357" s="171">
        <f t="shared" si="124"/>
        <v>0</v>
      </c>
      <c r="O357" s="171">
        <f t="shared" si="124"/>
        <v>0</v>
      </c>
      <c r="P357" s="171">
        <f t="shared" si="124"/>
        <v>0</v>
      </c>
      <c r="Q357" s="171">
        <f t="shared" si="124"/>
        <v>0</v>
      </c>
      <c r="R357" s="171"/>
      <c r="S357" s="62">
        <f t="shared" si="118"/>
        <v>288257347.02000004</v>
      </c>
      <c r="T357" s="468">
        <f t="shared" si="119"/>
        <v>0</v>
      </c>
    </row>
    <row r="358" spans="1:20" s="1" customFormat="1" x14ac:dyDescent="0.3">
      <c r="A358" s="498" t="s">
        <v>451</v>
      </c>
      <c r="B358" s="498" t="s">
        <v>452</v>
      </c>
      <c r="C358" s="512"/>
      <c r="D358" s="171">
        <f t="shared" si="115"/>
        <v>370964305.84999996</v>
      </c>
      <c r="E358" s="171">
        <f t="shared" ref="E358:Q358" si="125">E86+E222</f>
        <v>0</v>
      </c>
      <c r="F358" s="171">
        <f t="shared" si="125"/>
        <v>370964305.84999996</v>
      </c>
      <c r="G358" s="171">
        <f t="shared" si="125"/>
        <v>0</v>
      </c>
      <c r="H358" s="171">
        <f t="shared" si="125"/>
        <v>370964305.84999996</v>
      </c>
      <c r="I358" s="171">
        <f t="shared" si="125"/>
        <v>370964305.84999996</v>
      </c>
      <c r="J358" s="171">
        <f t="shared" si="125"/>
        <v>0</v>
      </c>
      <c r="K358" s="171">
        <f t="shared" si="125"/>
        <v>0</v>
      </c>
      <c r="L358" s="171">
        <f t="shared" si="125"/>
        <v>370964305.84999996</v>
      </c>
      <c r="M358" s="171">
        <f t="shared" si="125"/>
        <v>0</v>
      </c>
      <c r="N358" s="171">
        <f t="shared" si="125"/>
        <v>0</v>
      </c>
      <c r="O358" s="171">
        <f t="shared" si="125"/>
        <v>0</v>
      </c>
      <c r="P358" s="171">
        <f t="shared" si="125"/>
        <v>0</v>
      </c>
      <c r="Q358" s="171">
        <f t="shared" si="125"/>
        <v>0</v>
      </c>
      <c r="R358" s="171"/>
      <c r="S358" s="62">
        <f t="shared" si="118"/>
        <v>370964305.84999996</v>
      </c>
      <c r="T358" s="468">
        <f t="shared" si="119"/>
        <v>0</v>
      </c>
    </row>
    <row r="359" spans="1:20" s="1" customFormat="1" x14ac:dyDescent="0.3">
      <c r="A359" s="498" t="s">
        <v>453</v>
      </c>
      <c r="B359" s="62" t="s">
        <v>454</v>
      </c>
      <c r="C359" s="489"/>
      <c r="D359" s="171">
        <f t="shared" si="115"/>
        <v>365157456.28000003</v>
      </c>
      <c r="E359" s="171">
        <f t="shared" ref="E359:Q359" si="126">E87+E223</f>
        <v>0</v>
      </c>
      <c r="F359" s="171">
        <f t="shared" si="126"/>
        <v>365157456.28000003</v>
      </c>
      <c r="G359" s="171">
        <f t="shared" si="126"/>
        <v>0</v>
      </c>
      <c r="H359" s="171">
        <f t="shared" si="126"/>
        <v>365157456.28000003</v>
      </c>
      <c r="I359" s="171">
        <f t="shared" si="126"/>
        <v>365157456.28000003</v>
      </c>
      <c r="J359" s="171">
        <f t="shared" si="126"/>
        <v>0</v>
      </c>
      <c r="K359" s="171">
        <f t="shared" si="126"/>
        <v>0</v>
      </c>
      <c r="L359" s="171">
        <f t="shared" si="126"/>
        <v>365157456.28000003</v>
      </c>
      <c r="M359" s="171">
        <f t="shared" si="126"/>
        <v>0</v>
      </c>
      <c r="N359" s="171">
        <f t="shared" si="126"/>
        <v>0</v>
      </c>
      <c r="O359" s="171">
        <f t="shared" si="126"/>
        <v>0</v>
      </c>
      <c r="P359" s="171">
        <f t="shared" si="126"/>
        <v>0</v>
      </c>
      <c r="Q359" s="171">
        <f t="shared" si="126"/>
        <v>0</v>
      </c>
      <c r="R359" s="171"/>
      <c r="S359" s="62">
        <f t="shared" si="118"/>
        <v>365157456.28000003</v>
      </c>
      <c r="T359" s="468">
        <f t="shared" si="119"/>
        <v>0</v>
      </c>
    </row>
    <row r="360" spans="1:20" s="1" customFormat="1" x14ac:dyDescent="0.3">
      <c r="A360" s="498" t="s">
        <v>455</v>
      </c>
      <c r="B360" s="498" t="s">
        <v>456</v>
      </c>
      <c r="C360" s="512"/>
      <c r="D360" s="171">
        <f t="shared" si="115"/>
        <v>128955756.09999993</v>
      </c>
      <c r="E360" s="171">
        <f t="shared" ref="E360:Q360" si="127">E88+E224</f>
        <v>0</v>
      </c>
      <c r="F360" s="171">
        <f t="shared" si="127"/>
        <v>128955756.09999993</v>
      </c>
      <c r="G360" s="171">
        <f t="shared" si="127"/>
        <v>0</v>
      </c>
      <c r="H360" s="171">
        <f t="shared" si="127"/>
        <v>128955756.09999993</v>
      </c>
      <c r="I360" s="171">
        <f t="shared" si="127"/>
        <v>128955756.09999993</v>
      </c>
      <c r="J360" s="171">
        <f t="shared" si="127"/>
        <v>0</v>
      </c>
      <c r="K360" s="171">
        <f t="shared" si="127"/>
        <v>0</v>
      </c>
      <c r="L360" s="171">
        <f t="shared" si="127"/>
        <v>128955756.09999993</v>
      </c>
      <c r="M360" s="171">
        <f t="shared" si="127"/>
        <v>0</v>
      </c>
      <c r="N360" s="171">
        <f t="shared" si="127"/>
        <v>0</v>
      </c>
      <c r="O360" s="171">
        <f t="shared" si="127"/>
        <v>0</v>
      </c>
      <c r="P360" s="171">
        <f t="shared" si="127"/>
        <v>0</v>
      </c>
      <c r="Q360" s="171">
        <f t="shared" si="127"/>
        <v>0</v>
      </c>
      <c r="R360" s="171"/>
      <c r="S360" s="62">
        <f t="shared" si="118"/>
        <v>128955756.09999993</v>
      </c>
      <c r="T360" s="468">
        <f t="shared" si="119"/>
        <v>0</v>
      </c>
    </row>
    <row r="361" spans="1:20" s="1" customFormat="1" x14ac:dyDescent="0.3">
      <c r="A361" s="498" t="s">
        <v>457</v>
      </c>
      <c r="B361" s="62" t="s">
        <v>458</v>
      </c>
      <c r="C361" s="489"/>
      <c r="D361" s="171">
        <f t="shared" si="115"/>
        <v>141514308.95999998</v>
      </c>
      <c r="E361" s="171">
        <f t="shared" ref="E361:Q361" si="128">E89+E225</f>
        <v>0</v>
      </c>
      <c r="F361" s="171">
        <f t="shared" si="128"/>
        <v>141514308.95999998</v>
      </c>
      <c r="G361" s="171">
        <f t="shared" si="128"/>
        <v>0</v>
      </c>
      <c r="H361" s="171">
        <f t="shared" si="128"/>
        <v>141514308.95999998</v>
      </c>
      <c r="I361" s="171">
        <f t="shared" si="128"/>
        <v>141514308.95999998</v>
      </c>
      <c r="J361" s="171">
        <f t="shared" si="128"/>
        <v>0</v>
      </c>
      <c r="K361" s="171">
        <f t="shared" si="128"/>
        <v>0</v>
      </c>
      <c r="L361" s="171">
        <f t="shared" si="128"/>
        <v>0</v>
      </c>
      <c r="M361" s="171">
        <f t="shared" si="128"/>
        <v>141514308.95999998</v>
      </c>
      <c r="N361" s="171">
        <f t="shared" si="128"/>
        <v>0</v>
      </c>
      <c r="O361" s="171">
        <f t="shared" si="128"/>
        <v>0</v>
      </c>
      <c r="P361" s="171">
        <f t="shared" si="128"/>
        <v>0</v>
      </c>
      <c r="Q361" s="171">
        <f t="shared" si="128"/>
        <v>0</v>
      </c>
      <c r="R361" s="171"/>
      <c r="S361" s="62">
        <f t="shared" si="118"/>
        <v>141514308.95999998</v>
      </c>
      <c r="T361" s="468">
        <f t="shared" si="119"/>
        <v>0</v>
      </c>
    </row>
    <row r="362" spans="1:20" s="1" customFormat="1" x14ac:dyDescent="0.3">
      <c r="A362" s="62" t="s">
        <v>459</v>
      </c>
      <c r="B362" s="62" t="s">
        <v>460</v>
      </c>
      <c r="C362" s="489"/>
      <c r="D362" s="171">
        <f t="shared" si="115"/>
        <v>0</v>
      </c>
      <c r="E362" s="171">
        <f t="shared" ref="E362:Q362" si="129">E90+E226</f>
        <v>0</v>
      </c>
      <c r="F362" s="171">
        <f t="shared" si="129"/>
        <v>0</v>
      </c>
      <c r="G362" s="171">
        <f t="shared" si="129"/>
        <v>0</v>
      </c>
      <c r="H362" s="171">
        <f t="shared" si="129"/>
        <v>0</v>
      </c>
      <c r="I362" s="171">
        <f t="shared" si="129"/>
        <v>0</v>
      </c>
      <c r="J362" s="171">
        <f t="shared" si="129"/>
        <v>0</v>
      </c>
      <c r="K362" s="171">
        <f t="shared" si="129"/>
        <v>0</v>
      </c>
      <c r="L362" s="171">
        <f t="shared" si="129"/>
        <v>0</v>
      </c>
      <c r="M362" s="171">
        <f t="shared" si="129"/>
        <v>0</v>
      </c>
      <c r="N362" s="171">
        <f t="shared" si="129"/>
        <v>0</v>
      </c>
      <c r="O362" s="171">
        <f t="shared" si="129"/>
        <v>0</v>
      </c>
      <c r="P362" s="171">
        <f t="shared" si="129"/>
        <v>0</v>
      </c>
      <c r="Q362" s="171">
        <f t="shared" si="129"/>
        <v>0</v>
      </c>
      <c r="R362" s="171"/>
      <c r="S362" s="62">
        <f t="shared" si="118"/>
        <v>0</v>
      </c>
      <c r="T362" s="468">
        <f t="shared" si="119"/>
        <v>0</v>
      </c>
    </row>
    <row r="363" spans="1:20" s="1" customFormat="1" x14ac:dyDescent="0.3">
      <c r="A363" s="62" t="s">
        <v>461</v>
      </c>
      <c r="B363" s="62" t="s">
        <v>462</v>
      </c>
      <c r="C363" s="489"/>
      <c r="D363" s="171">
        <f t="shared" si="115"/>
        <v>0</v>
      </c>
      <c r="E363" s="171">
        <f t="shared" ref="E363:Q363" si="130">E91+E227</f>
        <v>0</v>
      </c>
      <c r="F363" s="171">
        <f t="shared" si="130"/>
        <v>0</v>
      </c>
      <c r="G363" s="171">
        <f t="shared" si="130"/>
        <v>0</v>
      </c>
      <c r="H363" s="171">
        <f t="shared" si="130"/>
        <v>0</v>
      </c>
      <c r="I363" s="171">
        <f t="shared" si="130"/>
        <v>0</v>
      </c>
      <c r="J363" s="171">
        <f t="shared" si="130"/>
        <v>0</v>
      </c>
      <c r="K363" s="171">
        <f t="shared" si="130"/>
        <v>0</v>
      </c>
      <c r="L363" s="171">
        <f t="shared" si="130"/>
        <v>0</v>
      </c>
      <c r="M363" s="171">
        <f t="shared" si="130"/>
        <v>0</v>
      </c>
      <c r="N363" s="171">
        <f t="shared" si="130"/>
        <v>0</v>
      </c>
      <c r="O363" s="171">
        <f t="shared" si="130"/>
        <v>0</v>
      </c>
      <c r="P363" s="171">
        <f t="shared" si="130"/>
        <v>0</v>
      </c>
      <c r="Q363" s="171">
        <f t="shared" si="130"/>
        <v>0</v>
      </c>
      <c r="R363" s="171"/>
      <c r="S363" s="62">
        <f t="shared" si="118"/>
        <v>0</v>
      </c>
      <c r="T363" s="468">
        <f t="shared" si="119"/>
        <v>0</v>
      </c>
    </row>
    <row r="364" spans="1:20" s="1" customFormat="1" x14ac:dyDescent="0.3">
      <c r="A364" s="498" t="s">
        <v>463</v>
      </c>
      <c r="B364" s="62" t="s">
        <v>464</v>
      </c>
      <c r="C364" s="489"/>
      <c r="D364" s="171">
        <f t="shared" si="115"/>
        <v>81826489.609999955</v>
      </c>
      <c r="E364" s="171">
        <f t="shared" ref="E364:Q364" si="131">E92+E228</f>
        <v>0</v>
      </c>
      <c r="F364" s="171">
        <f t="shared" si="131"/>
        <v>81826489.609999955</v>
      </c>
      <c r="G364" s="171">
        <f t="shared" si="131"/>
        <v>0</v>
      </c>
      <c r="H364" s="171">
        <f t="shared" si="131"/>
        <v>81826489.609999955</v>
      </c>
      <c r="I364" s="171">
        <f t="shared" si="131"/>
        <v>81826489.609999955</v>
      </c>
      <c r="J364" s="171">
        <f t="shared" si="131"/>
        <v>0</v>
      </c>
      <c r="K364" s="171">
        <f t="shared" si="131"/>
        <v>0</v>
      </c>
      <c r="L364" s="171">
        <f t="shared" si="131"/>
        <v>81826489.609999955</v>
      </c>
      <c r="M364" s="171">
        <f t="shared" si="131"/>
        <v>0</v>
      </c>
      <c r="N364" s="171">
        <f t="shared" si="131"/>
        <v>0</v>
      </c>
      <c r="O364" s="171">
        <f t="shared" si="131"/>
        <v>0</v>
      </c>
      <c r="P364" s="171">
        <f t="shared" si="131"/>
        <v>0</v>
      </c>
      <c r="Q364" s="171">
        <f t="shared" si="131"/>
        <v>0</v>
      </c>
      <c r="R364" s="171"/>
      <c r="S364" s="62">
        <f t="shared" si="118"/>
        <v>81826489.609999955</v>
      </c>
      <c r="T364" s="468">
        <f t="shared" si="119"/>
        <v>0</v>
      </c>
    </row>
    <row r="365" spans="1:20" s="1" customFormat="1" x14ac:dyDescent="0.3">
      <c r="A365" s="62"/>
      <c r="B365" s="62"/>
      <c r="C365" s="489"/>
      <c r="D365" s="171"/>
      <c r="E365" s="171"/>
      <c r="F365" s="171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</row>
    <row r="366" spans="1:20" s="1" customFormat="1" x14ac:dyDescent="0.3">
      <c r="A366" s="62"/>
      <c r="B366" s="498" t="s">
        <v>465</v>
      </c>
      <c r="C366" s="512"/>
      <c r="D366" s="171">
        <f>SUM(D351:D364)</f>
        <v>2314001298.6799998</v>
      </c>
      <c r="E366" s="171">
        <f>SUM(E351:E364)</f>
        <v>0</v>
      </c>
      <c r="F366" s="171">
        <f>SUM(F351:F364)</f>
        <v>2314001298.6799998</v>
      </c>
      <c r="G366" s="62"/>
      <c r="H366" s="171">
        <f t="shared" ref="H366:Q366" si="132">SUM(H351:H364)</f>
        <v>2314001298.6799998</v>
      </c>
      <c r="I366" s="171">
        <f t="shared" si="132"/>
        <v>2314001298.6799998</v>
      </c>
      <c r="J366" s="171">
        <f t="shared" si="132"/>
        <v>0</v>
      </c>
      <c r="K366" s="171">
        <f t="shared" si="132"/>
        <v>73310503.831951946</v>
      </c>
      <c r="L366" s="171">
        <f t="shared" si="132"/>
        <v>2099176485.8880475</v>
      </c>
      <c r="M366" s="171">
        <f t="shared" si="132"/>
        <v>141514308.95999998</v>
      </c>
      <c r="N366" s="171">
        <f t="shared" si="132"/>
        <v>0</v>
      </c>
      <c r="O366" s="171">
        <f t="shared" si="132"/>
        <v>0</v>
      </c>
      <c r="P366" s="171">
        <f t="shared" si="132"/>
        <v>0</v>
      </c>
      <c r="Q366" s="171">
        <f t="shared" si="132"/>
        <v>0</v>
      </c>
      <c r="R366" s="171"/>
      <c r="S366" s="62">
        <f>SUM(J366:Q366)</f>
        <v>2314001298.6799994</v>
      </c>
      <c r="T366" s="468">
        <f>I366-S366</f>
        <v>0</v>
      </c>
    </row>
    <row r="367" spans="1:20" s="1" customFormat="1" x14ac:dyDescent="0.3">
      <c r="A367" s="62"/>
      <c r="B367" s="498"/>
      <c r="C367" s="512"/>
      <c r="D367" s="171"/>
      <c r="E367" s="171"/>
      <c r="F367" s="171"/>
      <c r="G367" s="62"/>
      <c r="H367" s="171"/>
      <c r="I367" s="171"/>
      <c r="J367" s="171"/>
      <c r="K367" s="171"/>
      <c r="L367" s="171"/>
      <c r="M367" s="171"/>
      <c r="N367" s="171"/>
      <c r="O367" s="171"/>
      <c r="P367" s="171"/>
      <c r="Q367" s="171"/>
      <c r="R367" s="171"/>
      <c r="S367" s="62"/>
      <c r="T367" s="62"/>
    </row>
    <row r="368" spans="1:20" s="1" customFormat="1" x14ac:dyDescent="0.3">
      <c r="A368" s="463" t="s">
        <v>466</v>
      </c>
      <c r="B368" s="62"/>
      <c r="C368" s="489"/>
      <c r="D368" s="171">
        <f>D366+D348+D335</f>
        <v>6282476388.1000004</v>
      </c>
      <c r="E368" s="171">
        <f>E366+E348+E335</f>
        <v>0</v>
      </c>
      <c r="F368" s="171">
        <f>F366+F348+F335</f>
        <v>6282476388.1000004</v>
      </c>
      <c r="G368" s="62"/>
      <c r="H368" s="171">
        <f t="shared" ref="H368:Q368" si="133">H366+H348+H335</f>
        <v>6282476388.1000004</v>
      </c>
      <c r="I368" s="171">
        <f t="shared" si="133"/>
        <v>6282476388.1000004</v>
      </c>
      <c r="J368" s="171">
        <f t="shared" si="133"/>
        <v>3257985533.4857597</v>
      </c>
      <c r="K368" s="171">
        <f t="shared" si="133"/>
        <v>774505505.26390636</v>
      </c>
      <c r="L368" s="171">
        <f t="shared" si="133"/>
        <v>2108471040.3903334</v>
      </c>
      <c r="M368" s="171">
        <f t="shared" si="133"/>
        <v>141514308.95999998</v>
      </c>
      <c r="N368" s="171">
        <f t="shared" si="133"/>
        <v>0</v>
      </c>
      <c r="O368" s="171">
        <f t="shared" si="133"/>
        <v>0</v>
      </c>
      <c r="P368" s="171">
        <f t="shared" si="133"/>
        <v>0</v>
      </c>
      <c r="Q368" s="171">
        <f t="shared" si="133"/>
        <v>0</v>
      </c>
      <c r="R368" s="171"/>
      <c r="S368" s="62">
        <f>SUM(J368:Q368)</f>
        <v>6282476388.0999994</v>
      </c>
      <c r="T368" s="468">
        <f>I368-S368</f>
        <v>0</v>
      </c>
    </row>
    <row r="369" spans="1:20" s="1" customFormat="1" x14ac:dyDescent="0.3">
      <c r="A369" s="62"/>
      <c r="B369" s="62"/>
      <c r="C369" s="489"/>
      <c r="D369" s="171"/>
      <c r="E369" s="171"/>
      <c r="F369" s="171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</row>
    <row r="370" spans="1:20" s="1" customFormat="1" x14ac:dyDescent="0.3">
      <c r="A370" s="499" t="s">
        <v>812</v>
      </c>
      <c r="B370" s="62"/>
      <c r="C370" s="489"/>
      <c r="D370" s="171">
        <f>D335+D348+D366</f>
        <v>6282476388.1000004</v>
      </c>
      <c r="E370" s="171">
        <f t="shared" ref="E370:Q370" si="134">E335+E348+E366</f>
        <v>0</v>
      </c>
      <c r="F370" s="171">
        <f t="shared" si="134"/>
        <v>6282476388.1000004</v>
      </c>
      <c r="G370" s="171">
        <f t="shared" si="134"/>
        <v>0</v>
      </c>
      <c r="H370" s="171">
        <f t="shared" si="134"/>
        <v>6282476388.1000004</v>
      </c>
      <c r="I370" s="171">
        <f t="shared" si="134"/>
        <v>6282476388.1000004</v>
      </c>
      <c r="J370" s="171">
        <f t="shared" si="134"/>
        <v>3257985533.4857597</v>
      </c>
      <c r="K370" s="171">
        <f t="shared" si="134"/>
        <v>774505505.26390636</v>
      </c>
      <c r="L370" s="171">
        <f t="shared" si="134"/>
        <v>2108471040.3903334</v>
      </c>
      <c r="M370" s="171">
        <f t="shared" si="134"/>
        <v>141514308.95999998</v>
      </c>
      <c r="N370" s="171">
        <f t="shared" si="134"/>
        <v>0</v>
      </c>
      <c r="O370" s="171">
        <f t="shared" si="134"/>
        <v>0</v>
      </c>
      <c r="P370" s="171">
        <f t="shared" si="134"/>
        <v>0</v>
      </c>
      <c r="Q370" s="171">
        <f t="shared" si="134"/>
        <v>0</v>
      </c>
      <c r="R370" s="171"/>
      <c r="S370" s="62">
        <f>SUM(J370:Q370)</f>
        <v>6282476388.0999994</v>
      </c>
      <c r="T370" s="468">
        <f>I370-S370</f>
        <v>0</v>
      </c>
    </row>
    <row r="371" spans="1:20" s="1" customFormat="1" x14ac:dyDescent="0.3">
      <c r="A371" s="62"/>
      <c r="B371" s="62"/>
      <c r="C371" s="489"/>
      <c r="D371" s="171"/>
      <c r="E371" s="171"/>
      <c r="F371" s="171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</row>
    <row r="372" spans="1:20" s="1" customFormat="1" x14ac:dyDescent="0.3">
      <c r="A372" s="499" t="s">
        <v>468</v>
      </c>
      <c r="B372" s="62"/>
      <c r="C372" s="489"/>
      <c r="D372" s="171"/>
      <c r="E372" s="171"/>
      <c r="F372" s="171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</row>
    <row r="373" spans="1:20" s="1" customFormat="1" x14ac:dyDescent="0.3">
      <c r="A373" s="62"/>
      <c r="B373" s="62"/>
      <c r="C373" s="489"/>
      <c r="D373" s="171"/>
      <c r="E373" s="171"/>
      <c r="F373" s="171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</row>
    <row r="374" spans="1:20" s="1" customFormat="1" x14ac:dyDescent="0.3">
      <c r="A374" s="499" t="s">
        <v>469</v>
      </c>
      <c r="B374" s="62"/>
      <c r="C374" s="489"/>
      <c r="D374" s="171"/>
      <c r="E374" s="171"/>
      <c r="F374" s="171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</row>
    <row r="375" spans="1:20" s="1" customFormat="1" x14ac:dyDescent="0.3">
      <c r="A375" s="503">
        <v>374</v>
      </c>
      <c r="B375" s="504" t="s">
        <v>470</v>
      </c>
      <c r="C375" s="489"/>
      <c r="D375" s="171">
        <f t="shared" ref="D375:D385" si="135">D103+D239</f>
        <v>1033147.95</v>
      </c>
      <c r="E375" s="171">
        <f t="shared" ref="E375:Q375" si="136">E103+E239</f>
        <v>0</v>
      </c>
      <c r="F375" s="171">
        <f t="shared" si="136"/>
        <v>1033147.95</v>
      </c>
      <c r="G375" s="171">
        <f t="shared" si="136"/>
        <v>1033147.95</v>
      </c>
      <c r="H375" s="171">
        <f t="shared" si="136"/>
        <v>0</v>
      </c>
      <c r="I375" s="171">
        <f t="shared" si="136"/>
        <v>0</v>
      </c>
      <c r="J375" s="171">
        <f t="shared" si="136"/>
        <v>0</v>
      </c>
      <c r="K375" s="171">
        <f t="shared" si="136"/>
        <v>0</v>
      </c>
      <c r="L375" s="171">
        <f t="shared" si="136"/>
        <v>0</v>
      </c>
      <c r="M375" s="171">
        <f t="shared" si="136"/>
        <v>0</v>
      </c>
      <c r="N375" s="171">
        <f t="shared" si="136"/>
        <v>0</v>
      </c>
      <c r="O375" s="171">
        <f t="shared" si="136"/>
        <v>0</v>
      </c>
      <c r="P375" s="171">
        <f t="shared" si="136"/>
        <v>0</v>
      </c>
      <c r="Q375" s="171">
        <f t="shared" si="136"/>
        <v>0</v>
      </c>
      <c r="R375" s="171"/>
      <c r="S375" s="62">
        <f t="shared" ref="S375:S384" si="137">SUM(J375:Q375)</f>
        <v>0</v>
      </c>
      <c r="T375" s="468">
        <f t="shared" ref="T375:T385" si="138">I375-S375</f>
        <v>0</v>
      </c>
    </row>
    <row r="376" spans="1:20" s="1" customFormat="1" x14ac:dyDescent="0.3">
      <c r="A376" s="511">
        <f t="shared" ref="A376:A382" si="139">A375+1</f>
        <v>375</v>
      </c>
      <c r="B376" s="507" t="s">
        <v>374</v>
      </c>
      <c r="C376" s="489"/>
      <c r="D376" s="171">
        <f t="shared" si="135"/>
        <v>91128.81</v>
      </c>
      <c r="E376" s="171">
        <f t="shared" ref="E376:Q376" si="140">E104+E240</f>
        <v>0</v>
      </c>
      <c r="F376" s="171">
        <f t="shared" si="140"/>
        <v>91128.81</v>
      </c>
      <c r="G376" s="171">
        <f t="shared" si="140"/>
        <v>91128.81</v>
      </c>
      <c r="H376" s="171">
        <f t="shared" si="140"/>
        <v>0</v>
      </c>
      <c r="I376" s="171">
        <f t="shared" si="140"/>
        <v>0</v>
      </c>
      <c r="J376" s="171">
        <f t="shared" si="140"/>
        <v>0</v>
      </c>
      <c r="K376" s="171">
        <f t="shared" si="140"/>
        <v>0</v>
      </c>
      <c r="L376" s="171">
        <f t="shared" si="140"/>
        <v>0</v>
      </c>
      <c r="M376" s="171">
        <f t="shared" si="140"/>
        <v>0</v>
      </c>
      <c r="N376" s="171">
        <f t="shared" si="140"/>
        <v>0</v>
      </c>
      <c r="O376" s="171">
        <f t="shared" si="140"/>
        <v>0</v>
      </c>
      <c r="P376" s="171">
        <f t="shared" si="140"/>
        <v>0</v>
      </c>
      <c r="Q376" s="171">
        <f t="shared" si="140"/>
        <v>0</v>
      </c>
      <c r="R376" s="171"/>
      <c r="S376" s="62">
        <f t="shared" si="137"/>
        <v>0</v>
      </c>
      <c r="T376" s="468">
        <f t="shared" si="138"/>
        <v>0</v>
      </c>
    </row>
    <row r="377" spans="1:20" s="1" customFormat="1" x14ac:dyDescent="0.3">
      <c r="A377" s="511">
        <f t="shared" si="139"/>
        <v>376</v>
      </c>
      <c r="B377" s="504" t="s">
        <v>471</v>
      </c>
      <c r="C377" s="489"/>
      <c r="D377" s="171">
        <f t="shared" si="135"/>
        <v>341077898.43999994</v>
      </c>
      <c r="E377" s="171">
        <f t="shared" ref="E377:Q377" si="141">E105+E241</f>
        <v>0</v>
      </c>
      <c r="F377" s="171">
        <f t="shared" si="141"/>
        <v>341077898.43999994</v>
      </c>
      <c r="G377" s="171">
        <f t="shared" si="141"/>
        <v>341077898.43999994</v>
      </c>
      <c r="H377" s="171">
        <f t="shared" si="141"/>
        <v>0</v>
      </c>
      <c r="I377" s="171">
        <f t="shared" si="141"/>
        <v>0</v>
      </c>
      <c r="J377" s="171">
        <f t="shared" si="141"/>
        <v>0</v>
      </c>
      <c r="K377" s="171">
        <f t="shared" si="141"/>
        <v>0</v>
      </c>
      <c r="L377" s="171">
        <f t="shared" si="141"/>
        <v>0</v>
      </c>
      <c r="M377" s="171">
        <f t="shared" si="141"/>
        <v>0</v>
      </c>
      <c r="N377" s="171">
        <f t="shared" si="141"/>
        <v>0</v>
      </c>
      <c r="O377" s="171">
        <f t="shared" si="141"/>
        <v>0</v>
      </c>
      <c r="P377" s="171">
        <f t="shared" si="141"/>
        <v>0</v>
      </c>
      <c r="Q377" s="171">
        <f t="shared" si="141"/>
        <v>0</v>
      </c>
      <c r="R377" s="171"/>
      <c r="S377" s="62">
        <f t="shared" si="137"/>
        <v>0</v>
      </c>
      <c r="T377" s="468">
        <f t="shared" si="138"/>
        <v>0</v>
      </c>
    </row>
    <row r="378" spans="1:20" s="1" customFormat="1" x14ac:dyDescent="0.3">
      <c r="A378" s="511">
        <f t="shared" si="139"/>
        <v>377</v>
      </c>
      <c r="B378" s="504" t="s">
        <v>472</v>
      </c>
      <c r="C378" s="512"/>
      <c r="D378" s="171">
        <f t="shared" si="135"/>
        <v>263321.80000000005</v>
      </c>
      <c r="E378" s="171">
        <f t="shared" ref="E378:Q378" si="142">E106+E242</f>
        <v>0</v>
      </c>
      <c r="F378" s="171">
        <f t="shared" si="142"/>
        <v>263321.80000000005</v>
      </c>
      <c r="G378" s="171">
        <f t="shared" si="142"/>
        <v>263321.80000000005</v>
      </c>
      <c r="H378" s="171">
        <f t="shared" si="142"/>
        <v>0</v>
      </c>
      <c r="I378" s="171">
        <f t="shared" si="142"/>
        <v>0</v>
      </c>
      <c r="J378" s="171">
        <f t="shared" si="142"/>
        <v>0</v>
      </c>
      <c r="K378" s="171">
        <f t="shared" si="142"/>
        <v>0</v>
      </c>
      <c r="L378" s="171">
        <f t="shared" si="142"/>
        <v>0</v>
      </c>
      <c r="M378" s="171">
        <f t="shared" si="142"/>
        <v>0</v>
      </c>
      <c r="N378" s="171">
        <f t="shared" si="142"/>
        <v>0</v>
      </c>
      <c r="O378" s="171">
        <f t="shared" si="142"/>
        <v>0</v>
      </c>
      <c r="P378" s="171">
        <f t="shared" si="142"/>
        <v>0</v>
      </c>
      <c r="Q378" s="171">
        <f t="shared" si="142"/>
        <v>0</v>
      </c>
      <c r="R378" s="171"/>
      <c r="S378" s="62">
        <f t="shared" si="137"/>
        <v>0</v>
      </c>
      <c r="T378" s="468">
        <f t="shared" si="138"/>
        <v>0</v>
      </c>
    </row>
    <row r="379" spans="1:20" s="1" customFormat="1" x14ac:dyDescent="0.3">
      <c r="A379" s="511">
        <f t="shared" si="139"/>
        <v>378</v>
      </c>
      <c r="B379" s="503" t="s">
        <v>473</v>
      </c>
      <c r="C379" s="512"/>
      <c r="D379" s="171">
        <f t="shared" si="135"/>
        <v>7481606.2600000016</v>
      </c>
      <c r="E379" s="171">
        <f t="shared" ref="E379:Q379" si="143">E107+E243</f>
        <v>0</v>
      </c>
      <c r="F379" s="171">
        <f t="shared" si="143"/>
        <v>7481606.2600000016</v>
      </c>
      <c r="G379" s="171">
        <f t="shared" si="143"/>
        <v>7481606.2600000016</v>
      </c>
      <c r="H379" s="171">
        <f t="shared" si="143"/>
        <v>0</v>
      </c>
      <c r="I379" s="171">
        <f t="shared" si="143"/>
        <v>0</v>
      </c>
      <c r="J379" s="171">
        <f t="shared" si="143"/>
        <v>0</v>
      </c>
      <c r="K379" s="171">
        <f t="shared" si="143"/>
        <v>0</v>
      </c>
      <c r="L379" s="171">
        <f t="shared" si="143"/>
        <v>0</v>
      </c>
      <c r="M379" s="171">
        <f t="shared" si="143"/>
        <v>0</v>
      </c>
      <c r="N379" s="171">
        <f t="shared" si="143"/>
        <v>0</v>
      </c>
      <c r="O379" s="171">
        <f t="shared" si="143"/>
        <v>0</v>
      </c>
      <c r="P379" s="171">
        <f t="shared" si="143"/>
        <v>0</v>
      </c>
      <c r="Q379" s="171">
        <f t="shared" si="143"/>
        <v>0</v>
      </c>
      <c r="R379" s="171"/>
      <c r="S379" s="62">
        <f t="shared" si="137"/>
        <v>0</v>
      </c>
      <c r="T379" s="468">
        <f t="shared" si="138"/>
        <v>0</v>
      </c>
    </row>
    <row r="380" spans="1:20" s="1" customFormat="1" x14ac:dyDescent="0.3">
      <c r="A380" s="511">
        <f t="shared" si="139"/>
        <v>379</v>
      </c>
      <c r="B380" s="503" t="s">
        <v>474</v>
      </c>
      <c r="C380" s="489"/>
      <c r="D380" s="171">
        <f t="shared" si="135"/>
        <v>2270600.8200000003</v>
      </c>
      <c r="E380" s="171">
        <f t="shared" ref="E380:Q380" si="144">E108+E244</f>
        <v>0</v>
      </c>
      <c r="F380" s="171">
        <f t="shared" si="144"/>
        <v>2270600.8200000003</v>
      </c>
      <c r="G380" s="171">
        <f t="shared" si="144"/>
        <v>2270600.8200000003</v>
      </c>
      <c r="H380" s="171">
        <f t="shared" si="144"/>
        <v>0</v>
      </c>
      <c r="I380" s="171">
        <f t="shared" si="144"/>
        <v>0</v>
      </c>
      <c r="J380" s="171">
        <f t="shared" si="144"/>
        <v>0</v>
      </c>
      <c r="K380" s="171">
        <f t="shared" si="144"/>
        <v>0</v>
      </c>
      <c r="L380" s="171">
        <f t="shared" si="144"/>
        <v>0</v>
      </c>
      <c r="M380" s="171">
        <f t="shared" si="144"/>
        <v>0</v>
      </c>
      <c r="N380" s="171">
        <f t="shared" si="144"/>
        <v>0</v>
      </c>
      <c r="O380" s="171">
        <f t="shared" si="144"/>
        <v>0</v>
      </c>
      <c r="P380" s="171">
        <f t="shared" si="144"/>
        <v>0</v>
      </c>
      <c r="Q380" s="171">
        <f t="shared" si="144"/>
        <v>0</v>
      </c>
      <c r="R380" s="171"/>
      <c r="S380" s="62">
        <f t="shared" si="137"/>
        <v>0</v>
      </c>
      <c r="T380" s="468">
        <f t="shared" si="138"/>
        <v>0</v>
      </c>
    </row>
    <row r="381" spans="1:20" s="1" customFormat="1" x14ac:dyDescent="0.3">
      <c r="A381" s="511">
        <f t="shared" si="139"/>
        <v>380</v>
      </c>
      <c r="B381" s="504" t="s">
        <v>456</v>
      </c>
      <c r="C381" s="489"/>
      <c r="D381" s="171">
        <f t="shared" si="135"/>
        <v>143912621.82999995</v>
      </c>
      <c r="E381" s="171">
        <f t="shared" ref="E381:Q381" si="145">E109+E245</f>
        <v>0</v>
      </c>
      <c r="F381" s="171">
        <f t="shared" si="145"/>
        <v>143912621.82999995</v>
      </c>
      <c r="G381" s="171">
        <f t="shared" si="145"/>
        <v>143912621.82999995</v>
      </c>
      <c r="H381" s="171">
        <f t="shared" si="145"/>
        <v>0</v>
      </c>
      <c r="I381" s="171">
        <f t="shared" si="145"/>
        <v>0</v>
      </c>
      <c r="J381" s="171">
        <f t="shared" si="145"/>
        <v>0</v>
      </c>
      <c r="K381" s="171">
        <f t="shared" si="145"/>
        <v>0</v>
      </c>
      <c r="L381" s="171">
        <f t="shared" si="145"/>
        <v>0</v>
      </c>
      <c r="M381" s="171">
        <f t="shared" si="145"/>
        <v>0</v>
      </c>
      <c r="N381" s="171">
        <f t="shared" si="145"/>
        <v>0</v>
      </c>
      <c r="O381" s="171">
        <f t="shared" si="145"/>
        <v>0</v>
      </c>
      <c r="P381" s="171">
        <f t="shared" si="145"/>
        <v>0</v>
      </c>
      <c r="Q381" s="171">
        <f t="shared" si="145"/>
        <v>0</v>
      </c>
      <c r="R381" s="171"/>
      <c r="S381" s="62">
        <f t="shared" si="137"/>
        <v>0</v>
      </c>
      <c r="T381" s="468">
        <f t="shared" si="138"/>
        <v>0</v>
      </c>
    </row>
    <row r="382" spans="1:20" s="1" customFormat="1" x14ac:dyDescent="0.3">
      <c r="A382" s="511">
        <f t="shared" si="139"/>
        <v>381</v>
      </c>
      <c r="B382" s="504" t="s">
        <v>475</v>
      </c>
      <c r="C382" s="489"/>
      <c r="D382" s="171">
        <f t="shared" si="135"/>
        <v>52706502.309999995</v>
      </c>
      <c r="E382" s="171">
        <f t="shared" ref="E382:Q382" si="146">E110+E246</f>
        <v>0</v>
      </c>
      <c r="F382" s="171">
        <f t="shared" si="146"/>
        <v>52706502.309999995</v>
      </c>
      <c r="G382" s="171">
        <f t="shared" si="146"/>
        <v>52706502.309999995</v>
      </c>
      <c r="H382" s="171">
        <f t="shared" si="146"/>
        <v>0</v>
      </c>
      <c r="I382" s="171">
        <f t="shared" si="146"/>
        <v>0</v>
      </c>
      <c r="J382" s="171">
        <f t="shared" si="146"/>
        <v>0</v>
      </c>
      <c r="K382" s="171">
        <f t="shared" si="146"/>
        <v>0</v>
      </c>
      <c r="L382" s="171">
        <f t="shared" si="146"/>
        <v>0</v>
      </c>
      <c r="M382" s="171">
        <f t="shared" si="146"/>
        <v>0</v>
      </c>
      <c r="N382" s="171">
        <f t="shared" si="146"/>
        <v>0</v>
      </c>
      <c r="O382" s="171">
        <f t="shared" si="146"/>
        <v>0</v>
      </c>
      <c r="P382" s="171">
        <f t="shared" si="146"/>
        <v>0</v>
      </c>
      <c r="Q382" s="171">
        <f t="shared" si="146"/>
        <v>0</v>
      </c>
      <c r="R382" s="171"/>
      <c r="S382" s="62">
        <f t="shared" si="137"/>
        <v>0</v>
      </c>
      <c r="T382" s="468">
        <f t="shared" si="138"/>
        <v>0</v>
      </c>
    </row>
    <row r="383" spans="1:20" s="1" customFormat="1" x14ac:dyDescent="0.3">
      <c r="A383" s="504">
        <v>383</v>
      </c>
      <c r="B383" s="504" t="s">
        <v>476</v>
      </c>
      <c r="C383" s="489"/>
      <c r="D383" s="171">
        <f t="shared" si="135"/>
        <v>7885824.3199999994</v>
      </c>
      <c r="E383" s="171">
        <f t="shared" ref="E383:Q383" si="147">E111+E247</f>
        <v>0</v>
      </c>
      <c r="F383" s="171">
        <f t="shared" si="147"/>
        <v>7885824.3199999994</v>
      </c>
      <c r="G383" s="171">
        <f t="shared" si="147"/>
        <v>7885824.3199999994</v>
      </c>
      <c r="H383" s="171">
        <f t="shared" si="147"/>
        <v>0</v>
      </c>
      <c r="I383" s="171">
        <f t="shared" si="147"/>
        <v>0</v>
      </c>
      <c r="J383" s="171">
        <f t="shared" si="147"/>
        <v>0</v>
      </c>
      <c r="K383" s="171">
        <f t="shared" si="147"/>
        <v>0</v>
      </c>
      <c r="L383" s="171">
        <f t="shared" si="147"/>
        <v>0</v>
      </c>
      <c r="M383" s="171">
        <f t="shared" si="147"/>
        <v>0</v>
      </c>
      <c r="N383" s="171">
        <f t="shared" si="147"/>
        <v>0</v>
      </c>
      <c r="O383" s="171">
        <f t="shared" si="147"/>
        <v>0</v>
      </c>
      <c r="P383" s="171">
        <f t="shared" si="147"/>
        <v>0</v>
      </c>
      <c r="Q383" s="171">
        <f t="shared" si="147"/>
        <v>0</v>
      </c>
      <c r="R383" s="171"/>
      <c r="S383" s="62">
        <f t="shared" si="137"/>
        <v>0</v>
      </c>
      <c r="T383" s="468">
        <f t="shared" si="138"/>
        <v>0</v>
      </c>
    </row>
    <row r="384" spans="1:20" s="1" customFormat="1" x14ac:dyDescent="0.3">
      <c r="A384" s="504">
        <v>385</v>
      </c>
      <c r="B384" s="504" t="s">
        <v>477</v>
      </c>
      <c r="C384" s="489"/>
      <c r="D384" s="171">
        <f t="shared" si="135"/>
        <v>872442.47999999975</v>
      </c>
      <c r="E384" s="171">
        <f t="shared" ref="E384:Q384" si="148">E112+E248</f>
        <v>0</v>
      </c>
      <c r="F384" s="171">
        <f t="shared" si="148"/>
        <v>872442.47999999975</v>
      </c>
      <c r="G384" s="171">
        <f t="shared" si="148"/>
        <v>872442.47999999975</v>
      </c>
      <c r="H384" s="171">
        <f t="shared" si="148"/>
        <v>0</v>
      </c>
      <c r="I384" s="171">
        <f t="shared" si="148"/>
        <v>0</v>
      </c>
      <c r="J384" s="171">
        <f t="shared" si="148"/>
        <v>0</v>
      </c>
      <c r="K384" s="171">
        <f t="shared" si="148"/>
        <v>0</v>
      </c>
      <c r="L384" s="171">
        <f t="shared" si="148"/>
        <v>0</v>
      </c>
      <c r="M384" s="171">
        <f t="shared" si="148"/>
        <v>0</v>
      </c>
      <c r="N384" s="171">
        <f t="shared" si="148"/>
        <v>0</v>
      </c>
      <c r="O384" s="171">
        <f t="shared" si="148"/>
        <v>0</v>
      </c>
      <c r="P384" s="171">
        <f t="shared" si="148"/>
        <v>0</v>
      </c>
      <c r="Q384" s="171">
        <f t="shared" si="148"/>
        <v>0</v>
      </c>
      <c r="R384" s="171"/>
      <c r="S384" s="62">
        <f t="shared" si="137"/>
        <v>0</v>
      </c>
      <c r="T384" s="468">
        <f t="shared" si="138"/>
        <v>0</v>
      </c>
    </row>
    <row r="385" spans="1:20" s="1" customFormat="1" x14ac:dyDescent="0.3">
      <c r="A385" s="504">
        <v>387</v>
      </c>
      <c r="B385" s="504" t="s">
        <v>478</v>
      </c>
      <c r="C385" s="489"/>
      <c r="D385" s="171">
        <f t="shared" si="135"/>
        <v>0</v>
      </c>
      <c r="E385" s="171">
        <f t="shared" ref="E385:Q385" si="149">E113+E249</f>
        <v>0</v>
      </c>
      <c r="F385" s="171">
        <f t="shared" si="149"/>
        <v>0</v>
      </c>
      <c r="G385" s="171">
        <f t="shared" si="149"/>
        <v>0</v>
      </c>
      <c r="H385" s="171">
        <f t="shared" si="149"/>
        <v>0</v>
      </c>
      <c r="I385" s="171">
        <f t="shared" si="149"/>
        <v>0</v>
      </c>
      <c r="J385" s="171">
        <f t="shared" si="149"/>
        <v>0</v>
      </c>
      <c r="K385" s="171">
        <f t="shared" si="149"/>
        <v>0</v>
      </c>
      <c r="L385" s="171">
        <f t="shared" si="149"/>
        <v>0</v>
      </c>
      <c r="M385" s="171">
        <f t="shared" si="149"/>
        <v>0</v>
      </c>
      <c r="N385" s="171">
        <f t="shared" si="149"/>
        <v>0</v>
      </c>
      <c r="O385" s="171">
        <f t="shared" si="149"/>
        <v>0</v>
      </c>
      <c r="P385" s="171">
        <f t="shared" si="149"/>
        <v>0</v>
      </c>
      <c r="Q385" s="171">
        <f t="shared" si="149"/>
        <v>0</v>
      </c>
      <c r="R385" s="171"/>
      <c r="S385" s="62">
        <f>SUM(J385:Q385)</f>
        <v>0</v>
      </c>
      <c r="T385" s="468">
        <f t="shared" si="138"/>
        <v>0</v>
      </c>
    </row>
    <row r="386" spans="1:20" s="1" customFormat="1" x14ac:dyDescent="0.3">
      <c r="A386" s="62"/>
      <c r="B386" s="62"/>
      <c r="C386" s="489"/>
      <c r="D386" s="171"/>
      <c r="E386" s="171"/>
      <c r="F386" s="171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</row>
    <row r="387" spans="1:20" s="1" customFormat="1" x14ac:dyDescent="0.3">
      <c r="A387" s="62"/>
      <c r="B387" s="498" t="s">
        <v>479</v>
      </c>
      <c r="C387" s="512"/>
      <c r="D387" s="171">
        <f>SUM(D375:D384)</f>
        <v>557595095.01999986</v>
      </c>
      <c r="E387" s="171">
        <f>SUM(E375:E384)</f>
        <v>0</v>
      </c>
      <c r="F387" s="171">
        <f>SUM(F375:F384)</f>
        <v>557595095.01999986</v>
      </c>
      <c r="G387" s="171">
        <f>SUM(G375:G384)</f>
        <v>557595095.01999986</v>
      </c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</row>
    <row r="388" spans="1:20" s="1" customFormat="1" x14ac:dyDescent="0.3">
      <c r="A388" s="62"/>
      <c r="B388" s="498"/>
      <c r="C388" s="512"/>
      <c r="D388" s="171"/>
      <c r="E388" s="171"/>
      <c r="F388" s="171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</row>
    <row r="389" spans="1:20" s="1" customFormat="1" x14ac:dyDescent="0.3">
      <c r="A389" s="499" t="s">
        <v>814</v>
      </c>
      <c r="B389" s="62"/>
      <c r="C389" s="489"/>
      <c r="D389" s="171">
        <f>D387</f>
        <v>557595095.01999986</v>
      </c>
      <c r="E389" s="171">
        <f>E387</f>
        <v>0</v>
      </c>
      <c r="F389" s="171">
        <f>F387</f>
        <v>557595095.01999986</v>
      </c>
      <c r="G389" s="171">
        <f>G387</f>
        <v>557595095.01999986</v>
      </c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</row>
    <row r="390" spans="1:20" s="1" customFormat="1" x14ac:dyDescent="0.3">
      <c r="A390" s="62" t="s">
        <v>906</v>
      </c>
      <c r="B390" s="62"/>
      <c r="C390" s="489"/>
      <c r="D390" s="171">
        <f>D387+D368</f>
        <v>6840071483.1199999</v>
      </c>
      <c r="E390" s="171">
        <f>E387+E368</f>
        <v>0</v>
      </c>
      <c r="F390" s="171">
        <f>F387+F368</f>
        <v>6840071483.1199999</v>
      </c>
      <c r="G390" s="171">
        <f>G387+G368</f>
        <v>557595095.01999986</v>
      </c>
      <c r="H390" s="171">
        <f>H387+H368</f>
        <v>6282476388.1000004</v>
      </c>
      <c r="I390" s="171">
        <f>I389+I368</f>
        <v>6282476388.1000004</v>
      </c>
      <c r="J390" s="171">
        <f t="shared" ref="J390:Q390" si="150">J387+J368</f>
        <v>3257985533.4857597</v>
      </c>
      <c r="K390" s="171">
        <f t="shared" si="150"/>
        <v>774505505.26390636</v>
      </c>
      <c r="L390" s="171">
        <f t="shared" si="150"/>
        <v>2108471040.3903334</v>
      </c>
      <c r="M390" s="171">
        <f t="shared" si="150"/>
        <v>141514308.95999998</v>
      </c>
      <c r="N390" s="171">
        <f t="shared" si="150"/>
        <v>0</v>
      </c>
      <c r="O390" s="171">
        <f t="shared" si="150"/>
        <v>0</v>
      </c>
      <c r="P390" s="171">
        <f t="shared" si="150"/>
        <v>0</v>
      </c>
      <c r="Q390" s="171">
        <f t="shared" si="150"/>
        <v>0</v>
      </c>
      <c r="R390" s="62"/>
      <c r="S390" s="62"/>
      <c r="T390" s="62"/>
    </row>
    <row r="391" spans="1:20" x14ac:dyDescent="0.3">
      <c r="A391" s="499" t="s">
        <v>481</v>
      </c>
      <c r="B391" s="62"/>
      <c r="C391" s="489"/>
      <c r="D391" s="171"/>
      <c r="E391" s="171"/>
      <c r="F391" s="171"/>
      <c r="G391" s="177">
        <f>G390/$F$390</f>
        <v>8.1518898800405651E-2</v>
      </c>
      <c r="H391" s="177">
        <f>H390/$F$390</f>
        <v>0.91848110119959436</v>
      </c>
      <c r="I391" s="62"/>
      <c r="J391" s="177">
        <f t="shared" ref="J391:Q391" si="151">J390/$H$390</f>
        <v>0.51858301284775177</v>
      </c>
      <c r="K391" s="177">
        <f>K390/$H$390</f>
        <v>0.1232802890801057</v>
      </c>
      <c r="L391" s="177">
        <f t="shared" si="151"/>
        <v>0.33561145480532317</v>
      </c>
      <c r="M391" s="177">
        <f t="shared" si="151"/>
        <v>2.2525243266819175E-2</v>
      </c>
      <c r="N391" s="177">
        <f t="shared" si="151"/>
        <v>0</v>
      </c>
      <c r="O391" s="177">
        <f t="shared" si="151"/>
        <v>0</v>
      </c>
      <c r="P391" s="177">
        <f t="shared" si="151"/>
        <v>0</v>
      </c>
      <c r="Q391" s="177">
        <f t="shared" si="151"/>
        <v>0</v>
      </c>
      <c r="R391" s="62"/>
      <c r="S391" s="62"/>
      <c r="T391" s="62"/>
    </row>
    <row r="392" spans="1:20" x14ac:dyDescent="0.3">
      <c r="A392" s="498"/>
      <c r="B392" s="62"/>
      <c r="C392" s="489"/>
      <c r="D392" s="171"/>
      <c r="E392" s="171"/>
      <c r="F392" s="171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</row>
    <row r="393" spans="1:20" s="1" customFormat="1" x14ac:dyDescent="0.3">
      <c r="A393" s="62" t="s">
        <v>482</v>
      </c>
      <c r="B393" s="62" t="s">
        <v>52</v>
      </c>
      <c r="C393" s="121" t="s">
        <v>1199</v>
      </c>
      <c r="D393" s="171">
        <f>D121+D257</f>
        <v>39324058.869999997</v>
      </c>
      <c r="E393" s="171">
        <f t="shared" ref="E393:Q393" si="152">E121+E257</f>
        <v>0</v>
      </c>
      <c r="F393" s="171">
        <f t="shared" si="152"/>
        <v>39324058.869999997</v>
      </c>
      <c r="G393" s="171">
        <f t="shared" si="152"/>
        <v>2750899.674744423</v>
      </c>
      <c r="H393" s="171">
        <f t="shared" si="152"/>
        <v>36573159.195255578</v>
      </c>
      <c r="I393" s="171">
        <f t="shared" si="152"/>
        <v>36573159.195255578</v>
      </c>
      <c r="J393" s="171">
        <f t="shared" si="152"/>
        <v>13260811.869247928</v>
      </c>
      <c r="K393" s="171">
        <f t="shared" si="152"/>
        <v>6012518.9972141823</v>
      </c>
      <c r="L393" s="171">
        <f t="shared" si="152"/>
        <v>10653992.37854963</v>
      </c>
      <c r="M393" s="171">
        <f t="shared" si="152"/>
        <v>2352665.125911945</v>
      </c>
      <c r="N393" s="171">
        <f t="shared" si="152"/>
        <v>628377.95203641406</v>
      </c>
      <c r="O393" s="171">
        <f t="shared" si="152"/>
        <v>3209333.6586267208</v>
      </c>
      <c r="P393" s="171">
        <f t="shared" si="152"/>
        <v>455459.21487528749</v>
      </c>
      <c r="Q393" s="171">
        <f t="shared" si="152"/>
        <v>0</v>
      </c>
      <c r="R393" s="171"/>
      <c r="S393" s="62">
        <f>SUM(J393:Q393)</f>
        <v>36573159.19646211</v>
      </c>
      <c r="T393" s="468">
        <f t="shared" ref="T393:T398" si="153">I393-S393</f>
        <v>-1.2065321207046509E-3</v>
      </c>
    </row>
    <row r="394" spans="1:20" s="1" customFormat="1" x14ac:dyDescent="0.3">
      <c r="A394" s="62" t="s">
        <v>483</v>
      </c>
      <c r="B394" s="62" t="s">
        <v>92</v>
      </c>
      <c r="C394" s="121" t="s">
        <v>1199</v>
      </c>
      <c r="D394" s="171">
        <f t="shared" ref="D394:D402" si="154">D122+D258</f>
        <v>175451290.93999982</v>
      </c>
      <c r="E394" s="171">
        <f t="shared" ref="E394:Q394" si="155">E122+E258</f>
        <v>0</v>
      </c>
      <c r="F394" s="171">
        <f t="shared" si="155"/>
        <v>175451290.93999982</v>
      </c>
      <c r="G394" s="171">
        <f t="shared" si="155"/>
        <v>47252280.173489429</v>
      </c>
      <c r="H394" s="171">
        <f t="shared" si="155"/>
        <v>128199010.76651037</v>
      </c>
      <c r="I394" s="171">
        <f t="shared" si="155"/>
        <v>128199010.76651037</v>
      </c>
      <c r="J394" s="171">
        <f t="shared" si="155"/>
        <v>99701077.972879156</v>
      </c>
      <c r="K394" s="171">
        <f t="shared" si="155"/>
        <v>3592952.2377017797</v>
      </c>
      <c r="L394" s="171">
        <f t="shared" si="155"/>
        <v>15337578.268899975</v>
      </c>
      <c r="M394" s="171">
        <f t="shared" si="155"/>
        <v>3386916.775145859</v>
      </c>
      <c r="N394" s="171">
        <f t="shared" si="155"/>
        <v>904618.25758520083</v>
      </c>
      <c r="O394" s="171">
        <f t="shared" si="155"/>
        <v>4620184.0991839934</v>
      </c>
      <c r="P394" s="171">
        <f t="shared" si="155"/>
        <v>655682.96918496932</v>
      </c>
      <c r="Q394" s="171">
        <f t="shared" si="155"/>
        <v>0</v>
      </c>
      <c r="R394" s="171"/>
      <c r="S394" s="62">
        <f>SUM(J394:Q394)</f>
        <v>128199010.58058092</v>
      </c>
      <c r="T394" s="468">
        <f t="shared" si="153"/>
        <v>0.18592944741249084</v>
      </c>
    </row>
    <row r="395" spans="1:20" s="1" customFormat="1" x14ac:dyDescent="0.3">
      <c r="A395" s="62" t="s">
        <v>484</v>
      </c>
      <c r="B395" s="62" t="s">
        <v>93</v>
      </c>
      <c r="C395" s="121" t="s">
        <v>1199</v>
      </c>
      <c r="D395" s="171">
        <f t="shared" si="154"/>
        <v>202500440.16999555</v>
      </c>
      <c r="E395" s="171">
        <f t="shared" ref="E395:Q395" si="156">E123+E259</f>
        <v>0</v>
      </c>
      <c r="F395" s="171">
        <f t="shared" si="156"/>
        <v>202500440.16999555</v>
      </c>
      <c r="G395" s="171">
        <f t="shared" si="156"/>
        <v>4646161.6798194349</v>
      </c>
      <c r="H395" s="171">
        <f t="shared" si="156"/>
        <v>197854278.49017608</v>
      </c>
      <c r="I395" s="171">
        <f t="shared" si="156"/>
        <v>197854278.49017608</v>
      </c>
      <c r="J395" s="171">
        <f t="shared" si="156"/>
        <v>95203850.060310394</v>
      </c>
      <c r="K395" s="171">
        <f t="shared" si="156"/>
        <v>35910983.682822116</v>
      </c>
      <c r="L395" s="171">
        <f t="shared" si="156"/>
        <v>41101074.532127209</v>
      </c>
      <c r="M395" s="171">
        <f t="shared" si="156"/>
        <v>9076134.2089872062</v>
      </c>
      <c r="N395" s="171">
        <f t="shared" si="156"/>
        <v>2424162.5226795999</v>
      </c>
      <c r="O395" s="171">
        <f t="shared" si="156"/>
        <v>12380998.335164791</v>
      </c>
      <c r="P395" s="171">
        <f t="shared" si="156"/>
        <v>1757074.9510411927</v>
      </c>
      <c r="Q395" s="171">
        <f t="shared" si="156"/>
        <v>0</v>
      </c>
      <c r="R395" s="171"/>
      <c r="S395" s="62">
        <f t="shared" ref="S395:S398" si="157">SUM(J395:Q395)</f>
        <v>197854278.29313248</v>
      </c>
      <c r="T395" s="468">
        <f t="shared" si="153"/>
        <v>0.19704359769821167</v>
      </c>
    </row>
    <row r="396" spans="1:20" s="1" customFormat="1" x14ac:dyDescent="0.3">
      <c r="A396" s="62" t="s">
        <v>485</v>
      </c>
      <c r="B396" s="62" t="s">
        <v>94</v>
      </c>
      <c r="C396" s="121" t="s">
        <v>1199</v>
      </c>
      <c r="D396" s="171">
        <f t="shared" si="154"/>
        <v>72995138.189999864</v>
      </c>
      <c r="E396" s="171">
        <f t="shared" ref="E396:Q396" si="158">E124+E260</f>
        <v>0</v>
      </c>
      <c r="F396" s="171">
        <f t="shared" si="158"/>
        <v>72995138.189999864</v>
      </c>
      <c r="G396" s="171">
        <f t="shared" si="158"/>
        <v>7304888.9272103775</v>
      </c>
      <c r="H396" s="171">
        <f t="shared" si="158"/>
        <v>65690249.262789488</v>
      </c>
      <c r="I396" s="171">
        <f t="shared" si="158"/>
        <v>65690249.262789488</v>
      </c>
      <c r="J396" s="171">
        <f t="shared" si="158"/>
        <v>8548418.6546524409</v>
      </c>
      <c r="K396" s="171">
        <f t="shared" si="158"/>
        <v>12699153.984235466</v>
      </c>
      <c r="L396" s="171">
        <f t="shared" si="158"/>
        <v>27369747.549965929</v>
      </c>
      <c r="M396" s="171">
        <f t="shared" si="158"/>
        <v>6043917.4609757587</v>
      </c>
      <c r="N396" s="171">
        <f t="shared" si="158"/>
        <v>1614281.7924131614</v>
      </c>
      <c r="O396" s="171">
        <f t="shared" si="158"/>
        <v>8244670.0653806664</v>
      </c>
      <c r="P396" s="171">
        <f t="shared" si="158"/>
        <v>1170059.3812644836</v>
      </c>
      <c r="Q396" s="171">
        <f t="shared" si="158"/>
        <v>0</v>
      </c>
      <c r="R396" s="171"/>
      <c r="S396" s="62">
        <f t="shared" si="157"/>
        <v>65690248.888887905</v>
      </c>
      <c r="T396" s="468">
        <f t="shared" si="153"/>
        <v>0.37390158325433731</v>
      </c>
    </row>
    <row r="397" spans="1:20" s="1" customFormat="1" x14ac:dyDescent="0.3">
      <c r="A397" s="62" t="s">
        <v>486</v>
      </c>
      <c r="B397" s="62" t="s">
        <v>53</v>
      </c>
      <c r="C397" s="121" t="s">
        <v>1199</v>
      </c>
      <c r="D397" s="171">
        <f t="shared" si="154"/>
        <v>798198.57000000018</v>
      </c>
      <c r="E397" s="171">
        <f t="shared" ref="E397:Q397" si="159">E125+E261</f>
        <v>0</v>
      </c>
      <c r="F397" s="171">
        <f t="shared" si="159"/>
        <v>798198.57000000018</v>
      </c>
      <c r="G397" s="171">
        <f t="shared" si="159"/>
        <v>1.8181423909948739E-4</v>
      </c>
      <c r="H397" s="171">
        <f t="shared" si="159"/>
        <v>798198.56981818588</v>
      </c>
      <c r="I397" s="171">
        <f t="shared" si="159"/>
        <v>798198.56981818588</v>
      </c>
      <c r="J397" s="171">
        <f t="shared" si="159"/>
        <v>580119.60425478977</v>
      </c>
      <c r="K397" s="171">
        <f t="shared" si="159"/>
        <v>105231.12194578032</v>
      </c>
      <c r="L397" s="171">
        <f t="shared" si="159"/>
        <v>69496.478680828965</v>
      </c>
      <c r="M397" s="171">
        <f t="shared" si="159"/>
        <v>15346.54202449575</v>
      </c>
      <c r="N397" s="171">
        <f t="shared" si="159"/>
        <v>4098.9380689933059</v>
      </c>
      <c r="O397" s="171">
        <f t="shared" si="159"/>
        <v>20934.629973593219</v>
      </c>
      <c r="P397" s="171">
        <f t="shared" si="159"/>
        <v>2970.9812520887626</v>
      </c>
      <c r="Q397" s="171">
        <f t="shared" si="159"/>
        <v>0</v>
      </c>
      <c r="R397" s="171"/>
      <c r="S397" s="62">
        <f t="shared" si="157"/>
        <v>798198.29620057007</v>
      </c>
      <c r="T397" s="468">
        <f t="shared" si="153"/>
        <v>0.27361761580687016</v>
      </c>
    </row>
    <row r="398" spans="1:20" s="1" customFormat="1" x14ac:dyDescent="0.3">
      <c r="A398" s="62" t="s">
        <v>487</v>
      </c>
      <c r="B398" s="498" t="s">
        <v>95</v>
      </c>
      <c r="C398" s="121" t="s">
        <v>1199</v>
      </c>
      <c r="D398" s="171">
        <f t="shared" si="154"/>
        <v>19860017.949999958</v>
      </c>
      <c r="E398" s="171">
        <f t="shared" ref="E398:Q398" si="160">E126+E262</f>
        <v>0</v>
      </c>
      <c r="F398" s="171">
        <f t="shared" si="160"/>
        <v>19860017.949999958</v>
      </c>
      <c r="G398" s="171">
        <f t="shared" si="160"/>
        <v>2399257.2559196688</v>
      </c>
      <c r="H398" s="171">
        <f t="shared" si="160"/>
        <v>17460760.694080289</v>
      </c>
      <c r="I398" s="171">
        <f t="shared" si="160"/>
        <v>17460760.694080289</v>
      </c>
      <c r="J398" s="171">
        <f t="shared" si="160"/>
        <v>5236734.4461896829</v>
      </c>
      <c r="K398" s="171">
        <f t="shared" si="160"/>
        <v>4754289.4502244452</v>
      </c>
      <c r="L398" s="171">
        <f t="shared" si="160"/>
        <v>4600191.3069752995</v>
      </c>
      <c r="M398" s="171">
        <f t="shared" si="160"/>
        <v>1015836.061816051</v>
      </c>
      <c r="N398" s="171">
        <f t="shared" si="160"/>
        <v>271321.65011426178</v>
      </c>
      <c r="O398" s="171">
        <f t="shared" si="160"/>
        <v>1385729.243370052</v>
      </c>
      <c r="P398" s="171">
        <f t="shared" si="160"/>
        <v>196658.62772433483</v>
      </c>
      <c r="Q398" s="171">
        <f t="shared" si="160"/>
        <v>0</v>
      </c>
      <c r="R398" s="171"/>
      <c r="S398" s="62">
        <f t="shared" si="157"/>
        <v>17460760.786414128</v>
      </c>
      <c r="T398" s="468">
        <f t="shared" si="153"/>
        <v>-9.23338383436203E-2</v>
      </c>
    </row>
    <row r="399" spans="1:20" s="1" customFormat="1" x14ac:dyDescent="0.3">
      <c r="A399" s="62" t="s">
        <v>488</v>
      </c>
      <c r="B399" s="62" t="s">
        <v>96</v>
      </c>
      <c r="C399" s="121" t="s">
        <v>1199</v>
      </c>
      <c r="D399" s="171">
        <f t="shared" si="154"/>
        <v>713794.88000000012</v>
      </c>
      <c r="E399" s="171">
        <f t="shared" ref="E399:Q399" si="161">E127+E263</f>
        <v>0</v>
      </c>
      <c r="F399" s="171">
        <f t="shared" si="161"/>
        <v>713794.88000000012</v>
      </c>
      <c r="G399" s="171">
        <f t="shared" si="161"/>
        <v>8227.541298111837</v>
      </c>
      <c r="H399" s="171">
        <f t="shared" si="161"/>
        <v>705567.33870188822</v>
      </c>
      <c r="I399" s="171">
        <f t="shared" si="161"/>
        <v>705567.33870188822</v>
      </c>
      <c r="J399" s="171">
        <f t="shared" si="161"/>
        <v>68025.65566313015</v>
      </c>
      <c r="K399" s="171">
        <f t="shared" si="161"/>
        <v>556762.99669499428</v>
      </c>
      <c r="L399" s="171">
        <f t="shared" si="161"/>
        <v>49746.989348885741</v>
      </c>
      <c r="M399" s="171">
        <f t="shared" si="161"/>
        <v>10985.366123958996</v>
      </c>
      <c r="N399" s="171">
        <f t="shared" si="161"/>
        <v>2934.1030269523862</v>
      </c>
      <c r="O399" s="171">
        <f t="shared" si="161"/>
        <v>14985.432846203934</v>
      </c>
      <c r="P399" s="171">
        <f t="shared" si="161"/>
        <v>2126.68865399895</v>
      </c>
      <c r="Q399" s="171">
        <f t="shared" si="161"/>
        <v>0</v>
      </c>
      <c r="R399" s="171"/>
      <c r="S399" s="62"/>
      <c r="T399" s="468"/>
    </row>
    <row r="400" spans="1:20" s="1" customFormat="1" x14ac:dyDescent="0.3">
      <c r="A400" s="62" t="s">
        <v>54</v>
      </c>
      <c r="B400" s="62" t="s">
        <v>97</v>
      </c>
      <c r="C400" s="121" t="s">
        <v>1199</v>
      </c>
      <c r="D400" s="171">
        <f t="shared" si="154"/>
        <v>19673747.830000021</v>
      </c>
      <c r="E400" s="171">
        <f t="shared" ref="E400:Q400" si="162">E128+E264</f>
        <v>0</v>
      </c>
      <c r="F400" s="171">
        <f t="shared" si="162"/>
        <v>19673747.830000021</v>
      </c>
      <c r="G400" s="171">
        <f t="shared" si="162"/>
        <v>1022555.6349789874</v>
      </c>
      <c r="H400" s="171">
        <f t="shared" si="162"/>
        <v>18651192.19502103</v>
      </c>
      <c r="I400" s="171">
        <f t="shared" si="162"/>
        <v>18651192.19502103</v>
      </c>
      <c r="J400" s="171">
        <f t="shared" si="162"/>
        <v>6214960.08649687</v>
      </c>
      <c r="K400" s="171">
        <f t="shared" si="162"/>
        <v>2219297.7688503228</v>
      </c>
      <c r="L400" s="171">
        <f t="shared" si="162"/>
        <v>6292035.8195891287</v>
      </c>
      <c r="M400" s="171">
        <f t="shared" si="162"/>
        <v>1389437.1910327312</v>
      </c>
      <c r="N400" s="171">
        <f t="shared" si="162"/>
        <v>371107.50993341889</v>
      </c>
      <c r="O400" s="171">
        <f t="shared" si="162"/>
        <v>1895368.5735451356</v>
      </c>
      <c r="P400" s="171">
        <f t="shared" si="162"/>
        <v>268985.14589958609</v>
      </c>
      <c r="Q400" s="171">
        <f t="shared" si="162"/>
        <v>0</v>
      </c>
      <c r="R400" s="171"/>
      <c r="S400" s="62"/>
      <c r="T400" s="468"/>
    </row>
    <row r="401" spans="1:20" s="1" customFormat="1" x14ac:dyDescent="0.3">
      <c r="A401" s="62" t="s">
        <v>489</v>
      </c>
      <c r="B401" s="62" t="s">
        <v>98</v>
      </c>
      <c r="C401" s="121" t="s">
        <v>1199</v>
      </c>
      <c r="D401" s="171">
        <f t="shared" si="154"/>
        <v>29640927.390000075</v>
      </c>
      <c r="E401" s="171">
        <f t="shared" ref="E401:Q401" si="163">E129+E265</f>
        <v>0</v>
      </c>
      <c r="F401" s="171">
        <f t="shared" si="163"/>
        <v>29640927.390000075</v>
      </c>
      <c r="G401" s="171">
        <f t="shared" si="163"/>
        <v>497637.07</v>
      </c>
      <c r="H401" s="171">
        <f t="shared" si="163"/>
        <v>29143290.320000067</v>
      </c>
      <c r="I401" s="171">
        <f t="shared" si="163"/>
        <v>29143290.320000067</v>
      </c>
      <c r="J401" s="171">
        <f t="shared" si="163"/>
        <v>14094703.415806187</v>
      </c>
      <c r="K401" s="171">
        <f t="shared" si="163"/>
        <v>2409606.6838790942</v>
      </c>
      <c r="L401" s="171">
        <f t="shared" si="163"/>
        <v>7783638.1534403376</v>
      </c>
      <c r="M401" s="171">
        <f t="shared" si="163"/>
        <v>1718819.892642878</v>
      </c>
      <c r="N401" s="171">
        <f t="shared" si="163"/>
        <v>459082.98302323115</v>
      </c>
      <c r="O401" s="171">
        <f t="shared" si="163"/>
        <v>2344688.3595206682</v>
      </c>
      <c r="P401" s="171">
        <f t="shared" si="163"/>
        <v>332751.29137288546</v>
      </c>
      <c r="Q401" s="171">
        <f t="shared" si="163"/>
        <v>0</v>
      </c>
      <c r="R401" s="171"/>
      <c r="S401" s="62"/>
      <c r="T401" s="468"/>
    </row>
    <row r="402" spans="1:20" s="1" customFormat="1" x14ac:dyDescent="0.3">
      <c r="A402" s="62" t="s">
        <v>490</v>
      </c>
      <c r="B402" s="62" t="s">
        <v>99</v>
      </c>
      <c r="C402" s="121" t="s">
        <v>1199</v>
      </c>
      <c r="D402" s="171">
        <f t="shared" si="154"/>
        <v>48274273.939999871</v>
      </c>
      <c r="E402" s="171">
        <f t="shared" ref="E402:Q402" si="164">E130+E266</f>
        <v>0</v>
      </c>
      <c r="F402" s="171">
        <f t="shared" si="164"/>
        <v>48274273.939999871</v>
      </c>
      <c r="G402" s="171">
        <f t="shared" si="164"/>
        <v>2562586.2230779729</v>
      </c>
      <c r="H402" s="171">
        <f t="shared" si="164"/>
        <v>45711687.716921903</v>
      </c>
      <c r="I402" s="171">
        <f t="shared" si="164"/>
        <v>45711687.716921903</v>
      </c>
      <c r="J402" s="171">
        <f t="shared" si="164"/>
        <v>8856303.211035084</v>
      </c>
      <c r="K402" s="171">
        <f t="shared" si="164"/>
        <v>10282704.769470274</v>
      </c>
      <c r="L402" s="171">
        <f t="shared" si="164"/>
        <v>16364620.368430169</v>
      </c>
      <c r="M402" s="171">
        <f t="shared" si="164"/>
        <v>3613713.0825350909</v>
      </c>
      <c r="N402" s="171">
        <f t="shared" si="164"/>
        <v>965193.72903544595</v>
      </c>
      <c r="O402" s="171">
        <f t="shared" si="164"/>
        <v>4929563.0307369381</v>
      </c>
      <c r="P402" s="171">
        <f t="shared" si="164"/>
        <v>699589.11926235165</v>
      </c>
      <c r="Q402" s="171">
        <f t="shared" si="164"/>
        <v>0</v>
      </c>
      <c r="R402" s="171"/>
      <c r="S402" s="62"/>
      <c r="T402" s="468"/>
    </row>
    <row r="403" spans="1:20" s="1" customFormat="1" x14ac:dyDescent="0.3">
      <c r="A403" s="62"/>
      <c r="B403" s="62"/>
      <c r="C403" s="489"/>
      <c r="D403" s="171"/>
      <c r="E403" s="171"/>
      <c r="F403" s="171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</row>
    <row r="404" spans="1:20" s="1" customFormat="1" x14ac:dyDescent="0.3">
      <c r="A404" s="499" t="s">
        <v>813</v>
      </c>
      <c r="B404" s="62"/>
      <c r="C404" s="489"/>
      <c r="D404" s="171">
        <f t="shared" ref="D404" si="165">SUM(D393:D402)</f>
        <v>609231888.72999513</v>
      </c>
      <c r="E404" s="171">
        <f t="shared" ref="E404:Q404" si="166">SUM(E393:E402)</f>
        <v>0</v>
      </c>
      <c r="F404" s="171">
        <f t="shared" si="166"/>
        <v>609231888.72999513</v>
      </c>
      <c r="G404" s="171">
        <f t="shared" si="166"/>
        <v>68444494.180720225</v>
      </c>
      <c r="H404" s="171">
        <f t="shared" si="166"/>
        <v>540787394.54927492</v>
      </c>
      <c r="I404" s="171">
        <f t="shared" si="166"/>
        <v>540787394.54927492</v>
      </c>
      <c r="J404" s="171">
        <f t="shared" si="166"/>
        <v>251765004.97653562</v>
      </c>
      <c r="K404" s="171">
        <f t="shared" si="166"/>
        <v>78543501.693038464</v>
      </c>
      <c r="L404" s="171">
        <f t="shared" si="166"/>
        <v>129622121.84600741</v>
      </c>
      <c r="M404" s="171">
        <f t="shared" si="166"/>
        <v>28623771.707195975</v>
      </c>
      <c r="N404" s="171">
        <f t="shared" si="166"/>
        <v>7645179.4379166793</v>
      </c>
      <c r="O404" s="171">
        <f t="shared" si="166"/>
        <v>39046455.428348765</v>
      </c>
      <c r="P404" s="171">
        <f t="shared" si="166"/>
        <v>5541358.3705311799</v>
      </c>
      <c r="Q404" s="171">
        <f t="shared" si="166"/>
        <v>0</v>
      </c>
      <c r="R404" s="171"/>
      <c r="S404" s="62">
        <f>SUM(J404:Q404)</f>
        <v>540787393.4595741</v>
      </c>
      <c r="T404" s="468">
        <f>I404-S404</f>
        <v>1.0897008180618286</v>
      </c>
    </row>
    <row r="405" spans="1:20" s="1" customFormat="1" x14ac:dyDescent="0.3">
      <c r="A405" s="62" t="s">
        <v>920</v>
      </c>
      <c r="B405" s="62"/>
      <c r="C405" s="489"/>
      <c r="D405" s="171">
        <f>D404</f>
        <v>609231888.72999513</v>
      </c>
      <c r="E405" s="171">
        <f t="shared" ref="E405:Q405" si="167">E404</f>
        <v>0</v>
      </c>
      <c r="F405" s="171">
        <f t="shared" si="167"/>
        <v>609231888.72999513</v>
      </c>
      <c r="G405" s="171">
        <f t="shared" si="167"/>
        <v>68444494.180720225</v>
      </c>
      <c r="H405" s="171">
        <f t="shared" si="167"/>
        <v>540787394.54927492</v>
      </c>
      <c r="I405" s="171">
        <f t="shared" si="167"/>
        <v>540787394.54927492</v>
      </c>
      <c r="J405" s="171">
        <f t="shared" si="167"/>
        <v>251765004.97653562</v>
      </c>
      <c r="K405" s="171">
        <f t="shared" si="167"/>
        <v>78543501.693038464</v>
      </c>
      <c r="L405" s="171">
        <f t="shared" si="167"/>
        <v>129622121.84600741</v>
      </c>
      <c r="M405" s="171">
        <f t="shared" si="167"/>
        <v>28623771.707195975</v>
      </c>
      <c r="N405" s="171">
        <f t="shared" si="167"/>
        <v>7645179.4379166793</v>
      </c>
      <c r="O405" s="171">
        <f t="shared" si="167"/>
        <v>39046455.428348765</v>
      </c>
      <c r="P405" s="171">
        <f t="shared" si="167"/>
        <v>5541358.3705311799</v>
      </c>
      <c r="Q405" s="171">
        <f t="shared" si="167"/>
        <v>0</v>
      </c>
      <c r="R405" s="171"/>
      <c r="S405" s="62"/>
      <c r="T405" s="62"/>
    </row>
    <row r="406" spans="1:20" s="1" customFormat="1" x14ac:dyDescent="0.3">
      <c r="A406" s="463"/>
      <c r="B406" s="62"/>
      <c r="C406" s="489"/>
      <c r="D406" s="171"/>
      <c r="E406" s="171"/>
      <c r="F406" s="171"/>
      <c r="G406" s="513">
        <f>G405/$F405</f>
        <v>0.11234555420826646</v>
      </c>
      <c r="H406" s="513">
        <f t="shared" ref="H406:P406" si="168">H405/$F405</f>
        <v>0.88765444579173358</v>
      </c>
      <c r="I406" s="513">
        <f t="shared" si="168"/>
        <v>0.88765444579173358</v>
      </c>
      <c r="J406" s="513">
        <f t="shared" si="168"/>
        <v>0.41324988010946861</v>
      </c>
      <c r="K406" s="513">
        <f t="shared" si="168"/>
        <v>0.12892217749266252</v>
      </c>
      <c r="L406" s="513">
        <f t="shared" si="168"/>
        <v>0.21276319287261489</v>
      </c>
      <c r="M406" s="513">
        <f t="shared" si="168"/>
        <v>4.6983377325939213E-2</v>
      </c>
      <c r="N406" s="513">
        <f t="shared" si="168"/>
        <v>1.2548882583697024E-2</v>
      </c>
      <c r="O406" s="513">
        <f t="shared" si="168"/>
        <v>6.4091286340485248E-2</v>
      </c>
      <c r="P406" s="513">
        <f t="shared" si="168"/>
        <v>9.0956472782189653E-3</v>
      </c>
      <c r="Q406" s="171"/>
      <c r="R406" s="171"/>
      <c r="S406" s="62"/>
      <c r="T406" s="62"/>
    </row>
    <row r="407" spans="1:20" s="1" customFormat="1" x14ac:dyDescent="0.3">
      <c r="A407" s="463" t="s">
        <v>492</v>
      </c>
      <c r="B407" s="62"/>
      <c r="C407" s="489"/>
      <c r="D407" s="171"/>
      <c r="E407" s="171"/>
      <c r="F407" s="171"/>
      <c r="G407" s="62"/>
      <c r="H407" s="62"/>
      <c r="I407" s="62"/>
      <c r="J407" s="62"/>
      <c r="K407" s="468"/>
      <c r="L407" s="62"/>
      <c r="M407" s="62"/>
      <c r="N407" s="62"/>
      <c r="O407" s="62"/>
      <c r="P407" s="62"/>
      <c r="Q407" s="62"/>
      <c r="R407" s="62"/>
      <c r="S407" s="62"/>
      <c r="T407" s="62"/>
    </row>
    <row r="408" spans="1:20" s="1" customFormat="1" x14ac:dyDescent="0.3">
      <c r="A408" s="62"/>
      <c r="B408" s="62"/>
      <c r="C408" s="489"/>
      <c r="D408" s="171"/>
      <c r="E408" s="171"/>
      <c r="F408" s="171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</row>
    <row r="409" spans="1:20" s="1" customFormat="1" x14ac:dyDescent="0.3">
      <c r="A409" s="62" t="s">
        <v>493</v>
      </c>
      <c r="B409" s="62" t="s">
        <v>102</v>
      </c>
      <c r="C409" s="489"/>
      <c r="D409" s="171">
        <f t="shared" ref="D409:D410" si="169">D137+D273</f>
        <v>0</v>
      </c>
      <c r="E409" s="171">
        <f t="shared" ref="E409:Q409" si="170">E137+E273</f>
        <v>0</v>
      </c>
      <c r="F409" s="171">
        <f t="shared" si="170"/>
        <v>0</v>
      </c>
      <c r="G409" s="171">
        <f t="shared" si="170"/>
        <v>0</v>
      </c>
      <c r="H409" s="171">
        <f t="shared" si="170"/>
        <v>0</v>
      </c>
      <c r="I409" s="171">
        <f t="shared" si="170"/>
        <v>0</v>
      </c>
      <c r="J409" s="171">
        <f t="shared" si="170"/>
        <v>0</v>
      </c>
      <c r="K409" s="171">
        <f t="shared" si="170"/>
        <v>0</v>
      </c>
      <c r="L409" s="171">
        <f t="shared" si="170"/>
        <v>0</v>
      </c>
      <c r="M409" s="171">
        <f t="shared" si="170"/>
        <v>0</v>
      </c>
      <c r="N409" s="171">
        <f t="shared" si="170"/>
        <v>0</v>
      </c>
      <c r="O409" s="171">
        <f t="shared" si="170"/>
        <v>0</v>
      </c>
      <c r="P409" s="171">
        <f t="shared" si="170"/>
        <v>0</v>
      </c>
      <c r="Q409" s="171">
        <f t="shared" si="170"/>
        <v>0</v>
      </c>
      <c r="R409" s="171"/>
      <c r="S409" s="62">
        <f>SUM(J409:Q409)</f>
        <v>0</v>
      </c>
      <c r="T409" s="468">
        <f>I409-S409</f>
        <v>0</v>
      </c>
    </row>
    <row r="410" spans="1:20" s="1" customFormat="1" x14ac:dyDescent="0.3">
      <c r="A410" s="62"/>
      <c r="B410" s="62" t="s">
        <v>103</v>
      </c>
      <c r="C410" s="489"/>
      <c r="D410" s="171">
        <f t="shared" si="169"/>
        <v>0</v>
      </c>
      <c r="E410" s="171">
        <f t="shared" ref="E410:Q410" si="171">E138+E274</f>
        <v>0</v>
      </c>
      <c r="F410" s="171">
        <f t="shared" si="171"/>
        <v>0</v>
      </c>
      <c r="G410" s="171">
        <f t="shared" si="171"/>
        <v>0</v>
      </c>
      <c r="H410" s="171">
        <f t="shared" si="171"/>
        <v>0</v>
      </c>
      <c r="I410" s="171">
        <f t="shared" si="171"/>
        <v>0</v>
      </c>
      <c r="J410" s="171">
        <f t="shared" si="171"/>
        <v>0</v>
      </c>
      <c r="K410" s="171">
        <f t="shared" si="171"/>
        <v>0</v>
      </c>
      <c r="L410" s="171">
        <f t="shared" si="171"/>
        <v>0</v>
      </c>
      <c r="M410" s="171">
        <f t="shared" si="171"/>
        <v>0</v>
      </c>
      <c r="N410" s="171">
        <f t="shared" si="171"/>
        <v>0</v>
      </c>
      <c r="O410" s="171">
        <f t="shared" si="171"/>
        <v>0</v>
      </c>
      <c r="P410" s="171">
        <f t="shared" si="171"/>
        <v>0</v>
      </c>
      <c r="Q410" s="171">
        <f t="shared" si="171"/>
        <v>0</v>
      </c>
      <c r="R410" s="171"/>
      <c r="S410" s="62">
        <f>SUM(J410:Q410)</f>
        <v>0</v>
      </c>
      <c r="T410" s="468">
        <f>I410-S410</f>
        <v>0</v>
      </c>
    </row>
    <row r="411" spans="1:20" s="1" customFormat="1" x14ac:dyDescent="0.3">
      <c r="A411" s="62"/>
      <c r="B411" s="62"/>
      <c r="C411" s="489"/>
      <c r="D411" s="171"/>
      <c r="E411" s="171"/>
      <c r="F411" s="171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</row>
    <row r="412" spans="1:20" s="1" customFormat="1" x14ac:dyDescent="0.3">
      <c r="A412" s="499" t="s">
        <v>494</v>
      </c>
      <c r="B412" s="62"/>
      <c r="C412" s="489"/>
      <c r="D412" s="171">
        <f>SUM(D409:D411)</f>
        <v>0</v>
      </c>
      <c r="E412" s="171">
        <f>SUM(E409:E411)</f>
        <v>0</v>
      </c>
      <c r="F412" s="171">
        <f>D412+E412</f>
        <v>0</v>
      </c>
      <c r="G412" s="171">
        <f>G409+G410</f>
        <v>0</v>
      </c>
      <c r="H412" s="171">
        <f t="shared" ref="H412:Q412" si="172">H409+H410</f>
        <v>0</v>
      </c>
      <c r="I412" s="171">
        <f t="shared" si="172"/>
        <v>0</v>
      </c>
      <c r="J412" s="171">
        <f t="shared" si="172"/>
        <v>0</v>
      </c>
      <c r="K412" s="171">
        <f t="shared" si="172"/>
        <v>0</v>
      </c>
      <c r="L412" s="171">
        <f t="shared" si="172"/>
        <v>0</v>
      </c>
      <c r="M412" s="171">
        <f t="shared" si="172"/>
        <v>0</v>
      </c>
      <c r="N412" s="171">
        <f t="shared" si="172"/>
        <v>0</v>
      </c>
      <c r="O412" s="171">
        <f t="shared" si="172"/>
        <v>0</v>
      </c>
      <c r="P412" s="171">
        <f t="shared" si="172"/>
        <v>0</v>
      </c>
      <c r="Q412" s="171">
        <f t="shared" si="172"/>
        <v>0</v>
      </c>
      <c r="R412" s="62"/>
      <c r="S412" s="62"/>
      <c r="T412" s="62"/>
    </row>
    <row r="413" spans="1:20" s="1" customFormat="1" x14ac:dyDescent="0.3">
      <c r="A413" s="498"/>
      <c r="B413" s="62"/>
      <c r="C413" s="489"/>
      <c r="D413" s="171"/>
      <c r="E413" s="171"/>
      <c r="F413" s="171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</row>
    <row r="414" spans="1:20" s="1" customFormat="1" x14ac:dyDescent="0.3">
      <c r="A414" s="463" t="s">
        <v>501</v>
      </c>
      <c r="B414" s="62"/>
      <c r="C414" s="489"/>
      <c r="D414" s="171">
        <f>D370+D389+D404+D412</f>
        <v>7449303371.8499947</v>
      </c>
      <c r="E414" s="171">
        <f t="shared" ref="E414:F414" si="173">E370+E389+E404+E412</f>
        <v>0</v>
      </c>
      <c r="F414" s="171">
        <f t="shared" si="173"/>
        <v>7449303371.8499947</v>
      </c>
      <c r="G414" s="171">
        <f t="shared" ref="G414:Q414" si="174">G370+G389+G404+G412</f>
        <v>626039589.20072007</v>
      </c>
      <c r="H414" s="171">
        <f t="shared" si="174"/>
        <v>6823263782.6492748</v>
      </c>
      <c r="I414" s="171">
        <f t="shared" si="174"/>
        <v>6823263782.6492748</v>
      </c>
      <c r="J414" s="171">
        <f t="shared" si="174"/>
        <v>3509750538.4622955</v>
      </c>
      <c r="K414" s="171">
        <f t="shared" si="174"/>
        <v>853049006.95694482</v>
      </c>
      <c r="L414" s="171">
        <f t="shared" si="174"/>
        <v>2238093162.236341</v>
      </c>
      <c r="M414" s="171">
        <f t="shared" si="174"/>
        <v>170138080.66719595</v>
      </c>
      <c r="N414" s="171">
        <f t="shared" si="174"/>
        <v>7645179.4379166793</v>
      </c>
      <c r="O414" s="171">
        <f t="shared" si="174"/>
        <v>39046455.428348765</v>
      </c>
      <c r="P414" s="171">
        <f t="shared" si="174"/>
        <v>5541358.3705311799</v>
      </c>
      <c r="Q414" s="171">
        <f t="shared" si="174"/>
        <v>0</v>
      </c>
      <c r="R414" s="171"/>
      <c r="S414" s="62">
        <f>SUM(J414:Q414)</f>
        <v>6823263781.5595732</v>
      </c>
      <c r="T414" s="468">
        <f>I414-S414</f>
        <v>1.0897016525268555</v>
      </c>
    </row>
    <row r="415" spans="1:20" s="1" customFormat="1" x14ac:dyDescent="0.3">
      <c r="A415" s="62"/>
      <c r="B415" s="62"/>
      <c r="C415" s="489"/>
      <c r="D415" s="171"/>
      <c r="E415" s="171"/>
      <c r="F415" s="171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</row>
    <row r="416" spans="1:20" s="1" customFormat="1" x14ac:dyDescent="0.3">
      <c r="A416" s="499" t="s">
        <v>502</v>
      </c>
      <c r="B416" s="62"/>
      <c r="C416" s="489"/>
      <c r="D416" s="171"/>
      <c r="E416" s="171"/>
      <c r="F416" s="171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</row>
    <row r="417" spans="1:22" s="1" customFormat="1" x14ac:dyDescent="0.3">
      <c r="A417" s="62"/>
      <c r="B417" s="62"/>
      <c r="C417" s="489"/>
      <c r="D417" s="171"/>
      <c r="E417" s="171"/>
      <c r="F417" s="171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</row>
    <row r="418" spans="1:22" x14ac:dyDescent="0.3">
      <c r="A418" s="62"/>
      <c r="B418" s="62" t="s">
        <v>503</v>
      </c>
      <c r="C418" s="489"/>
      <c r="D418" s="171">
        <v>0</v>
      </c>
      <c r="E418" s="171">
        <v>0</v>
      </c>
      <c r="F418" s="171">
        <f>D418+E418</f>
        <v>0</v>
      </c>
      <c r="G418" s="468"/>
      <c r="H418" s="468">
        <f>F418</f>
        <v>0</v>
      </c>
      <c r="I418" s="468">
        <f>H418</f>
        <v>0</v>
      </c>
      <c r="J418" s="468">
        <f>I418</f>
        <v>0</v>
      </c>
      <c r="K418" s="468"/>
      <c r="L418" s="468"/>
      <c r="M418" s="468"/>
      <c r="N418" s="468"/>
      <c r="O418" s="468"/>
      <c r="P418" s="468"/>
      <c r="Q418" s="468"/>
      <c r="R418" s="468"/>
      <c r="S418" s="62">
        <f>SUM(J418:Q418)</f>
        <v>0</v>
      </c>
      <c r="T418" s="468">
        <f>I418-S418</f>
        <v>0</v>
      </c>
    </row>
    <row r="419" spans="1:22" s="1" customFormat="1" x14ac:dyDescent="0.3">
      <c r="A419" s="62"/>
      <c r="B419" s="62" t="s">
        <v>504</v>
      </c>
      <c r="C419" s="121" t="s">
        <v>19</v>
      </c>
      <c r="D419" s="171">
        <v>-40936023</v>
      </c>
      <c r="E419" s="171"/>
      <c r="F419" s="171">
        <f>D419+E419</f>
        <v>-40936023</v>
      </c>
      <c r="G419" s="171">
        <v>-3058171.8184552598</v>
      </c>
      <c r="H419" s="171">
        <f>+F419-G419</f>
        <v>-37877851.181544743</v>
      </c>
      <c r="I419" s="468">
        <f>H419</f>
        <v>-37877851.181544743</v>
      </c>
      <c r="J419" s="468"/>
      <c r="K419" s="468"/>
      <c r="L419" s="468">
        <v>0</v>
      </c>
      <c r="M419" s="468"/>
      <c r="N419" s="468"/>
      <c r="O419" s="468"/>
      <c r="P419" s="468"/>
      <c r="Q419" s="468">
        <f>H419</f>
        <v>-37877851.181544743</v>
      </c>
      <c r="R419" s="468"/>
      <c r="S419" s="62">
        <f>SUM(J419:Q419)</f>
        <v>-37877851.181544743</v>
      </c>
      <c r="T419" s="468">
        <f>I419-S419</f>
        <v>0</v>
      </c>
    </row>
    <row r="420" spans="1:22" x14ac:dyDescent="0.3">
      <c r="A420" s="62"/>
      <c r="B420" s="62"/>
      <c r="C420" s="489"/>
      <c r="D420" s="171"/>
      <c r="E420" s="171"/>
      <c r="F420" s="171"/>
      <c r="G420" s="62"/>
      <c r="H420" s="171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1"/>
      <c r="V420" s="1"/>
    </row>
    <row r="421" spans="1:22" x14ac:dyDescent="0.3">
      <c r="A421" s="62"/>
      <c r="B421" s="463" t="s">
        <v>505</v>
      </c>
      <c r="C421" s="514"/>
      <c r="D421" s="171"/>
      <c r="E421" s="171"/>
      <c r="F421" s="171"/>
      <c r="G421" s="171"/>
      <c r="H421" s="171"/>
      <c r="I421" s="468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1"/>
      <c r="V421" s="1"/>
    </row>
    <row r="422" spans="1:22" x14ac:dyDescent="0.3">
      <c r="A422" s="62"/>
      <c r="B422" s="62" t="s">
        <v>506</v>
      </c>
      <c r="C422" s="515" t="s">
        <v>19</v>
      </c>
      <c r="D422" s="678"/>
      <c r="E422" s="678"/>
      <c r="F422" s="678"/>
      <c r="G422" s="678"/>
      <c r="H422" s="678"/>
      <c r="I422" s="669"/>
      <c r="J422" s="678"/>
      <c r="K422" s="678"/>
      <c r="L422" s="678"/>
      <c r="M422" s="677"/>
      <c r="N422" s="677"/>
      <c r="O422" s="677"/>
      <c r="P422" s="677"/>
      <c r="Q422" s="677"/>
      <c r="R422" s="62"/>
      <c r="S422" s="62">
        <f>SUM(J422:Q422)</f>
        <v>0</v>
      </c>
      <c r="T422" s="468">
        <f>I422-S422</f>
        <v>0</v>
      </c>
      <c r="U422" s="1"/>
      <c r="V422" s="1"/>
    </row>
    <row r="423" spans="1:22" ht="14.5" x14ac:dyDescent="0.45">
      <c r="A423" s="62"/>
      <c r="B423" s="62" t="s">
        <v>507</v>
      </c>
      <c r="C423" s="121" t="s">
        <v>19</v>
      </c>
      <c r="D423" s="681"/>
      <c r="E423" s="678"/>
      <c r="F423" s="682"/>
      <c r="G423" s="681"/>
      <c r="H423" s="681"/>
      <c r="I423" s="683"/>
      <c r="J423" s="681"/>
      <c r="K423" s="681"/>
      <c r="L423" s="681"/>
      <c r="M423" s="681"/>
      <c r="N423" s="681"/>
      <c r="O423" s="681"/>
      <c r="P423" s="681"/>
      <c r="Q423" s="681"/>
      <c r="R423" s="476"/>
      <c r="S423" s="62">
        <f>SUM(J423:Q423)</f>
        <v>0</v>
      </c>
      <c r="T423" s="468">
        <f>I423-S423</f>
        <v>0</v>
      </c>
    </row>
    <row r="424" spans="1:22" x14ac:dyDescent="0.3">
      <c r="A424" s="62"/>
      <c r="B424" s="62" t="s">
        <v>508</v>
      </c>
      <c r="C424" s="489"/>
      <c r="D424" s="680">
        <v>-6798585.8499999996</v>
      </c>
      <c r="E424" s="680">
        <v>0</v>
      </c>
      <c r="F424" s="680">
        <v>-6798585.8499999996</v>
      </c>
      <c r="G424" s="680">
        <v>0</v>
      </c>
      <c r="H424" s="680">
        <v>-6798585.8499999996</v>
      </c>
      <c r="I424" s="680">
        <v>-6798585.8499999996</v>
      </c>
      <c r="J424" s="680">
        <v>-6798585.8499999996</v>
      </c>
      <c r="K424" s="680">
        <v>0</v>
      </c>
      <c r="L424" s="680">
        <v>0</v>
      </c>
      <c r="M424" s="680">
        <v>0</v>
      </c>
      <c r="N424" s="680">
        <v>0</v>
      </c>
      <c r="O424" s="680">
        <v>0</v>
      </c>
      <c r="P424" s="680">
        <v>0</v>
      </c>
      <c r="Q424" s="680">
        <v>0</v>
      </c>
      <c r="R424" s="171"/>
      <c r="S424" s="62">
        <f>SUM(J424:Q424)</f>
        <v>-6798585.8499999996</v>
      </c>
      <c r="T424" s="468">
        <f>I424-S424</f>
        <v>0</v>
      </c>
    </row>
    <row r="425" spans="1:22" s="1" customFormat="1" x14ac:dyDescent="0.3">
      <c r="A425" s="62"/>
      <c r="B425" s="62"/>
      <c r="C425" s="489"/>
      <c r="D425" s="171"/>
      <c r="E425" s="171"/>
      <c r="F425" s="171"/>
      <c r="G425" s="171"/>
      <c r="H425" s="171"/>
      <c r="I425" s="171"/>
      <c r="J425" s="171"/>
      <c r="K425" s="171"/>
      <c r="L425" s="171"/>
      <c r="M425" s="171"/>
      <c r="N425" s="171"/>
      <c r="O425" s="171"/>
      <c r="P425" s="171"/>
      <c r="Q425" s="171"/>
      <c r="R425" s="171"/>
      <c r="S425" s="62"/>
      <c r="T425" s="62"/>
    </row>
    <row r="426" spans="1:22" s="1" customFormat="1" x14ac:dyDescent="0.3">
      <c r="A426" s="62"/>
      <c r="B426" s="62" t="s">
        <v>509</v>
      </c>
      <c r="C426" s="121" t="s">
        <v>19</v>
      </c>
      <c r="D426" s="171">
        <v>-22033674.59</v>
      </c>
      <c r="E426" s="171"/>
      <c r="F426" s="171">
        <f>D426+E426</f>
        <v>-22033674.59</v>
      </c>
      <c r="G426" s="171">
        <v>-5462423.4699999997</v>
      </c>
      <c r="H426" s="468">
        <f>F426-G426</f>
        <v>-16571251.120000001</v>
      </c>
      <c r="I426" s="468">
        <f>H426</f>
        <v>-16571251.120000001</v>
      </c>
      <c r="J426" s="171">
        <v>-2258861.19</v>
      </c>
      <c r="K426" s="171">
        <v>-2986757.6499999994</v>
      </c>
      <c r="L426" s="171">
        <v>-10635337.899999999</v>
      </c>
      <c r="M426" s="171">
        <v>0</v>
      </c>
      <c r="N426" s="171"/>
      <c r="O426" s="171"/>
      <c r="P426" s="171">
        <v>-690294.37999999989</v>
      </c>
      <c r="Q426" s="171"/>
      <c r="R426" s="171"/>
      <c r="S426" s="62">
        <f>SUM(J426:Q426)</f>
        <v>-16571251.119999997</v>
      </c>
      <c r="T426" s="468">
        <f>I426-S426</f>
        <v>0</v>
      </c>
    </row>
    <row r="427" spans="1:22" s="1" customFormat="1" x14ac:dyDescent="0.3">
      <c r="A427" s="62"/>
      <c r="B427" s="62"/>
      <c r="C427" s="489"/>
      <c r="D427" s="171"/>
      <c r="E427" s="171"/>
      <c r="F427" s="171"/>
      <c r="G427" s="171"/>
      <c r="H427" s="171"/>
      <c r="I427" s="468"/>
      <c r="J427" s="171"/>
      <c r="K427" s="171"/>
      <c r="L427" s="62"/>
      <c r="M427" s="62"/>
      <c r="N427" s="62"/>
      <c r="O427" s="62"/>
      <c r="P427" s="62"/>
      <c r="Q427" s="62"/>
      <c r="R427" s="62"/>
      <c r="S427" s="62"/>
      <c r="T427" s="62"/>
    </row>
    <row r="428" spans="1:22" s="1" customFormat="1" x14ac:dyDescent="0.3">
      <c r="A428" s="62"/>
      <c r="B428" s="62" t="s">
        <v>510</v>
      </c>
      <c r="C428" s="121" t="s">
        <v>19</v>
      </c>
      <c r="D428" s="171">
        <v>604000570.24000001</v>
      </c>
      <c r="E428" s="171"/>
      <c r="F428" s="171">
        <f>D428+E428</f>
        <v>604000570.24000001</v>
      </c>
      <c r="G428" s="171">
        <v>43440743.357950628</v>
      </c>
      <c r="H428" s="468">
        <f>+F428-G428</f>
        <v>560559826.88204932</v>
      </c>
      <c r="I428" s="468">
        <f>H428</f>
        <v>560559826.88204932</v>
      </c>
      <c r="J428" s="171">
        <v>249599970.53407323</v>
      </c>
      <c r="K428" s="171">
        <v>90839870.28130953</v>
      </c>
      <c r="L428" s="171">
        <v>207852704.94391328</v>
      </c>
      <c r="M428" s="171">
        <v>3903861.5496431245</v>
      </c>
      <c r="N428" s="171">
        <v>1483865.9682655758</v>
      </c>
      <c r="O428" s="171">
        <v>4425298.1509868335</v>
      </c>
      <c r="P428" s="171">
        <v>2454258.4538577343</v>
      </c>
      <c r="Q428" s="171">
        <v>0</v>
      </c>
      <c r="R428" s="171"/>
      <c r="S428" s="62">
        <f>SUM(J428:Q428)</f>
        <v>560559829.88204932</v>
      </c>
      <c r="T428" s="468">
        <f>I428-S428</f>
        <v>-3</v>
      </c>
    </row>
    <row r="429" spans="1:22" s="1" customFormat="1" x14ac:dyDescent="0.3">
      <c r="A429" s="62"/>
      <c r="B429" s="62"/>
      <c r="C429" s="489"/>
      <c r="D429" s="171"/>
      <c r="E429" s="171"/>
      <c r="F429" s="171"/>
      <c r="G429" s="62"/>
      <c r="H429" s="468"/>
      <c r="I429" s="62"/>
      <c r="J429" s="62"/>
      <c r="K429" s="62"/>
      <c r="L429" s="468"/>
      <c r="M429" s="468"/>
      <c r="N429" s="468"/>
      <c r="O429" s="468"/>
      <c r="P429" s="468"/>
      <c r="Q429" s="468"/>
      <c r="R429" s="468"/>
      <c r="S429" s="62"/>
      <c r="T429" s="62"/>
    </row>
    <row r="430" spans="1:22" s="1" customFormat="1" x14ac:dyDescent="0.3">
      <c r="A430" s="498" t="s">
        <v>511</v>
      </c>
      <c r="B430" s="62"/>
      <c r="C430" s="489"/>
      <c r="D430" s="171"/>
      <c r="E430" s="171"/>
      <c r="F430" s="171"/>
      <c r="G430" s="468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</row>
    <row r="431" spans="1:22" s="1" customFormat="1" x14ac:dyDescent="0.3">
      <c r="A431" s="62" t="s">
        <v>512</v>
      </c>
      <c r="B431" s="498" t="s">
        <v>513</v>
      </c>
      <c r="C431" s="512"/>
      <c r="D431" s="171"/>
      <c r="E431" s="171"/>
      <c r="F431" s="171">
        <f t="shared" ref="F431:F437" si="175">D431+E431</f>
        <v>0</v>
      </c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</row>
    <row r="432" spans="1:22" s="1" customFormat="1" x14ac:dyDescent="0.3">
      <c r="A432" s="62" t="s">
        <v>514</v>
      </c>
      <c r="B432" s="498" t="s">
        <v>515</v>
      </c>
      <c r="C432" s="512"/>
      <c r="D432" s="171"/>
      <c r="E432" s="171"/>
      <c r="F432" s="171">
        <f t="shared" si="175"/>
        <v>0</v>
      </c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</row>
    <row r="433" spans="1:22" s="1" customFormat="1" x14ac:dyDescent="0.3">
      <c r="A433" s="62" t="s">
        <v>516</v>
      </c>
      <c r="B433" s="498" t="s">
        <v>517</v>
      </c>
      <c r="C433" s="512"/>
      <c r="D433" s="171"/>
      <c r="E433" s="171"/>
      <c r="F433" s="171">
        <f t="shared" si="175"/>
        <v>0</v>
      </c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</row>
    <row r="434" spans="1:22" s="1" customFormat="1" x14ac:dyDescent="0.3">
      <c r="A434" s="62" t="s">
        <v>518</v>
      </c>
      <c r="B434" s="498" t="s">
        <v>519</v>
      </c>
      <c r="C434" s="512"/>
      <c r="D434" s="171"/>
      <c r="E434" s="171"/>
      <c r="F434" s="171">
        <f t="shared" si="175"/>
        <v>0</v>
      </c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</row>
    <row r="435" spans="1:22" s="1" customFormat="1" x14ac:dyDescent="0.3">
      <c r="A435" s="62" t="s">
        <v>520</v>
      </c>
      <c r="B435" s="62" t="s">
        <v>521</v>
      </c>
      <c r="C435" s="489"/>
      <c r="D435" s="171"/>
      <c r="E435" s="171"/>
      <c r="F435" s="171">
        <f t="shared" si="175"/>
        <v>0</v>
      </c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</row>
    <row r="436" spans="1:22" s="1" customFormat="1" x14ac:dyDescent="0.3">
      <c r="A436" s="62" t="s">
        <v>520</v>
      </c>
      <c r="B436" s="62" t="s">
        <v>522</v>
      </c>
      <c r="C436" s="489"/>
      <c r="D436" s="171"/>
      <c r="E436" s="171"/>
      <c r="F436" s="171">
        <f t="shared" si="175"/>
        <v>0</v>
      </c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</row>
    <row r="437" spans="1:22" s="1" customFormat="1" x14ac:dyDescent="0.3">
      <c r="A437" s="62" t="s">
        <v>520</v>
      </c>
      <c r="B437" s="62" t="s">
        <v>523</v>
      </c>
      <c r="C437" s="489"/>
      <c r="D437" s="171"/>
      <c r="E437" s="171"/>
      <c r="F437" s="171">
        <f t="shared" si="175"/>
        <v>0</v>
      </c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</row>
    <row r="438" spans="1:22" s="1" customFormat="1" x14ac:dyDescent="0.3">
      <c r="A438" s="62"/>
      <c r="B438" s="62" t="s">
        <v>524</v>
      </c>
      <c r="C438" s="489"/>
      <c r="D438" s="171">
        <f>SUM(D431:D437)</f>
        <v>0</v>
      </c>
      <c r="E438" s="171">
        <f>SUM(E431:E437)</f>
        <v>0</v>
      </c>
      <c r="F438" s="171">
        <f>SUM(F431:F437)</f>
        <v>0</v>
      </c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</row>
    <row r="439" spans="1:22" s="1" customFormat="1" x14ac:dyDescent="0.3">
      <c r="A439" s="62"/>
      <c r="B439" s="62"/>
      <c r="C439" s="489"/>
      <c r="D439" s="171"/>
      <c r="E439" s="171"/>
      <c r="F439" s="171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</row>
    <row r="440" spans="1:22" s="1" customFormat="1" x14ac:dyDescent="0.3">
      <c r="A440" s="463" t="s">
        <v>525</v>
      </c>
      <c r="B440" s="62"/>
      <c r="C440" s="489"/>
      <c r="D440" s="171"/>
      <c r="E440" s="171"/>
      <c r="F440" s="171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</row>
    <row r="441" spans="1:22" s="1" customFormat="1" x14ac:dyDescent="0.3">
      <c r="A441" s="62"/>
      <c r="B441" s="62" t="s">
        <v>526</v>
      </c>
      <c r="C441" s="515" t="s">
        <v>1344</v>
      </c>
      <c r="D441" s="171">
        <f>'4a. OM less M&amp;S'!D285</f>
        <v>63948917.672499999</v>
      </c>
      <c r="E441" s="171">
        <f>'4a. OM less M&amp;S'!E285</f>
        <v>0</v>
      </c>
      <c r="F441" s="171">
        <f>D441+E441</f>
        <v>63948917.672499999</v>
      </c>
      <c r="G441" s="171">
        <f>'4a. OM less M&amp;S'!G285</f>
        <v>3093223.9880284085</v>
      </c>
      <c r="H441" s="171">
        <f>F441-G441</f>
        <v>60855693.684471592</v>
      </c>
      <c r="I441" s="468">
        <f>H441</f>
        <v>60855693.684471592</v>
      </c>
      <c r="J441" s="171">
        <f>'4a. OM less M&amp;S'!J285</f>
        <v>32785640.415241189</v>
      </c>
      <c r="K441" s="171">
        <f>'4a. OM less M&amp;S'!K285</f>
        <v>3647498.5767038199</v>
      </c>
      <c r="L441" s="171">
        <f>'4a. OM less M&amp;S'!L285</f>
        <v>16757463.143776461</v>
      </c>
      <c r="M441" s="171">
        <f>'4a. OM less M&amp;S'!M285</f>
        <v>2672385.7505787606</v>
      </c>
      <c r="N441" s="171">
        <f>'4a. OM less M&amp;S'!N285</f>
        <v>721669.4995262149</v>
      </c>
      <c r="O441" s="171">
        <f>'4a. OM less M&amp;S'!O285</f>
        <v>2476526.9063821766</v>
      </c>
      <c r="P441" s="171">
        <f>'4a. OM less M&amp;S'!P285</f>
        <v>1795445.1547629675</v>
      </c>
      <c r="Q441" s="171">
        <f>'4a. OM less M&amp;S'!Q285</f>
        <v>-935.76250000000005</v>
      </c>
      <c r="R441" s="171"/>
      <c r="S441" s="62"/>
      <c r="T441" s="468"/>
    </row>
    <row r="442" spans="1:22" x14ac:dyDescent="0.3">
      <c r="A442" s="62"/>
      <c r="B442" s="62" t="s">
        <v>527</v>
      </c>
      <c r="C442" s="515" t="s">
        <v>19</v>
      </c>
      <c r="D442" s="171">
        <v>107573188.29000001</v>
      </c>
      <c r="E442" s="171"/>
      <c r="F442" s="171">
        <f>D442+E442</f>
        <v>107573188.29000001</v>
      </c>
      <c r="G442" s="171">
        <v>1224847.47</v>
      </c>
      <c r="H442" s="468">
        <f>+F442-G442</f>
        <v>106348340.82000001</v>
      </c>
      <c r="I442" s="468">
        <f>H442</f>
        <v>106348340.82000001</v>
      </c>
      <c r="J442" s="171">
        <v>106348340.82000001</v>
      </c>
      <c r="K442" s="171">
        <v>0</v>
      </c>
      <c r="L442" s="171">
        <v>0</v>
      </c>
      <c r="M442" s="171">
        <v>0</v>
      </c>
      <c r="N442" s="171"/>
      <c r="O442" s="171"/>
      <c r="P442" s="171">
        <v>0</v>
      </c>
      <c r="Q442" s="171"/>
      <c r="R442" s="62"/>
      <c r="S442" s="62"/>
      <c r="T442" s="468"/>
    </row>
    <row r="443" spans="1:22" ht="14.5" x14ac:dyDescent="0.45">
      <c r="A443" s="62"/>
      <c r="B443" s="62" t="s">
        <v>528</v>
      </c>
      <c r="C443" s="515" t="s">
        <v>1200</v>
      </c>
      <c r="D443" s="171">
        <v>102863811.34999999</v>
      </c>
      <c r="E443" s="171"/>
      <c r="F443" s="476">
        <f>D443+E443</f>
        <v>102863811.34999999</v>
      </c>
      <c r="G443" s="472">
        <v>1640650.0089691456</v>
      </c>
      <c r="H443" s="472">
        <f xml:space="preserve"> F443-G443</f>
        <v>101223161.34103085</v>
      </c>
      <c r="I443" s="478">
        <f>H443</f>
        <v>101223161.34103085</v>
      </c>
      <c r="J443" s="171">
        <v>80371048.975536391</v>
      </c>
      <c r="K443" s="171">
        <v>2884431.2137000342</v>
      </c>
      <c r="L443" s="171">
        <v>17529118.299881797</v>
      </c>
      <c r="M443" s="476">
        <f>2407983*'7a. LX_AG-i'!M$242/'7a. LX_AG-i'!$F$242</f>
        <v>155253.82409980727</v>
      </c>
      <c r="N443" s="476">
        <f>2407983*'7a. LX_AG-i'!N$242/'7a. LX_AG-i'!$F$242</f>
        <v>41467.048990171468</v>
      </c>
      <c r="O443" s="476">
        <f>2407983*'7a. LX_AG-i'!O$242/'7a. LX_AG-i'!$F$242</f>
        <v>211785.90944637166</v>
      </c>
      <c r="P443" s="476">
        <f>2407983*'7a. LX_AG-i'!P$242/'7a. LX_AG-i'!$F$242</f>
        <v>30056.034771831259</v>
      </c>
      <c r="Q443" s="476">
        <f>2407983*'7a. LX_AG-i'!Q$242/'7a. LX_AG-i'!$F$242</f>
        <v>0</v>
      </c>
      <c r="R443" s="476"/>
      <c r="S443" s="62"/>
      <c r="T443" s="468"/>
      <c r="V443" s="27"/>
    </row>
    <row r="444" spans="1:22" x14ac:dyDescent="0.3">
      <c r="A444" s="62"/>
      <c r="B444" s="62" t="s">
        <v>524</v>
      </c>
      <c r="C444" s="489"/>
      <c r="D444" s="171">
        <f t="shared" ref="D444" si="176">SUM(D441:D443)</f>
        <v>274385917.3125</v>
      </c>
      <c r="E444" s="171">
        <f t="shared" ref="E444:L444" si="177">SUM(E441:E443)</f>
        <v>0</v>
      </c>
      <c r="F444" s="171">
        <f t="shared" si="177"/>
        <v>274385917.3125</v>
      </c>
      <c r="G444" s="171">
        <f>SUM(G441:G443)</f>
        <v>5958721.4669975545</v>
      </c>
      <c r="H444" s="171">
        <f t="shared" si="177"/>
        <v>268427195.84550244</v>
      </c>
      <c r="I444" s="171">
        <f t="shared" si="177"/>
        <v>268427195.84550244</v>
      </c>
      <c r="J444" s="171">
        <f t="shared" si="177"/>
        <v>219505030.21077758</v>
      </c>
      <c r="K444" s="171">
        <f t="shared" si="177"/>
        <v>6531929.7904038541</v>
      </c>
      <c r="L444" s="171">
        <f t="shared" si="177"/>
        <v>34286581.443658262</v>
      </c>
      <c r="M444" s="171">
        <f>SUM(M441:M443)</f>
        <v>2827639.5746785677</v>
      </c>
      <c r="N444" s="171">
        <f>SUM(N441:N443)</f>
        <v>763136.54851638642</v>
      </c>
      <c r="O444" s="171">
        <f>SUM(O441:O443)</f>
        <v>2688312.8158285483</v>
      </c>
      <c r="P444" s="171">
        <f>SUM(P441:P443)</f>
        <v>1825501.1895347987</v>
      </c>
      <c r="Q444" s="171">
        <f>SUM(Q441:Q443)</f>
        <v>-935.76250000000005</v>
      </c>
      <c r="R444" s="171"/>
      <c r="S444" s="62"/>
      <c r="T444" s="468"/>
    </row>
    <row r="445" spans="1:22" s="1" customFormat="1" x14ac:dyDescent="0.3">
      <c r="A445" s="62"/>
      <c r="B445" s="62"/>
      <c r="C445" s="489"/>
      <c r="D445" s="171"/>
      <c r="E445" s="171"/>
      <c r="F445" s="171"/>
      <c r="G445" s="171"/>
      <c r="H445" s="171"/>
      <c r="I445" s="171"/>
      <c r="J445" s="171"/>
      <c r="K445" s="171"/>
      <c r="L445" s="171"/>
      <c r="M445" s="171"/>
      <c r="N445" s="171"/>
      <c r="O445" s="171"/>
      <c r="P445" s="171"/>
      <c r="Q445" s="171"/>
      <c r="R445" s="62"/>
      <c r="S445" s="62"/>
      <c r="T445" s="62"/>
    </row>
    <row r="446" spans="1:22" s="1" customFormat="1" x14ac:dyDescent="0.3">
      <c r="A446" s="62"/>
      <c r="B446" s="463" t="s">
        <v>529</v>
      </c>
      <c r="C446" s="514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</row>
    <row r="447" spans="1:22" x14ac:dyDescent="0.3">
      <c r="A447" s="62"/>
      <c r="B447" s="62" t="s">
        <v>530</v>
      </c>
      <c r="C447" s="515" t="s">
        <v>1200</v>
      </c>
      <c r="D447" s="678"/>
      <c r="E447" s="678"/>
      <c r="F447" s="678"/>
      <c r="G447" s="678"/>
      <c r="H447" s="678"/>
      <c r="I447" s="669"/>
      <c r="J447" s="678"/>
      <c r="K447" s="678"/>
      <c r="L447" s="678"/>
      <c r="M447" s="678"/>
      <c r="N447" s="678"/>
      <c r="O447" s="678"/>
      <c r="P447" s="678"/>
      <c r="Q447" s="678"/>
      <c r="R447" s="171"/>
      <c r="S447" s="62"/>
      <c r="T447" s="468"/>
      <c r="V447" s="28"/>
    </row>
    <row r="448" spans="1:22" x14ac:dyDescent="0.3">
      <c r="A448" s="62"/>
      <c r="B448" s="62" t="s">
        <v>531</v>
      </c>
      <c r="C448" s="515" t="s">
        <v>19</v>
      </c>
      <c r="D448" s="678"/>
      <c r="E448" s="678"/>
      <c r="F448" s="678"/>
      <c r="G448" s="678"/>
      <c r="H448" s="678"/>
      <c r="I448" s="669"/>
      <c r="J448" s="678"/>
      <c r="K448" s="678"/>
      <c r="L448" s="678"/>
      <c r="M448" s="678"/>
      <c r="N448" s="678"/>
      <c r="O448" s="678"/>
      <c r="P448" s="678"/>
      <c r="Q448" s="678"/>
      <c r="R448" s="171"/>
      <c r="S448" s="62"/>
      <c r="T448" s="468"/>
    </row>
    <row r="449" spans="1:25" x14ac:dyDescent="0.3">
      <c r="A449" s="62"/>
      <c r="B449" s="62" t="s">
        <v>1053</v>
      </c>
      <c r="C449" s="515" t="s">
        <v>19</v>
      </c>
      <c r="D449" s="678"/>
      <c r="E449" s="678"/>
      <c r="F449" s="678"/>
      <c r="G449" s="678"/>
      <c r="H449" s="678"/>
      <c r="I449" s="669"/>
      <c r="J449" s="678"/>
      <c r="K449" s="678"/>
      <c r="L449" s="678"/>
      <c r="M449" s="678"/>
      <c r="N449" s="678"/>
      <c r="O449" s="678"/>
      <c r="P449" s="678"/>
      <c r="Q449" s="678"/>
      <c r="R449" s="171"/>
      <c r="S449" s="62"/>
      <c r="T449" s="468"/>
    </row>
    <row r="450" spans="1:25" s="1" customFormat="1" x14ac:dyDescent="0.3">
      <c r="A450" s="62"/>
      <c r="B450" s="62" t="s">
        <v>532</v>
      </c>
      <c r="C450" s="489"/>
      <c r="D450" s="678"/>
      <c r="E450" s="678"/>
      <c r="F450" s="678"/>
      <c r="G450" s="678"/>
      <c r="H450" s="678"/>
      <c r="I450" s="669"/>
      <c r="J450" s="678"/>
      <c r="K450" s="678"/>
      <c r="L450" s="678"/>
      <c r="M450" s="678"/>
      <c r="N450" s="678"/>
      <c r="O450" s="678"/>
      <c r="P450" s="678"/>
      <c r="Q450" s="678"/>
      <c r="R450" s="171"/>
      <c r="S450" s="62"/>
      <c r="T450" s="468"/>
      <c r="Y450" s="4"/>
    </row>
    <row r="451" spans="1:25" x14ac:dyDescent="0.3">
      <c r="A451" s="62"/>
      <c r="B451" s="62" t="s">
        <v>1221</v>
      </c>
      <c r="C451" s="515" t="s">
        <v>1200</v>
      </c>
      <c r="D451" s="678"/>
      <c r="E451" s="678"/>
      <c r="F451" s="678"/>
      <c r="G451" s="678"/>
      <c r="H451" s="678"/>
      <c r="I451" s="669"/>
      <c r="J451" s="678"/>
      <c r="K451" s="678"/>
      <c r="L451" s="678"/>
      <c r="M451" s="678"/>
      <c r="N451" s="678"/>
      <c r="O451" s="678"/>
      <c r="P451" s="678"/>
      <c r="Q451" s="678"/>
      <c r="R451" s="171"/>
      <c r="S451" s="62"/>
      <c r="T451" s="468"/>
    </row>
    <row r="452" spans="1:25" s="1" customFormat="1" x14ac:dyDescent="0.3">
      <c r="A452" s="62"/>
      <c r="B452" s="507" t="s">
        <v>1324</v>
      </c>
      <c r="C452" s="515" t="s">
        <v>19</v>
      </c>
      <c r="D452" s="678"/>
      <c r="E452" s="678"/>
      <c r="F452" s="678"/>
      <c r="G452" s="678"/>
      <c r="H452" s="678"/>
      <c r="I452" s="669"/>
      <c r="J452" s="669"/>
      <c r="K452" s="678"/>
      <c r="L452" s="678"/>
      <c r="M452" s="678"/>
      <c r="N452" s="678"/>
      <c r="O452" s="678"/>
      <c r="P452" s="678"/>
      <c r="Q452" s="678"/>
      <c r="R452" s="171"/>
      <c r="S452" s="62"/>
      <c r="T452" s="468"/>
    </row>
    <row r="453" spans="1:25" x14ac:dyDescent="0.3">
      <c r="A453" s="62"/>
      <c r="B453" s="62" t="s">
        <v>107</v>
      </c>
      <c r="C453" s="515" t="s">
        <v>1200</v>
      </c>
      <c r="D453" s="678"/>
      <c r="E453" s="678"/>
      <c r="F453" s="678"/>
      <c r="G453" s="678"/>
      <c r="H453" s="678"/>
      <c r="I453" s="669"/>
      <c r="J453" s="678"/>
      <c r="K453" s="678"/>
      <c r="L453" s="678"/>
      <c r="M453" s="678"/>
      <c r="N453" s="678"/>
      <c r="O453" s="678"/>
      <c r="P453" s="678"/>
      <c r="Q453" s="678"/>
      <c r="R453" s="171"/>
      <c r="S453" s="62"/>
      <c r="T453" s="468"/>
      <c r="V453" s="29"/>
    </row>
    <row r="454" spans="1:25" s="1" customFormat="1" x14ac:dyDescent="0.3">
      <c r="A454" s="62"/>
      <c r="B454" s="62" t="s">
        <v>106</v>
      </c>
      <c r="C454" s="515" t="s">
        <v>19</v>
      </c>
      <c r="D454" s="678"/>
      <c r="E454" s="678"/>
      <c r="F454" s="678"/>
      <c r="G454" s="678"/>
      <c r="H454" s="678"/>
      <c r="I454" s="669"/>
      <c r="J454" s="678"/>
      <c r="K454" s="678"/>
      <c r="L454" s="678"/>
      <c r="M454" s="678"/>
      <c r="N454" s="678"/>
      <c r="O454" s="678"/>
      <c r="P454" s="678"/>
      <c r="Q454" s="678"/>
      <c r="R454" s="476"/>
      <c r="S454" s="62"/>
      <c r="T454" s="468"/>
      <c r="Y454" s="4"/>
    </row>
    <row r="455" spans="1:25" s="1" customFormat="1" x14ac:dyDescent="0.3">
      <c r="A455" s="62"/>
      <c r="B455" s="62" t="s">
        <v>895</v>
      </c>
      <c r="C455" s="489"/>
      <c r="D455" s="678"/>
      <c r="E455" s="678"/>
      <c r="F455" s="678"/>
      <c r="G455" s="678"/>
      <c r="H455" s="678"/>
      <c r="I455" s="669"/>
      <c r="J455" s="678"/>
      <c r="K455" s="678"/>
      <c r="L455" s="678"/>
      <c r="M455" s="678"/>
      <c r="N455" s="678"/>
      <c r="O455" s="678"/>
      <c r="P455" s="678"/>
      <c r="Q455" s="678"/>
      <c r="R455" s="476"/>
      <c r="S455" s="62"/>
      <c r="T455" s="468"/>
      <c r="Y455" s="4"/>
    </row>
    <row r="456" spans="1:25" s="1" customFormat="1" ht="14.5" x14ac:dyDescent="0.45">
      <c r="A456" s="62"/>
      <c r="B456" s="62" t="s">
        <v>108</v>
      </c>
      <c r="C456" s="515" t="s">
        <v>1200</v>
      </c>
      <c r="D456" s="681"/>
      <c r="E456" s="678"/>
      <c r="F456" s="681"/>
      <c r="G456" s="681"/>
      <c r="H456" s="681"/>
      <c r="I456" s="701"/>
      <c r="J456" s="678"/>
      <c r="K456" s="678"/>
      <c r="L456" s="678"/>
      <c r="M456" s="678"/>
      <c r="N456" s="678"/>
      <c r="O456" s="678"/>
      <c r="P456" s="678"/>
      <c r="Q456" s="678"/>
      <c r="R456" s="476"/>
      <c r="S456" s="62"/>
      <c r="T456" s="468"/>
      <c r="V456" s="30"/>
      <c r="Y456" s="4"/>
    </row>
    <row r="457" spans="1:25" x14ac:dyDescent="0.3">
      <c r="A457" s="62"/>
      <c r="B457" s="62" t="s">
        <v>524</v>
      </c>
      <c r="C457" s="489"/>
      <c r="D457" s="680">
        <v>57419603.640000008</v>
      </c>
      <c r="E457" s="680">
        <v>0</v>
      </c>
      <c r="F457" s="680">
        <v>57419603.640000008</v>
      </c>
      <c r="G457" s="680">
        <v>14255709.389148939</v>
      </c>
      <c r="H457" s="680">
        <v>43163894.250851072</v>
      </c>
      <c r="I457" s="680">
        <v>43163894.250851072</v>
      </c>
      <c r="J457" s="680">
        <v>32893758.539220218</v>
      </c>
      <c r="K457" s="680">
        <v>138618.23852046242</v>
      </c>
      <c r="L457" s="680">
        <v>4111253.2622524542</v>
      </c>
      <c r="M457" s="680">
        <v>2056626.6772564026</v>
      </c>
      <c r="N457" s="680">
        <v>549308.46099777764</v>
      </c>
      <c r="O457" s="680">
        <v>2805499.6632766193</v>
      </c>
      <c r="P457" s="680">
        <v>608829.40932712401</v>
      </c>
      <c r="Q457" s="680">
        <v>0</v>
      </c>
      <c r="R457" s="171"/>
      <c r="S457" s="62"/>
      <c r="T457" s="468"/>
    </row>
    <row r="458" spans="1:25" s="1" customFormat="1" x14ac:dyDescent="0.3">
      <c r="A458" s="62"/>
      <c r="B458" s="62"/>
      <c r="C458" s="489"/>
      <c r="D458" s="171"/>
      <c r="E458" s="171"/>
      <c r="F458" s="171"/>
      <c r="G458" s="62"/>
      <c r="H458" s="468"/>
      <c r="I458" s="468"/>
      <c r="J458" s="171"/>
      <c r="K458" s="171"/>
      <c r="L458" s="171"/>
      <c r="M458" s="171"/>
      <c r="N458" s="171"/>
      <c r="O458" s="171"/>
      <c r="P458" s="171"/>
      <c r="Q458" s="171"/>
      <c r="R458" s="171"/>
      <c r="S458" s="62"/>
      <c r="T458" s="62"/>
    </row>
    <row r="459" spans="1:25" s="1" customFormat="1" x14ac:dyDescent="0.3">
      <c r="A459" s="62"/>
      <c r="B459" s="62" t="s">
        <v>534</v>
      </c>
      <c r="C459" s="489"/>
      <c r="D459" s="171"/>
      <c r="E459" s="171"/>
      <c r="F459" s="171">
        <f>D459+E459</f>
        <v>0</v>
      </c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</row>
    <row r="460" spans="1:25" s="1" customFormat="1" x14ac:dyDescent="0.3">
      <c r="A460" s="62"/>
      <c r="B460" s="498" t="s">
        <v>535</v>
      </c>
      <c r="C460" s="512"/>
      <c r="D460" s="171"/>
      <c r="E460" s="171"/>
      <c r="F460" s="171">
        <f>D460+E460</f>
        <v>0</v>
      </c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</row>
    <row r="461" spans="1:25" s="1" customFormat="1" x14ac:dyDescent="0.3">
      <c r="A461" s="62"/>
      <c r="B461" s="62" t="s">
        <v>536</v>
      </c>
      <c r="C461" s="489"/>
      <c r="D461" s="171"/>
      <c r="E461" s="171"/>
      <c r="F461" s="171">
        <f>D461+E461</f>
        <v>0</v>
      </c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</row>
    <row r="462" spans="1:25" s="1" customFormat="1" x14ac:dyDescent="0.3">
      <c r="A462" s="62"/>
      <c r="B462" s="498" t="s">
        <v>537</v>
      </c>
      <c r="C462" s="512"/>
      <c r="D462" s="171"/>
      <c r="E462" s="171"/>
      <c r="F462" s="171">
        <f>D462+E462</f>
        <v>0</v>
      </c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</row>
    <row r="463" spans="1:25" s="1" customFormat="1" x14ac:dyDescent="0.3">
      <c r="A463" s="62"/>
      <c r="B463" s="498" t="s">
        <v>524</v>
      </c>
      <c r="C463" s="512"/>
      <c r="D463" s="171">
        <f>SUM(D459:D462)</f>
        <v>0</v>
      </c>
      <c r="E463" s="171">
        <f>SUM(E459:E462)</f>
        <v>0</v>
      </c>
      <c r="F463" s="171">
        <f>SUM(F459:F462)</f>
        <v>0</v>
      </c>
      <c r="G463" s="171">
        <f t="shared" ref="G463:L463" si="178">SUM(G459:G462)</f>
        <v>0</v>
      </c>
      <c r="H463" s="171">
        <f t="shared" si="178"/>
        <v>0</v>
      </c>
      <c r="I463" s="171">
        <f t="shared" si="178"/>
        <v>0</v>
      </c>
      <c r="J463" s="171">
        <f t="shared" si="178"/>
        <v>0</v>
      </c>
      <c r="K463" s="171">
        <f t="shared" si="178"/>
        <v>0</v>
      </c>
      <c r="L463" s="171">
        <f t="shared" si="178"/>
        <v>0</v>
      </c>
      <c r="M463" s="171">
        <f>SUM(M459:M462)</f>
        <v>0</v>
      </c>
      <c r="N463" s="171">
        <f>SUM(N459:N462)</f>
        <v>0</v>
      </c>
      <c r="O463" s="171">
        <f>SUM(O459:O462)</f>
        <v>0</v>
      </c>
      <c r="P463" s="171">
        <f>SUM(P459:P462)</f>
        <v>0</v>
      </c>
      <c r="Q463" s="171">
        <f>SUM(Q459:Q462)</f>
        <v>0</v>
      </c>
      <c r="R463" s="171"/>
      <c r="S463" s="62">
        <f>SUM(J463:Q463)</f>
        <v>0</v>
      </c>
      <c r="T463" s="468">
        <f>I463-S463</f>
        <v>0</v>
      </c>
    </row>
    <row r="464" spans="1:25" s="1" customFormat="1" x14ac:dyDescent="0.3">
      <c r="A464" s="62"/>
      <c r="B464" s="62"/>
      <c r="C464" s="489"/>
      <c r="D464" s="171"/>
      <c r="E464" s="171"/>
      <c r="F464" s="171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</row>
    <row r="465" spans="1:20" x14ac:dyDescent="0.3">
      <c r="A465" s="463" t="s">
        <v>538</v>
      </c>
      <c r="B465" s="62"/>
      <c r="C465" s="489"/>
      <c r="D465" s="171">
        <f>D414+SUM(D418:D419,D424,D426,D428)+D438+D444+D457+D463</f>
        <v>8315341179.6024952</v>
      </c>
      <c r="E465" s="171">
        <f>E414+SUM(E418:E419,E424,E426,E428)+E438+E444+E457+E463</f>
        <v>0</v>
      </c>
      <c r="F465" s="171">
        <f t="shared" ref="F465:Q465" si="179">F414+SUM(F418:F419,F424,F426,F428)+F438+F444+F457+F463</f>
        <v>8315341179.6024952</v>
      </c>
      <c r="G465" s="171">
        <f t="shared" si="179"/>
        <v>681174168.12636185</v>
      </c>
      <c r="H465" s="171">
        <f t="shared" si="179"/>
        <v>7634167011.4761333</v>
      </c>
      <c r="I465" s="171">
        <f t="shared" si="179"/>
        <v>7634167011.4761333</v>
      </c>
      <c r="J465" s="171">
        <f>J414+SUM(J418:J419,J424,J426,J428)+J438+J444+J457+J463</f>
        <v>4002691850.706367</v>
      </c>
      <c r="K465" s="171">
        <f t="shared" si="179"/>
        <v>947572667.61717868</v>
      </c>
      <c r="L465" s="171">
        <f t="shared" si="179"/>
        <v>2473708363.986165</v>
      </c>
      <c r="M465" s="171">
        <f t="shared" si="179"/>
        <v>178926208.46877405</v>
      </c>
      <c r="N465" s="171">
        <f t="shared" si="179"/>
        <v>10441490.41569642</v>
      </c>
      <c r="O465" s="171">
        <f t="shared" si="179"/>
        <v>48965566.058440767</v>
      </c>
      <c r="P465" s="171">
        <f t="shared" si="179"/>
        <v>9739653.0432508364</v>
      </c>
      <c r="Q465" s="171">
        <f t="shared" si="179"/>
        <v>-37878786.944044746</v>
      </c>
      <c r="R465" s="171"/>
      <c r="S465" s="62">
        <f>SUM(J465:Q465)</f>
        <v>7634167013.3518276</v>
      </c>
      <c r="T465" s="468">
        <f>I465-S465</f>
        <v>-1.8756942749023438</v>
      </c>
    </row>
    <row r="466" spans="1:20" ht="13.5" customHeight="1" x14ac:dyDescent="0.3">
      <c r="A466" s="62"/>
      <c r="B466" s="62"/>
      <c r="C466" s="489"/>
      <c r="D466" s="171"/>
      <c r="E466" s="171"/>
      <c r="F466" s="171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</row>
    <row r="467" spans="1:20" x14ac:dyDescent="0.3">
      <c r="A467" s="463" t="s">
        <v>128</v>
      </c>
      <c r="B467" s="62"/>
      <c r="C467" s="489"/>
      <c r="D467" s="171">
        <f>D465-D418</f>
        <v>8315341179.6024952</v>
      </c>
      <c r="E467" s="171">
        <f t="shared" ref="E467:Q467" si="180">E465-E418</f>
        <v>0</v>
      </c>
      <c r="F467" s="171">
        <f t="shared" si="180"/>
        <v>8315341179.6024952</v>
      </c>
      <c r="G467" s="171">
        <f t="shared" si="180"/>
        <v>681174168.12636185</v>
      </c>
      <c r="H467" s="171">
        <f t="shared" si="180"/>
        <v>7634167011.4761333</v>
      </c>
      <c r="I467" s="171">
        <f t="shared" si="180"/>
        <v>7634167011.4761333</v>
      </c>
      <c r="J467" s="171">
        <f t="shared" si="180"/>
        <v>4002691850.706367</v>
      </c>
      <c r="K467" s="171">
        <f t="shared" si="180"/>
        <v>947572667.61717868</v>
      </c>
      <c r="L467" s="171">
        <f t="shared" si="180"/>
        <v>2473708363.986165</v>
      </c>
      <c r="M467" s="171">
        <f t="shared" si="180"/>
        <v>178926208.46877405</v>
      </c>
      <c r="N467" s="171">
        <f t="shared" si="180"/>
        <v>10441490.41569642</v>
      </c>
      <c r="O467" s="171">
        <f t="shared" si="180"/>
        <v>48965566.058440767</v>
      </c>
      <c r="P467" s="171">
        <f t="shared" si="180"/>
        <v>9739653.0432508364</v>
      </c>
      <c r="Q467" s="171">
        <f t="shared" si="180"/>
        <v>-37878786.944044746</v>
      </c>
      <c r="R467" s="62"/>
      <c r="S467" s="62">
        <f>SUM(J467:Q467)</f>
        <v>7634167013.3518276</v>
      </c>
      <c r="T467" s="468">
        <f>I467-S467</f>
        <v>-1.8756942749023438</v>
      </c>
    </row>
    <row r="468" spans="1:20" x14ac:dyDescent="0.3">
      <c r="A468" s="62"/>
      <c r="B468" s="62"/>
      <c r="C468" s="489"/>
      <c r="D468" s="171"/>
      <c r="E468" s="171"/>
      <c r="F468" s="171"/>
      <c r="G468" s="62"/>
      <c r="H468" s="62"/>
      <c r="I468" s="62"/>
      <c r="J468" s="516"/>
      <c r="K468" s="62"/>
      <c r="L468" s="62"/>
      <c r="M468" s="62"/>
      <c r="N468" s="62"/>
      <c r="O468" s="62"/>
      <c r="P468" s="62"/>
      <c r="Q468" s="62"/>
      <c r="R468" s="62"/>
      <c r="S468" s="62"/>
      <c r="T468" s="62"/>
    </row>
    <row r="469" spans="1:20" x14ac:dyDescent="0.3">
      <c r="A469" s="463" t="s">
        <v>1276</v>
      </c>
      <c r="B469" s="62"/>
      <c r="C469" s="489"/>
      <c r="D469" s="171">
        <f>D467-D442</f>
        <v>8207767991.3124952</v>
      </c>
      <c r="E469" s="171">
        <f t="shared" ref="E469:Q469" si="181">E467-E442</f>
        <v>0</v>
      </c>
      <c r="F469" s="171">
        <f t="shared" si="181"/>
        <v>8207767991.3124952</v>
      </c>
      <c r="G469" s="171">
        <f t="shared" si="181"/>
        <v>679949320.65636182</v>
      </c>
      <c r="H469" s="171">
        <f t="shared" si="181"/>
        <v>7527818670.6561337</v>
      </c>
      <c r="I469" s="171">
        <f t="shared" si="181"/>
        <v>7527818670.6561337</v>
      </c>
      <c r="J469" s="171">
        <f t="shared" si="181"/>
        <v>3896343509.8863668</v>
      </c>
      <c r="K469" s="171">
        <f t="shared" si="181"/>
        <v>947572667.61717868</v>
      </c>
      <c r="L469" s="171">
        <f t="shared" si="181"/>
        <v>2473708363.986165</v>
      </c>
      <c r="M469" s="171">
        <f t="shared" si="181"/>
        <v>178926208.46877405</v>
      </c>
      <c r="N469" s="171">
        <f t="shared" si="181"/>
        <v>10441490.41569642</v>
      </c>
      <c r="O469" s="171">
        <f t="shared" si="181"/>
        <v>48965566.058440767</v>
      </c>
      <c r="P469" s="171">
        <f t="shared" si="181"/>
        <v>9739653.0432508364</v>
      </c>
      <c r="Q469" s="171">
        <f t="shared" si="181"/>
        <v>-37878786.944044746</v>
      </c>
      <c r="R469" s="171"/>
      <c r="S469" s="62">
        <f>SUM(J469:Q469)</f>
        <v>7527818672.5318279</v>
      </c>
      <c r="T469" s="468">
        <f>I469-S469</f>
        <v>-1.8756942749023438</v>
      </c>
    </row>
    <row r="470" spans="1:20" x14ac:dyDescent="0.3">
      <c r="A470" s="62"/>
      <c r="B470" s="62"/>
      <c r="C470" s="489"/>
      <c r="D470" s="171"/>
      <c r="E470" s="171"/>
      <c r="F470" s="171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</row>
  </sheetData>
  <customSheetViews>
    <customSheetView guid="{121E4431-22F3-11D5-8242-00600818425F}" scale="75" showRuler="0">
      <pane xSplit="2" ySplit="7" topLeftCell="C572" activePane="bottomRight" state="frozenSplit"/>
      <selection pane="bottomRight" activeCell="B584" sqref="B584"/>
      <rowBreaks count="9" manualBreakCount="9">
        <brk id="58" max="16383" man="1"/>
        <brk id="133" max="16383" man="1"/>
        <brk id="199" max="16383" man="1"/>
        <brk id="249" max="16383" man="1"/>
        <brk id="324" max="16383" man="1"/>
        <brk id="390" max="16383" man="1"/>
        <brk id="440" max="16383" man="1"/>
        <brk id="515" max="16383" man="1"/>
        <brk id="580" max="16383" man="1"/>
      </rowBreaks>
      <pageMargins left="0" right="0" top="0.5" bottom="0.4" header="0.2" footer="0.2"/>
      <printOptions horizontalCentered="1" gridLines="1"/>
      <pageSetup scale="60" fitToHeight="0" orientation="landscape" horizontalDpi="180" verticalDpi="180" r:id="rId1"/>
      <headerFooter alignWithMargins="0">
        <oddFooter>&amp;L&amp;8&amp;F &amp;C&amp;8&amp;A
page &amp;P&amp;R&amp;8&amp;D
&amp;T</oddFooter>
      </headerFooter>
    </customSheetView>
    <customSheetView guid="{26EFD302-2526-11D5-9AB1-0060975861A8}" scale="75" showPageBreaks="1" printArea="1" hiddenColumns="1" showRuler="0">
      <pane xSplit="2" ySplit="7" topLeftCell="C336" activePane="bottomRight" state="frozenSplit"/>
      <selection pane="bottomRight" activeCell="H456" sqref="H456"/>
      <rowBreaks count="9" manualBreakCount="9">
        <brk id="56" max="16383" man="1"/>
        <brk id="104" max="16383" man="1"/>
        <brk id="158" max="16383" man="1"/>
        <brk id="206" max="16383" man="1"/>
        <brk id="254" max="16383" man="1"/>
        <brk id="308" max="16383" man="1"/>
        <brk id="356" max="16383" man="1"/>
        <brk id="404" max="16383" man="1"/>
        <brk id="457" max="16383" man="1"/>
      </rowBreaks>
      <pageMargins left="0" right="0" top="0.5" bottom="0.4" header="0.2" footer="0.2"/>
      <printOptions horizontalCentered="1" gridLines="1"/>
      <pageSetup scale="60" fitToHeight="0" orientation="landscape" horizontalDpi="180" verticalDpi="180" r:id="rId2"/>
      <headerFooter alignWithMargins="0">
        <oddFooter>&amp;L&amp;8&amp;F &amp;C&amp;8&amp;A
page &amp;P&amp;R&amp;8&amp;D
&amp;T</oddFooter>
      </headerFooter>
    </customSheetView>
    <customSheetView guid="{44D25261-300E-11D5-83AB-006008184210}" scale="75" showPageBreaks="1" printArea="1" hiddenColumns="1" showRuler="0">
      <pane xSplit="2" ySplit="7" topLeftCell="C336" activePane="bottomRight" state="frozenSplit"/>
      <selection pane="bottomRight" activeCell="H456" sqref="H456"/>
      <rowBreaks count="9" manualBreakCount="9">
        <brk id="56" max="16383" man="1"/>
        <brk id="104" max="16383" man="1"/>
        <brk id="158" max="16383" man="1"/>
        <brk id="206" max="16383" man="1"/>
        <brk id="254" max="16383" man="1"/>
        <brk id="308" max="16383" man="1"/>
        <brk id="356" max="16383" man="1"/>
        <brk id="404" max="16383" man="1"/>
        <brk id="457" max="16383" man="1"/>
      </rowBreaks>
      <pageMargins left="0" right="0" top="0.5" bottom="0.4" header="0.2" footer="0.2"/>
      <printOptions horizontalCentered="1" gridLines="1"/>
      <pageSetup scale="60" fitToHeight="0" orientation="landscape" horizontalDpi="180" verticalDpi="180" r:id="rId3"/>
      <headerFooter alignWithMargins="0">
        <oddFooter>&amp;L&amp;8&amp;F &amp;C&amp;8&amp;A
page &amp;P&amp;R&amp;8&amp;D
&amp;T</oddFooter>
      </headerFooter>
    </customSheetView>
  </customSheetViews>
  <phoneticPr fontId="0" type="noConversion"/>
  <conditionalFormatting sqref="V1:W1048576">
    <cfRule type="cellIs" dxfId="0" priority="1" operator="notEqual">
      <formula>0</formula>
    </cfRule>
  </conditionalFormatting>
  <printOptions horizontalCentered="1" gridLines="1" gridLinesSet="0"/>
  <pageMargins left="0" right="0" top="0.5" bottom="0.4" header="0.2" footer="0.2"/>
  <pageSetup scale="41" fitToHeight="0" orientation="landscape" horizontalDpi="180" verticalDpi="180" r:id="rId4"/>
  <headerFooter alignWithMargins="0">
    <oddFooter>&amp;L&amp;8&amp;F &amp;C&amp;8&amp;A
page &amp;P&amp;R&amp;8&amp;D
&amp;T</oddFooter>
  </headerFooter>
  <rowBreaks count="9" manualBreakCount="9">
    <brk id="64" max="16383" man="1"/>
    <brk id="99" max="16383" man="1"/>
    <brk id="144" max="16383" man="1"/>
    <brk id="200" max="16383" man="1"/>
    <brk id="235" max="16383" man="1"/>
    <brk id="280" max="16383" man="1"/>
    <brk id="336" max="16383" man="1"/>
    <brk id="371" max="16383" man="1"/>
    <brk id="41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12"/>
  <sheetViews>
    <sheetView workbookViewId="0"/>
  </sheetViews>
  <sheetFormatPr defaultColWidth="8.81640625" defaultRowHeight="13" x14ac:dyDescent="0.3"/>
  <cols>
    <col min="1" max="1" width="12" style="4" bestFit="1" customWidth="1"/>
    <col min="2" max="2" width="3.453125" style="4" customWidth="1"/>
    <col min="3" max="3" width="13.81640625" style="4" bestFit="1" customWidth="1"/>
    <col min="4" max="16384" width="8.81640625" style="4"/>
  </cols>
  <sheetData>
    <row r="1" spans="1:7" x14ac:dyDescent="0.3">
      <c r="A1" s="66"/>
      <c r="B1" s="66"/>
      <c r="C1" s="67" t="s">
        <v>835</v>
      </c>
      <c r="D1" s="66"/>
      <c r="E1" s="66"/>
      <c r="F1" s="1"/>
      <c r="G1" s="1"/>
    </row>
    <row r="2" spans="1:7" x14ac:dyDescent="0.3">
      <c r="A2" s="66"/>
      <c r="B2" s="66"/>
      <c r="C2" s="67" t="s">
        <v>189</v>
      </c>
      <c r="D2" s="67" t="s">
        <v>1078</v>
      </c>
      <c r="E2" s="66" t="s">
        <v>1080</v>
      </c>
    </row>
    <row r="3" spans="1:7" x14ac:dyDescent="0.3">
      <c r="A3" s="66"/>
      <c r="B3" s="66"/>
      <c r="C3" s="67"/>
      <c r="D3" s="67"/>
      <c r="E3" s="66"/>
    </row>
    <row r="4" spans="1:7" x14ac:dyDescent="0.3">
      <c r="A4" s="66" t="s">
        <v>1072</v>
      </c>
      <c r="B4" s="66"/>
      <c r="C4" s="69">
        <v>55610179.770000003</v>
      </c>
      <c r="D4" s="25">
        <f t="shared" ref="D4:D11" si="0">C4/C$12</f>
        <v>0.2931594937751385</v>
      </c>
      <c r="E4" s="25">
        <f>C4/(C$12-C$7)</f>
        <v>0.3195899383687153</v>
      </c>
    </row>
    <row r="5" spans="1:7" x14ac:dyDescent="0.3">
      <c r="A5" s="66" t="s">
        <v>366</v>
      </c>
      <c r="B5" s="66"/>
      <c r="C5" s="69">
        <v>18949293.489999998</v>
      </c>
      <c r="D5" s="25">
        <f t="shared" si="0"/>
        <v>9.9894755059248511E-2</v>
      </c>
      <c r="E5" s="25">
        <f>C5/(C$12-C$7)</f>
        <v>0.10890098833787311</v>
      </c>
    </row>
    <row r="6" spans="1:7" x14ac:dyDescent="0.3">
      <c r="A6" s="66" t="s">
        <v>1073</v>
      </c>
      <c r="B6" s="66"/>
      <c r="C6" s="69">
        <v>78091969.929999992</v>
      </c>
      <c r="D6" s="25">
        <f t="shared" si="0"/>
        <v>0.41167646764077587</v>
      </c>
      <c r="E6" s="25">
        <f>C6/(C$12-C$7)</f>
        <v>0.44879207296654028</v>
      </c>
    </row>
    <row r="7" spans="1:7" x14ac:dyDescent="0.3">
      <c r="A7" s="66" t="s">
        <v>1074</v>
      </c>
      <c r="B7" s="66"/>
      <c r="C7" s="69">
        <v>15687787.810000001</v>
      </c>
      <c r="D7" s="25">
        <f t="shared" si="0"/>
        <v>8.2701116087965279E-2</v>
      </c>
      <c r="E7" s="25"/>
    </row>
    <row r="8" spans="1:7" x14ac:dyDescent="0.3">
      <c r="A8" s="66" t="s">
        <v>1075</v>
      </c>
      <c r="B8" s="66"/>
      <c r="C8" s="69">
        <v>2582925.9800000004</v>
      </c>
      <c r="D8" s="25">
        <f t="shared" si="0"/>
        <v>1.3616378797680941E-2</v>
      </c>
      <c r="E8" s="25">
        <f>C8/(C$12-C$7)</f>
        <v>1.4843993638813472E-2</v>
      </c>
    </row>
    <row r="9" spans="1:7" x14ac:dyDescent="0.3">
      <c r="A9" s="66" t="s">
        <v>1076</v>
      </c>
      <c r="B9" s="66"/>
      <c r="C9" s="69">
        <v>7703003.8499999996</v>
      </c>
      <c r="D9" s="25">
        <f t="shared" si="0"/>
        <v>4.0607829691501507E-2</v>
      </c>
      <c r="E9" s="25">
        <f>C9/(C$12-C$7)</f>
        <v>4.4268918673835034E-2</v>
      </c>
    </row>
    <row r="10" spans="1:7" x14ac:dyDescent="0.3">
      <c r="A10" s="66" t="s">
        <v>907</v>
      </c>
      <c r="B10" s="66"/>
      <c r="C10" s="69">
        <v>6795350.6899999995</v>
      </c>
      <c r="D10" s="25">
        <f t="shared" si="0"/>
        <v>3.5822965804897952E-2</v>
      </c>
      <c r="E10" s="25">
        <f>C10/(C$12-C$7)</f>
        <v>3.9052664767368482E-2</v>
      </c>
    </row>
    <row r="11" spans="1:7" x14ac:dyDescent="0.3">
      <c r="A11" s="66" t="s">
        <v>1077</v>
      </c>
      <c r="B11" s="66"/>
      <c r="C11" s="459">
        <v>4272065.2200000025</v>
      </c>
      <c r="D11" s="68">
        <f t="shared" si="0"/>
        <v>2.2520993142791566E-2</v>
      </c>
      <c r="E11" s="68">
        <f>C11/(C$12-C$7)</f>
        <v>2.4551423246854446E-2</v>
      </c>
    </row>
    <row r="12" spans="1:7" x14ac:dyDescent="0.3">
      <c r="A12" s="66"/>
      <c r="B12" s="66"/>
      <c r="C12" s="69">
        <f>SUM(C4:C11)</f>
        <v>189692576.73999998</v>
      </c>
      <c r="D12" s="63">
        <f>SUM(D4:D11)</f>
        <v>1.0000000000000002</v>
      </c>
      <c r="E12" s="63">
        <f>SUM(E4:E11)</f>
        <v>1.0000000000000002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FD34"/>
  <sheetViews>
    <sheetView zoomScale="75" zoomScaleNormal="75" workbookViewId="0">
      <pane xSplit="2" ySplit="9" topLeftCell="C10" activePane="bottomRight" state="frozen"/>
      <selection activeCell="C368" sqref="C368"/>
      <selection pane="topRight" activeCell="C368" sqref="C368"/>
      <selection pane="bottomLeft" activeCell="C368" sqref="C368"/>
      <selection pane="bottomRight" activeCell="C10" sqref="C10"/>
    </sheetView>
  </sheetViews>
  <sheetFormatPr defaultColWidth="9.1796875" defaultRowHeight="13" x14ac:dyDescent="0.3"/>
  <cols>
    <col min="1" max="1" width="19.453125" style="70" customWidth="1"/>
    <col min="2" max="2" width="22.54296875" style="70" customWidth="1"/>
    <col min="3" max="3" width="9.81640625" style="70" bestFit="1" customWidth="1"/>
    <col min="4" max="4" width="16" style="70" bestFit="1" customWidth="1"/>
    <col min="5" max="5" width="13.453125" style="70" bestFit="1" customWidth="1"/>
    <col min="6" max="6" width="14.81640625" style="70" bestFit="1" customWidth="1"/>
    <col min="7" max="7" width="15.1796875" style="70" bestFit="1" customWidth="1"/>
    <col min="8" max="8" width="12.54296875" style="70" bestFit="1" customWidth="1"/>
    <col min="9" max="9" width="14.54296875" style="70" bestFit="1" customWidth="1"/>
    <col min="10" max="10" width="11.81640625" style="70" bestFit="1" customWidth="1"/>
    <col min="11" max="11" width="11.54296875" style="70" bestFit="1" customWidth="1"/>
    <col min="12" max="12" width="11.453125" style="70" bestFit="1" customWidth="1"/>
    <col min="13" max="13" width="10.54296875" style="70" customWidth="1"/>
    <col min="14" max="14" width="13" style="70" bestFit="1" customWidth="1"/>
    <col min="15" max="15" width="11.54296875" style="70" customWidth="1"/>
    <col min="16" max="16" width="10.54296875" style="70" customWidth="1"/>
    <col min="17" max="16384" width="9.1796875" style="70"/>
  </cols>
  <sheetData>
    <row r="1" spans="1:16384" x14ac:dyDescent="0.3">
      <c r="A1" s="301" t="s">
        <v>154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82"/>
    </row>
    <row r="2" spans="1:16384" x14ac:dyDescent="0.3">
      <c r="A2" s="307" t="s">
        <v>1042</v>
      </c>
      <c r="B2" s="383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384"/>
    </row>
    <row r="3" spans="1:16384" s="211" customFormat="1" x14ac:dyDescent="0.3">
      <c r="A3" s="307" t="s">
        <v>1281</v>
      </c>
      <c r="B3" s="383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384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  <c r="GA3" s="70"/>
      <c r="GB3" s="70"/>
      <c r="GC3" s="70"/>
      <c r="GD3" s="70"/>
      <c r="GE3" s="70"/>
      <c r="GF3" s="70"/>
      <c r="GG3" s="70"/>
      <c r="GH3" s="70"/>
      <c r="GI3" s="70"/>
      <c r="GJ3" s="70"/>
      <c r="GK3" s="70"/>
      <c r="GL3" s="70"/>
      <c r="GM3" s="70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70"/>
      <c r="GY3" s="70"/>
      <c r="GZ3" s="70"/>
      <c r="HA3" s="70"/>
      <c r="HB3" s="70"/>
      <c r="HC3" s="70"/>
      <c r="HD3" s="70"/>
      <c r="HE3" s="70"/>
      <c r="HF3" s="70"/>
      <c r="HG3" s="70"/>
      <c r="HH3" s="70"/>
      <c r="HI3" s="70"/>
      <c r="HJ3" s="70"/>
      <c r="HK3" s="70"/>
      <c r="HL3" s="70"/>
      <c r="HM3" s="70"/>
      <c r="HN3" s="70"/>
      <c r="HO3" s="70"/>
      <c r="HP3" s="70"/>
      <c r="HQ3" s="70"/>
      <c r="HR3" s="70"/>
      <c r="HS3" s="70"/>
      <c r="HT3" s="70"/>
      <c r="HU3" s="70"/>
      <c r="HV3" s="70"/>
      <c r="HW3" s="70"/>
      <c r="HX3" s="70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  <c r="IS3" s="70"/>
      <c r="IT3" s="70"/>
      <c r="IU3" s="70"/>
      <c r="IV3" s="70"/>
      <c r="IW3" s="70"/>
      <c r="IX3" s="70"/>
      <c r="IY3" s="70"/>
      <c r="IZ3" s="70"/>
      <c r="JA3" s="70"/>
      <c r="JB3" s="70"/>
      <c r="JC3" s="70"/>
      <c r="JD3" s="70"/>
      <c r="JE3" s="70"/>
      <c r="JF3" s="70"/>
      <c r="JG3" s="70"/>
      <c r="JH3" s="70"/>
      <c r="JI3" s="70"/>
      <c r="JJ3" s="70"/>
      <c r="JK3" s="70"/>
      <c r="JL3" s="70"/>
      <c r="JM3" s="70"/>
      <c r="JN3" s="70"/>
      <c r="JO3" s="70"/>
      <c r="JP3" s="70"/>
      <c r="JQ3" s="70"/>
      <c r="JR3" s="70"/>
      <c r="JS3" s="70"/>
      <c r="JT3" s="70"/>
      <c r="JU3" s="70"/>
      <c r="JV3" s="70"/>
      <c r="JW3" s="70"/>
      <c r="JX3" s="70"/>
      <c r="JY3" s="70"/>
      <c r="JZ3" s="70"/>
      <c r="KA3" s="70"/>
      <c r="KB3" s="70"/>
      <c r="KC3" s="70"/>
      <c r="KD3" s="70"/>
      <c r="KE3" s="70"/>
      <c r="KF3" s="70"/>
      <c r="KG3" s="70"/>
      <c r="KH3" s="70"/>
      <c r="KI3" s="70"/>
      <c r="KJ3" s="70"/>
      <c r="KK3" s="70"/>
      <c r="KL3" s="70"/>
      <c r="KM3" s="70"/>
      <c r="KN3" s="70"/>
      <c r="KO3" s="70"/>
      <c r="KP3" s="70"/>
      <c r="KQ3" s="70"/>
      <c r="KR3" s="70"/>
      <c r="KS3" s="70"/>
      <c r="KT3" s="70"/>
      <c r="KU3" s="70"/>
      <c r="KV3" s="70"/>
      <c r="KW3" s="70"/>
      <c r="KX3" s="70"/>
      <c r="KY3" s="70"/>
      <c r="KZ3" s="70"/>
      <c r="LA3" s="70"/>
      <c r="LB3" s="70"/>
      <c r="LC3" s="70"/>
      <c r="LD3" s="70"/>
      <c r="LE3" s="70"/>
      <c r="LF3" s="70"/>
      <c r="LG3" s="70"/>
      <c r="LH3" s="70"/>
      <c r="LI3" s="70"/>
      <c r="LJ3" s="70"/>
      <c r="LK3" s="70"/>
      <c r="LL3" s="70"/>
      <c r="LM3" s="70"/>
      <c r="LN3" s="70"/>
      <c r="LO3" s="70"/>
      <c r="LP3" s="70"/>
      <c r="LQ3" s="70"/>
      <c r="LR3" s="70"/>
      <c r="LS3" s="70"/>
      <c r="LT3" s="70"/>
      <c r="LU3" s="70"/>
      <c r="LV3" s="70"/>
      <c r="LW3" s="70"/>
      <c r="LX3" s="70"/>
      <c r="LY3" s="70"/>
      <c r="LZ3" s="70"/>
      <c r="MA3" s="70"/>
      <c r="MB3" s="70"/>
      <c r="MC3" s="70"/>
      <c r="MD3" s="70"/>
      <c r="ME3" s="70"/>
      <c r="MF3" s="70"/>
      <c r="MG3" s="70"/>
      <c r="MH3" s="70"/>
      <c r="MI3" s="70"/>
      <c r="MJ3" s="70"/>
      <c r="MK3" s="70"/>
      <c r="ML3" s="70"/>
      <c r="MM3" s="70"/>
      <c r="MN3" s="70"/>
      <c r="MO3" s="70"/>
      <c r="MP3" s="70"/>
      <c r="MQ3" s="70"/>
      <c r="MR3" s="70"/>
      <c r="MS3" s="70"/>
      <c r="MT3" s="70"/>
      <c r="MU3" s="70"/>
      <c r="MV3" s="70"/>
      <c r="MW3" s="70"/>
      <c r="MX3" s="70"/>
      <c r="MY3" s="70"/>
      <c r="MZ3" s="70"/>
      <c r="NA3" s="70"/>
      <c r="NB3" s="70"/>
      <c r="NC3" s="70"/>
      <c r="ND3" s="70"/>
      <c r="NE3" s="70"/>
      <c r="NF3" s="70"/>
      <c r="NG3" s="70"/>
      <c r="NH3" s="70"/>
      <c r="NI3" s="70"/>
      <c r="NJ3" s="70"/>
      <c r="NK3" s="70"/>
      <c r="NL3" s="70"/>
      <c r="NM3" s="70"/>
      <c r="NN3" s="70"/>
      <c r="NO3" s="70"/>
      <c r="NP3" s="70"/>
      <c r="NQ3" s="70"/>
      <c r="NR3" s="70"/>
      <c r="NS3" s="70"/>
      <c r="NT3" s="70"/>
      <c r="NU3" s="70"/>
      <c r="NV3" s="70"/>
      <c r="NW3" s="70"/>
      <c r="NX3" s="70"/>
      <c r="NY3" s="70"/>
      <c r="NZ3" s="70"/>
      <c r="OA3" s="70"/>
      <c r="OB3" s="70"/>
      <c r="OC3" s="70"/>
      <c r="OD3" s="70"/>
      <c r="OE3" s="70"/>
      <c r="OF3" s="70"/>
      <c r="OG3" s="70"/>
      <c r="OH3" s="70"/>
      <c r="OI3" s="70"/>
      <c r="OJ3" s="70"/>
      <c r="OK3" s="70"/>
      <c r="OL3" s="70"/>
      <c r="OM3" s="70"/>
      <c r="ON3" s="70"/>
      <c r="OO3" s="70"/>
      <c r="OP3" s="70"/>
      <c r="OQ3" s="70"/>
      <c r="OR3" s="70"/>
      <c r="OS3" s="70"/>
      <c r="OT3" s="70"/>
      <c r="OU3" s="70"/>
      <c r="OV3" s="70"/>
      <c r="OW3" s="70"/>
      <c r="OX3" s="70"/>
      <c r="OY3" s="70"/>
      <c r="OZ3" s="70"/>
      <c r="PA3" s="70"/>
      <c r="PB3" s="70"/>
      <c r="PC3" s="70"/>
      <c r="PD3" s="70"/>
      <c r="PE3" s="70"/>
      <c r="PF3" s="70"/>
      <c r="PG3" s="70"/>
      <c r="PH3" s="70"/>
      <c r="PI3" s="70"/>
      <c r="PJ3" s="70"/>
      <c r="PK3" s="70"/>
      <c r="PL3" s="70"/>
      <c r="PM3" s="70"/>
      <c r="PN3" s="70"/>
      <c r="PO3" s="70"/>
      <c r="PP3" s="70"/>
      <c r="PQ3" s="70"/>
      <c r="PR3" s="70"/>
      <c r="PS3" s="70"/>
      <c r="PT3" s="70"/>
      <c r="PU3" s="70"/>
      <c r="PV3" s="70"/>
      <c r="PW3" s="70"/>
      <c r="PX3" s="70"/>
      <c r="PY3" s="70"/>
      <c r="PZ3" s="70"/>
      <c r="QA3" s="70"/>
      <c r="QB3" s="70"/>
      <c r="QC3" s="70"/>
      <c r="QD3" s="70"/>
      <c r="QE3" s="70"/>
      <c r="QF3" s="70"/>
      <c r="QG3" s="70"/>
      <c r="QH3" s="70"/>
      <c r="QI3" s="70"/>
      <c r="QJ3" s="70"/>
      <c r="QK3" s="70"/>
      <c r="QL3" s="70"/>
      <c r="QM3" s="70"/>
      <c r="QN3" s="70"/>
      <c r="QO3" s="70"/>
      <c r="QP3" s="70"/>
      <c r="QQ3" s="70"/>
      <c r="QR3" s="70"/>
      <c r="QS3" s="70"/>
      <c r="QT3" s="70"/>
      <c r="QU3" s="70"/>
      <c r="QV3" s="70"/>
      <c r="QW3" s="70"/>
      <c r="QX3" s="70"/>
      <c r="QY3" s="70"/>
      <c r="QZ3" s="70"/>
      <c r="RA3" s="70"/>
      <c r="RB3" s="70"/>
      <c r="RC3" s="70"/>
      <c r="RD3" s="70"/>
      <c r="RE3" s="70"/>
      <c r="RF3" s="70"/>
      <c r="RG3" s="70"/>
      <c r="RH3" s="70"/>
      <c r="RI3" s="70"/>
      <c r="RJ3" s="70"/>
      <c r="RK3" s="70"/>
      <c r="RL3" s="70"/>
      <c r="RM3" s="70"/>
      <c r="RN3" s="70"/>
      <c r="RO3" s="70"/>
      <c r="RP3" s="70"/>
      <c r="RQ3" s="70"/>
      <c r="RR3" s="70"/>
      <c r="RS3" s="70"/>
      <c r="RT3" s="70"/>
      <c r="RU3" s="70"/>
      <c r="RV3" s="70"/>
      <c r="RW3" s="70"/>
      <c r="RX3" s="70"/>
      <c r="RY3" s="70"/>
      <c r="RZ3" s="70"/>
      <c r="SA3" s="70"/>
      <c r="SB3" s="70"/>
      <c r="SC3" s="70"/>
      <c r="SD3" s="70"/>
      <c r="SE3" s="70"/>
      <c r="SF3" s="70"/>
      <c r="SG3" s="70"/>
      <c r="SH3" s="70"/>
      <c r="SI3" s="70"/>
      <c r="SJ3" s="70"/>
      <c r="SK3" s="70"/>
      <c r="SL3" s="70"/>
      <c r="SM3" s="70"/>
      <c r="SN3" s="70"/>
      <c r="SO3" s="70"/>
      <c r="SP3" s="70"/>
      <c r="SQ3" s="70"/>
      <c r="SR3" s="70"/>
      <c r="SS3" s="70"/>
      <c r="ST3" s="70"/>
      <c r="SU3" s="70"/>
      <c r="SV3" s="70"/>
      <c r="SW3" s="70"/>
      <c r="SX3" s="70"/>
      <c r="SY3" s="70"/>
      <c r="SZ3" s="70"/>
      <c r="TA3" s="70"/>
      <c r="TB3" s="70"/>
      <c r="TC3" s="70"/>
      <c r="TD3" s="70"/>
      <c r="TE3" s="70"/>
      <c r="TF3" s="70"/>
      <c r="TG3" s="70"/>
      <c r="TH3" s="70"/>
      <c r="TI3" s="70"/>
      <c r="TJ3" s="70"/>
      <c r="TK3" s="70"/>
      <c r="TL3" s="70"/>
      <c r="TM3" s="70"/>
      <c r="TN3" s="70"/>
      <c r="TO3" s="70"/>
      <c r="TP3" s="70"/>
      <c r="TQ3" s="70"/>
      <c r="TR3" s="70"/>
      <c r="TS3" s="70"/>
      <c r="TT3" s="70"/>
      <c r="TU3" s="70"/>
      <c r="TV3" s="70"/>
      <c r="TW3" s="70"/>
      <c r="TX3" s="70"/>
      <c r="TY3" s="70"/>
      <c r="TZ3" s="70"/>
      <c r="UA3" s="70"/>
      <c r="UB3" s="70"/>
      <c r="UC3" s="70"/>
      <c r="UD3" s="70"/>
      <c r="UE3" s="70"/>
      <c r="UF3" s="70"/>
      <c r="UG3" s="70"/>
      <c r="UH3" s="70"/>
      <c r="UI3" s="70"/>
      <c r="UJ3" s="70"/>
      <c r="UK3" s="70"/>
      <c r="UL3" s="70"/>
      <c r="UM3" s="70"/>
      <c r="UN3" s="70"/>
      <c r="UO3" s="70"/>
      <c r="UP3" s="70"/>
      <c r="UQ3" s="70"/>
      <c r="UR3" s="70"/>
      <c r="US3" s="70"/>
      <c r="UT3" s="70"/>
      <c r="UU3" s="70"/>
      <c r="UV3" s="70"/>
      <c r="UW3" s="70"/>
      <c r="UX3" s="70"/>
      <c r="UY3" s="70"/>
      <c r="UZ3" s="70"/>
      <c r="VA3" s="70"/>
      <c r="VB3" s="70"/>
      <c r="VC3" s="70"/>
      <c r="VD3" s="70"/>
      <c r="VE3" s="70"/>
      <c r="VF3" s="70"/>
      <c r="VG3" s="70"/>
      <c r="VH3" s="70"/>
      <c r="VI3" s="70"/>
      <c r="VJ3" s="70"/>
      <c r="VK3" s="70"/>
      <c r="VL3" s="70"/>
      <c r="VM3" s="70"/>
      <c r="VN3" s="70"/>
      <c r="VO3" s="70"/>
      <c r="VP3" s="70"/>
      <c r="VQ3" s="70"/>
      <c r="VR3" s="70"/>
      <c r="VS3" s="70"/>
      <c r="VT3" s="70"/>
      <c r="VU3" s="70"/>
      <c r="VV3" s="70"/>
      <c r="VW3" s="70"/>
      <c r="VX3" s="70"/>
      <c r="VY3" s="70"/>
      <c r="VZ3" s="70"/>
      <c r="WA3" s="70"/>
      <c r="WB3" s="70"/>
      <c r="WC3" s="70"/>
      <c r="WD3" s="70"/>
      <c r="WE3" s="70"/>
      <c r="WF3" s="70"/>
      <c r="WG3" s="70"/>
      <c r="WH3" s="70"/>
      <c r="WI3" s="70"/>
      <c r="WJ3" s="70"/>
      <c r="WK3" s="70"/>
      <c r="WL3" s="70"/>
      <c r="WM3" s="70"/>
      <c r="WN3" s="70"/>
      <c r="WO3" s="70"/>
      <c r="WP3" s="70"/>
      <c r="WQ3" s="70"/>
      <c r="WR3" s="70"/>
      <c r="WS3" s="70"/>
      <c r="WT3" s="70"/>
      <c r="WU3" s="70"/>
      <c r="WV3" s="70"/>
      <c r="WW3" s="70"/>
      <c r="WX3" s="70"/>
      <c r="WY3" s="70"/>
      <c r="WZ3" s="70"/>
      <c r="XA3" s="70"/>
      <c r="XB3" s="70"/>
      <c r="XC3" s="70"/>
      <c r="XD3" s="70"/>
      <c r="XE3" s="70"/>
      <c r="XF3" s="70"/>
      <c r="XG3" s="70"/>
      <c r="XH3" s="70"/>
      <c r="XI3" s="70"/>
      <c r="XJ3" s="70"/>
      <c r="XK3" s="70"/>
      <c r="XL3" s="70"/>
      <c r="XM3" s="70"/>
      <c r="XN3" s="70"/>
      <c r="XO3" s="70"/>
      <c r="XP3" s="70"/>
      <c r="XQ3" s="70"/>
      <c r="XR3" s="70"/>
      <c r="XS3" s="70"/>
      <c r="XT3" s="70"/>
      <c r="XU3" s="70"/>
      <c r="XV3" s="70"/>
      <c r="XW3" s="70"/>
      <c r="XX3" s="70"/>
      <c r="XY3" s="70"/>
      <c r="XZ3" s="70"/>
      <c r="YA3" s="70"/>
      <c r="YB3" s="70"/>
      <c r="YC3" s="70"/>
      <c r="YD3" s="70"/>
      <c r="YE3" s="70"/>
      <c r="YF3" s="70"/>
      <c r="YG3" s="70"/>
      <c r="YH3" s="70"/>
      <c r="YI3" s="70"/>
      <c r="YJ3" s="70"/>
      <c r="YK3" s="70"/>
      <c r="YL3" s="70"/>
      <c r="YM3" s="70"/>
      <c r="YN3" s="70"/>
      <c r="YO3" s="70"/>
      <c r="YP3" s="70"/>
      <c r="YQ3" s="70"/>
      <c r="YR3" s="70"/>
      <c r="YS3" s="70"/>
      <c r="YT3" s="70"/>
      <c r="YU3" s="70"/>
      <c r="YV3" s="70"/>
      <c r="YW3" s="70"/>
      <c r="YX3" s="70"/>
      <c r="YY3" s="70"/>
      <c r="YZ3" s="70"/>
      <c r="ZA3" s="70"/>
      <c r="ZB3" s="70"/>
      <c r="ZC3" s="70"/>
      <c r="ZD3" s="70"/>
      <c r="ZE3" s="70"/>
      <c r="ZF3" s="70"/>
      <c r="ZG3" s="70"/>
      <c r="ZH3" s="70"/>
      <c r="ZI3" s="70"/>
      <c r="ZJ3" s="70"/>
      <c r="ZK3" s="70"/>
      <c r="ZL3" s="70"/>
      <c r="ZM3" s="70"/>
      <c r="ZN3" s="70"/>
      <c r="ZO3" s="70"/>
      <c r="ZP3" s="70"/>
      <c r="ZQ3" s="70"/>
      <c r="ZR3" s="70"/>
      <c r="ZS3" s="70"/>
      <c r="ZT3" s="70"/>
      <c r="ZU3" s="70"/>
      <c r="ZV3" s="70"/>
      <c r="ZW3" s="70"/>
      <c r="ZX3" s="70"/>
      <c r="ZY3" s="70"/>
      <c r="ZZ3" s="70"/>
      <c r="AAA3" s="70"/>
      <c r="AAB3" s="70"/>
      <c r="AAC3" s="70"/>
      <c r="AAD3" s="70"/>
      <c r="AAE3" s="70"/>
      <c r="AAF3" s="70"/>
      <c r="AAG3" s="70"/>
      <c r="AAH3" s="70"/>
      <c r="AAI3" s="70"/>
      <c r="AAJ3" s="70"/>
      <c r="AAK3" s="70"/>
      <c r="AAL3" s="70"/>
      <c r="AAM3" s="70"/>
      <c r="AAN3" s="70"/>
      <c r="AAO3" s="70"/>
      <c r="AAP3" s="70"/>
      <c r="AAQ3" s="70"/>
      <c r="AAR3" s="70"/>
      <c r="AAS3" s="70"/>
      <c r="AAT3" s="70"/>
      <c r="AAU3" s="70"/>
      <c r="AAV3" s="70"/>
      <c r="AAW3" s="70"/>
      <c r="AAX3" s="70"/>
      <c r="AAY3" s="70"/>
      <c r="AAZ3" s="70"/>
      <c r="ABA3" s="70"/>
      <c r="ABB3" s="70"/>
      <c r="ABC3" s="70"/>
      <c r="ABD3" s="70"/>
      <c r="ABE3" s="70"/>
      <c r="ABF3" s="70"/>
      <c r="ABG3" s="70"/>
      <c r="ABH3" s="70"/>
      <c r="ABI3" s="70"/>
      <c r="ABJ3" s="70"/>
      <c r="ABK3" s="70"/>
      <c r="ABL3" s="70"/>
      <c r="ABM3" s="70"/>
      <c r="ABN3" s="70"/>
      <c r="ABO3" s="70"/>
      <c r="ABP3" s="70"/>
      <c r="ABQ3" s="70"/>
      <c r="ABR3" s="70"/>
      <c r="ABS3" s="70"/>
      <c r="ABT3" s="70"/>
      <c r="ABU3" s="70"/>
      <c r="ABV3" s="70"/>
      <c r="ABW3" s="70"/>
      <c r="ABX3" s="70"/>
      <c r="ABY3" s="70"/>
      <c r="ABZ3" s="70"/>
      <c r="ACA3" s="70"/>
      <c r="ACB3" s="70"/>
      <c r="ACC3" s="70"/>
      <c r="ACD3" s="70"/>
      <c r="ACE3" s="70"/>
      <c r="ACF3" s="70"/>
      <c r="ACG3" s="70"/>
      <c r="ACH3" s="70"/>
      <c r="ACI3" s="70"/>
      <c r="ACJ3" s="70"/>
      <c r="ACK3" s="70"/>
      <c r="ACL3" s="70"/>
      <c r="ACM3" s="70"/>
      <c r="ACN3" s="70"/>
      <c r="ACO3" s="70"/>
      <c r="ACP3" s="70"/>
      <c r="ACQ3" s="70"/>
      <c r="ACR3" s="70"/>
      <c r="ACS3" s="70"/>
      <c r="ACT3" s="70"/>
      <c r="ACU3" s="70"/>
      <c r="ACV3" s="70"/>
      <c r="ACW3" s="70"/>
      <c r="ACX3" s="70"/>
      <c r="ACY3" s="70"/>
      <c r="ACZ3" s="70"/>
      <c r="ADA3" s="70"/>
      <c r="ADB3" s="70"/>
      <c r="ADC3" s="70"/>
      <c r="ADD3" s="70"/>
      <c r="ADE3" s="70"/>
      <c r="ADF3" s="70"/>
      <c r="ADG3" s="70"/>
      <c r="ADH3" s="70"/>
      <c r="ADI3" s="70"/>
      <c r="ADJ3" s="70"/>
      <c r="ADK3" s="70"/>
      <c r="ADL3" s="70"/>
      <c r="ADM3" s="70"/>
      <c r="ADN3" s="70"/>
      <c r="ADO3" s="70"/>
      <c r="ADP3" s="70"/>
      <c r="ADQ3" s="70"/>
      <c r="ADR3" s="70"/>
      <c r="ADS3" s="70"/>
      <c r="ADT3" s="70"/>
      <c r="ADU3" s="70"/>
      <c r="ADV3" s="70"/>
      <c r="ADW3" s="70"/>
      <c r="ADX3" s="70"/>
      <c r="ADY3" s="70"/>
      <c r="ADZ3" s="70"/>
      <c r="AEA3" s="70"/>
      <c r="AEB3" s="70"/>
      <c r="AEC3" s="70"/>
      <c r="AED3" s="70"/>
      <c r="AEE3" s="70"/>
      <c r="AEF3" s="70"/>
      <c r="AEG3" s="70"/>
      <c r="AEH3" s="70"/>
      <c r="AEI3" s="70"/>
      <c r="AEJ3" s="70"/>
      <c r="AEK3" s="70"/>
      <c r="AEL3" s="70"/>
      <c r="AEM3" s="70"/>
      <c r="AEN3" s="70"/>
      <c r="AEO3" s="70"/>
      <c r="AEP3" s="70"/>
      <c r="AEQ3" s="70"/>
      <c r="AER3" s="70"/>
      <c r="AES3" s="70"/>
      <c r="AET3" s="70"/>
      <c r="AEU3" s="70"/>
      <c r="AEV3" s="70"/>
      <c r="AEW3" s="70"/>
      <c r="AEX3" s="70"/>
      <c r="AEY3" s="70"/>
      <c r="AEZ3" s="70"/>
      <c r="AFA3" s="70"/>
      <c r="AFB3" s="70"/>
      <c r="AFC3" s="70"/>
      <c r="AFD3" s="70"/>
      <c r="AFE3" s="70"/>
      <c r="AFF3" s="70"/>
      <c r="AFG3" s="70"/>
      <c r="AFH3" s="70"/>
      <c r="AFI3" s="70"/>
      <c r="AFJ3" s="70"/>
      <c r="AFK3" s="70"/>
      <c r="AFL3" s="70"/>
      <c r="AFM3" s="70"/>
      <c r="AFN3" s="70"/>
      <c r="AFO3" s="70"/>
      <c r="AFP3" s="70"/>
      <c r="AFQ3" s="70"/>
      <c r="AFR3" s="70"/>
      <c r="AFS3" s="70"/>
      <c r="AFT3" s="70"/>
      <c r="AFU3" s="70"/>
      <c r="AFV3" s="70"/>
      <c r="AFW3" s="70"/>
      <c r="AFX3" s="70"/>
      <c r="AFY3" s="70"/>
      <c r="AFZ3" s="70"/>
      <c r="AGA3" s="70"/>
      <c r="AGB3" s="70"/>
      <c r="AGC3" s="70"/>
      <c r="AGD3" s="70"/>
      <c r="AGE3" s="70"/>
      <c r="AGF3" s="70"/>
      <c r="AGG3" s="70"/>
      <c r="AGH3" s="70"/>
      <c r="AGI3" s="70"/>
      <c r="AGJ3" s="70"/>
      <c r="AGK3" s="70"/>
      <c r="AGL3" s="70"/>
      <c r="AGM3" s="70"/>
      <c r="AGN3" s="70"/>
      <c r="AGO3" s="70"/>
      <c r="AGP3" s="70"/>
      <c r="AGQ3" s="70"/>
      <c r="AGR3" s="70"/>
      <c r="AGS3" s="70"/>
      <c r="AGT3" s="70"/>
      <c r="AGU3" s="70"/>
      <c r="AGV3" s="70"/>
      <c r="AGW3" s="70"/>
      <c r="AGX3" s="70"/>
      <c r="AGY3" s="70"/>
      <c r="AGZ3" s="70"/>
      <c r="AHA3" s="70"/>
      <c r="AHB3" s="70"/>
      <c r="AHC3" s="70"/>
      <c r="AHD3" s="70"/>
      <c r="AHE3" s="70"/>
      <c r="AHF3" s="70"/>
      <c r="AHG3" s="70"/>
      <c r="AHH3" s="70"/>
      <c r="AHI3" s="70"/>
      <c r="AHJ3" s="70"/>
      <c r="AHK3" s="70"/>
      <c r="AHL3" s="70"/>
      <c r="AHM3" s="70"/>
      <c r="AHN3" s="70"/>
      <c r="AHO3" s="70"/>
      <c r="AHP3" s="70"/>
      <c r="AHQ3" s="70"/>
      <c r="AHR3" s="70"/>
      <c r="AHS3" s="70"/>
      <c r="AHT3" s="70"/>
      <c r="AHU3" s="70"/>
      <c r="AHV3" s="70"/>
      <c r="AHW3" s="70"/>
      <c r="AHX3" s="70"/>
      <c r="AHY3" s="70"/>
      <c r="AHZ3" s="70"/>
      <c r="AIA3" s="70"/>
      <c r="AIB3" s="70"/>
      <c r="AIC3" s="70"/>
      <c r="AID3" s="70"/>
      <c r="AIE3" s="70"/>
      <c r="AIF3" s="70"/>
      <c r="AIG3" s="70"/>
      <c r="AIH3" s="70"/>
      <c r="AII3" s="70"/>
      <c r="AIJ3" s="70"/>
      <c r="AIK3" s="70"/>
      <c r="AIL3" s="70"/>
      <c r="AIM3" s="70"/>
      <c r="AIN3" s="70"/>
      <c r="AIO3" s="70"/>
      <c r="AIP3" s="70"/>
      <c r="AIQ3" s="70"/>
      <c r="AIR3" s="70"/>
      <c r="AIS3" s="70"/>
      <c r="AIT3" s="70"/>
      <c r="AIU3" s="70"/>
      <c r="AIV3" s="70"/>
      <c r="AIW3" s="70"/>
      <c r="AIX3" s="70"/>
      <c r="AIY3" s="70"/>
      <c r="AIZ3" s="70"/>
      <c r="AJA3" s="70"/>
      <c r="AJB3" s="70"/>
      <c r="AJC3" s="70"/>
      <c r="AJD3" s="70"/>
      <c r="AJE3" s="70"/>
      <c r="AJF3" s="70"/>
      <c r="AJG3" s="70"/>
      <c r="AJH3" s="70"/>
      <c r="AJI3" s="70"/>
      <c r="AJJ3" s="70"/>
      <c r="AJK3" s="70"/>
      <c r="AJL3" s="70"/>
      <c r="AJM3" s="70"/>
      <c r="AJN3" s="70"/>
      <c r="AJO3" s="70"/>
      <c r="AJP3" s="70"/>
      <c r="AJQ3" s="70"/>
      <c r="AJR3" s="70"/>
      <c r="AJS3" s="70"/>
      <c r="AJT3" s="70"/>
      <c r="AJU3" s="70"/>
      <c r="AJV3" s="70"/>
      <c r="AJW3" s="70"/>
      <c r="AJX3" s="70"/>
      <c r="AJY3" s="70"/>
      <c r="AJZ3" s="70"/>
      <c r="AKA3" s="70"/>
      <c r="AKB3" s="70"/>
      <c r="AKC3" s="70"/>
      <c r="AKD3" s="70"/>
      <c r="AKE3" s="70"/>
      <c r="AKF3" s="70"/>
      <c r="AKG3" s="70"/>
      <c r="AKH3" s="70"/>
      <c r="AKI3" s="70"/>
      <c r="AKJ3" s="70"/>
      <c r="AKK3" s="70"/>
      <c r="AKL3" s="70"/>
      <c r="AKM3" s="70"/>
      <c r="AKN3" s="70"/>
      <c r="AKO3" s="70"/>
      <c r="AKP3" s="70"/>
      <c r="AKQ3" s="70"/>
      <c r="AKR3" s="70"/>
      <c r="AKS3" s="70"/>
      <c r="AKT3" s="70"/>
      <c r="AKU3" s="70"/>
      <c r="AKV3" s="70"/>
      <c r="AKW3" s="70"/>
      <c r="AKX3" s="70"/>
      <c r="AKY3" s="70"/>
      <c r="AKZ3" s="70"/>
      <c r="ALA3" s="70"/>
      <c r="ALB3" s="70"/>
      <c r="ALC3" s="70"/>
      <c r="ALD3" s="70"/>
      <c r="ALE3" s="70"/>
      <c r="ALF3" s="70"/>
      <c r="ALG3" s="70"/>
      <c r="ALH3" s="70"/>
      <c r="ALI3" s="70"/>
      <c r="ALJ3" s="70"/>
      <c r="ALK3" s="70"/>
      <c r="ALL3" s="70"/>
      <c r="ALM3" s="70"/>
      <c r="ALN3" s="70"/>
      <c r="ALO3" s="70"/>
      <c r="ALP3" s="70"/>
      <c r="ALQ3" s="70"/>
      <c r="ALR3" s="70"/>
      <c r="ALS3" s="70"/>
      <c r="ALT3" s="70"/>
      <c r="ALU3" s="70"/>
      <c r="ALV3" s="70"/>
      <c r="ALW3" s="70"/>
      <c r="ALX3" s="70"/>
      <c r="ALY3" s="70"/>
      <c r="ALZ3" s="70"/>
      <c r="AMA3" s="70"/>
      <c r="AMB3" s="70"/>
      <c r="AMC3" s="70"/>
      <c r="AMD3" s="70"/>
      <c r="AME3" s="70"/>
      <c r="AMF3" s="70"/>
      <c r="AMG3" s="70"/>
      <c r="AMH3" s="70"/>
      <c r="AMI3" s="70"/>
      <c r="AMJ3" s="70"/>
      <c r="AMK3" s="70"/>
      <c r="AML3" s="70"/>
      <c r="AMM3" s="70"/>
      <c r="AMN3" s="70"/>
      <c r="AMO3" s="70"/>
      <c r="AMP3" s="70"/>
      <c r="AMQ3" s="70"/>
      <c r="AMR3" s="70"/>
      <c r="AMS3" s="70"/>
      <c r="AMT3" s="70"/>
      <c r="AMU3" s="70"/>
      <c r="AMV3" s="70"/>
      <c r="AMW3" s="70"/>
      <c r="AMX3" s="70"/>
      <c r="AMY3" s="70"/>
      <c r="AMZ3" s="70"/>
      <c r="ANA3" s="70"/>
      <c r="ANB3" s="70"/>
      <c r="ANC3" s="70"/>
      <c r="AND3" s="70"/>
      <c r="ANE3" s="70"/>
      <c r="ANF3" s="70"/>
      <c r="ANG3" s="70"/>
      <c r="ANH3" s="70"/>
      <c r="ANI3" s="70"/>
      <c r="ANJ3" s="70"/>
      <c r="ANK3" s="70"/>
      <c r="ANL3" s="70"/>
      <c r="ANM3" s="70"/>
      <c r="ANN3" s="70"/>
      <c r="ANO3" s="70"/>
      <c r="ANP3" s="70"/>
      <c r="ANQ3" s="70"/>
      <c r="ANR3" s="70"/>
      <c r="ANS3" s="70"/>
      <c r="ANT3" s="70"/>
      <c r="ANU3" s="70"/>
      <c r="ANV3" s="70"/>
      <c r="ANW3" s="70"/>
      <c r="ANX3" s="70"/>
      <c r="ANY3" s="70"/>
      <c r="ANZ3" s="70"/>
      <c r="AOA3" s="70"/>
      <c r="AOB3" s="70"/>
      <c r="AOC3" s="70"/>
      <c r="AOD3" s="70"/>
      <c r="AOE3" s="70"/>
      <c r="AOF3" s="70"/>
      <c r="AOG3" s="70"/>
      <c r="AOH3" s="70"/>
      <c r="AOI3" s="70"/>
      <c r="AOJ3" s="70"/>
      <c r="AOK3" s="70"/>
      <c r="AOL3" s="70"/>
      <c r="AOM3" s="70"/>
      <c r="AON3" s="70"/>
      <c r="AOO3" s="70"/>
      <c r="AOP3" s="70"/>
      <c r="AOQ3" s="70"/>
      <c r="AOR3" s="70"/>
      <c r="AOS3" s="70"/>
      <c r="AOT3" s="70"/>
      <c r="AOU3" s="70"/>
      <c r="AOV3" s="70"/>
      <c r="AOW3" s="70"/>
      <c r="AOX3" s="70"/>
      <c r="AOY3" s="70"/>
      <c r="AOZ3" s="70"/>
      <c r="APA3" s="70"/>
      <c r="APB3" s="70"/>
      <c r="APC3" s="70"/>
      <c r="APD3" s="70"/>
      <c r="APE3" s="70"/>
      <c r="APF3" s="70"/>
      <c r="APG3" s="70"/>
      <c r="APH3" s="70"/>
      <c r="API3" s="70"/>
      <c r="APJ3" s="70"/>
      <c r="APK3" s="70"/>
      <c r="APL3" s="70"/>
      <c r="APM3" s="70"/>
      <c r="APN3" s="70"/>
      <c r="APO3" s="70"/>
      <c r="APP3" s="70"/>
      <c r="APQ3" s="70"/>
      <c r="APR3" s="70"/>
      <c r="APS3" s="70"/>
      <c r="APT3" s="70"/>
      <c r="APU3" s="70"/>
      <c r="APV3" s="70"/>
      <c r="APW3" s="70"/>
      <c r="APX3" s="70"/>
      <c r="APY3" s="70"/>
      <c r="APZ3" s="70"/>
      <c r="AQA3" s="70"/>
      <c r="AQB3" s="70"/>
      <c r="AQC3" s="70"/>
      <c r="AQD3" s="70"/>
      <c r="AQE3" s="70"/>
      <c r="AQF3" s="70"/>
      <c r="AQG3" s="70"/>
      <c r="AQH3" s="70"/>
      <c r="AQI3" s="70"/>
      <c r="AQJ3" s="70"/>
      <c r="AQK3" s="70"/>
      <c r="AQL3" s="70"/>
      <c r="AQM3" s="70"/>
      <c r="AQN3" s="70"/>
      <c r="AQO3" s="70"/>
      <c r="AQP3" s="70"/>
      <c r="AQQ3" s="70"/>
      <c r="AQR3" s="70"/>
      <c r="AQS3" s="70"/>
      <c r="AQT3" s="70"/>
      <c r="AQU3" s="70"/>
      <c r="AQV3" s="70"/>
      <c r="AQW3" s="70"/>
      <c r="AQX3" s="70"/>
      <c r="AQY3" s="70"/>
      <c r="AQZ3" s="70"/>
      <c r="ARA3" s="70"/>
      <c r="ARB3" s="70"/>
      <c r="ARC3" s="70"/>
      <c r="ARD3" s="70"/>
      <c r="ARE3" s="70"/>
      <c r="ARF3" s="70"/>
      <c r="ARG3" s="70"/>
      <c r="ARH3" s="70"/>
      <c r="ARI3" s="70"/>
      <c r="ARJ3" s="70"/>
      <c r="ARK3" s="70"/>
      <c r="ARL3" s="70"/>
      <c r="ARM3" s="70"/>
      <c r="ARN3" s="70"/>
      <c r="ARO3" s="70"/>
      <c r="ARP3" s="70"/>
      <c r="ARQ3" s="70"/>
      <c r="ARR3" s="70"/>
      <c r="ARS3" s="70"/>
      <c r="ART3" s="70"/>
      <c r="ARU3" s="70"/>
      <c r="ARV3" s="70"/>
      <c r="ARW3" s="70"/>
      <c r="ARX3" s="70"/>
      <c r="ARY3" s="70"/>
      <c r="ARZ3" s="70"/>
      <c r="ASA3" s="70"/>
      <c r="ASB3" s="70"/>
      <c r="ASC3" s="70"/>
      <c r="ASD3" s="70"/>
      <c r="ASE3" s="70"/>
      <c r="ASF3" s="70"/>
      <c r="ASG3" s="70"/>
      <c r="ASH3" s="70"/>
      <c r="ASI3" s="70"/>
      <c r="ASJ3" s="70"/>
      <c r="ASK3" s="70"/>
      <c r="ASL3" s="70"/>
      <c r="ASM3" s="70"/>
      <c r="ASN3" s="70"/>
      <c r="ASO3" s="70"/>
      <c r="ASP3" s="70"/>
      <c r="ASQ3" s="70"/>
      <c r="ASR3" s="70"/>
      <c r="ASS3" s="70"/>
      <c r="AST3" s="70"/>
      <c r="ASU3" s="70"/>
      <c r="ASV3" s="70"/>
      <c r="ASW3" s="70"/>
      <c r="ASX3" s="70"/>
      <c r="ASY3" s="70"/>
      <c r="ASZ3" s="70"/>
      <c r="ATA3" s="70"/>
      <c r="ATB3" s="70"/>
      <c r="ATC3" s="70"/>
      <c r="ATD3" s="70"/>
      <c r="ATE3" s="70"/>
      <c r="ATF3" s="70"/>
      <c r="ATG3" s="70"/>
      <c r="ATH3" s="70"/>
      <c r="ATI3" s="70"/>
      <c r="ATJ3" s="70"/>
      <c r="ATK3" s="70"/>
      <c r="ATL3" s="70"/>
      <c r="ATM3" s="70"/>
      <c r="ATN3" s="70"/>
      <c r="ATO3" s="70"/>
      <c r="ATP3" s="70"/>
      <c r="ATQ3" s="70"/>
      <c r="ATR3" s="70"/>
      <c r="ATS3" s="70"/>
      <c r="ATT3" s="70"/>
      <c r="ATU3" s="70"/>
      <c r="ATV3" s="70"/>
      <c r="ATW3" s="70"/>
      <c r="ATX3" s="70"/>
      <c r="ATY3" s="70"/>
      <c r="ATZ3" s="70"/>
      <c r="AUA3" s="70"/>
      <c r="AUB3" s="70"/>
      <c r="AUC3" s="70"/>
      <c r="AUD3" s="70"/>
      <c r="AUE3" s="70"/>
      <c r="AUF3" s="70"/>
      <c r="AUG3" s="70"/>
      <c r="AUH3" s="70"/>
      <c r="AUI3" s="70"/>
      <c r="AUJ3" s="70"/>
      <c r="AUK3" s="70"/>
      <c r="AUL3" s="70"/>
      <c r="AUM3" s="70"/>
      <c r="AUN3" s="70"/>
      <c r="AUO3" s="70"/>
      <c r="AUP3" s="70"/>
      <c r="AUQ3" s="70"/>
      <c r="AUR3" s="70"/>
      <c r="AUS3" s="70"/>
      <c r="AUT3" s="70"/>
      <c r="AUU3" s="70"/>
      <c r="AUV3" s="70"/>
      <c r="AUW3" s="70"/>
      <c r="AUX3" s="70"/>
      <c r="AUY3" s="70"/>
      <c r="AUZ3" s="70"/>
      <c r="AVA3" s="70"/>
      <c r="AVB3" s="70"/>
      <c r="AVC3" s="70"/>
      <c r="AVD3" s="70"/>
      <c r="AVE3" s="70"/>
      <c r="AVF3" s="70"/>
      <c r="AVG3" s="70"/>
      <c r="AVH3" s="70"/>
      <c r="AVI3" s="70"/>
      <c r="AVJ3" s="70"/>
      <c r="AVK3" s="70"/>
      <c r="AVL3" s="70"/>
      <c r="AVM3" s="70"/>
      <c r="AVN3" s="70"/>
      <c r="AVO3" s="70"/>
      <c r="AVP3" s="70"/>
      <c r="AVQ3" s="70"/>
      <c r="AVR3" s="70"/>
      <c r="AVS3" s="70"/>
      <c r="AVT3" s="70"/>
      <c r="AVU3" s="70"/>
      <c r="AVV3" s="70"/>
      <c r="AVW3" s="70"/>
      <c r="AVX3" s="70"/>
      <c r="AVY3" s="70"/>
      <c r="AVZ3" s="70"/>
      <c r="AWA3" s="70"/>
      <c r="AWB3" s="70"/>
      <c r="AWC3" s="70"/>
      <c r="AWD3" s="70"/>
      <c r="AWE3" s="70"/>
      <c r="AWF3" s="70"/>
      <c r="AWG3" s="70"/>
      <c r="AWH3" s="70"/>
      <c r="AWI3" s="70"/>
      <c r="AWJ3" s="70"/>
      <c r="AWK3" s="70"/>
      <c r="AWL3" s="70"/>
      <c r="AWM3" s="70"/>
      <c r="AWN3" s="70"/>
      <c r="AWO3" s="70"/>
      <c r="AWP3" s="70"/>
      <c r="AWQ3" s="70"/>
      <c r="AWR3" s="70"/>
      <c r="AWS3" s="70"/>
      <c r="AWT3" s="70"/>
      <c r="AWU3" s="70"/>
      <c r="AWV3" s="70"/>
      <c r="AWW3" s="70"/>
      <c r="AWX3" s="70"/>
      <c r="AWY3" s="70"/>
      <c r="AWZ3" s="70"/>
      <c r="AXA3" s="70"/>
      <c r="AXB3" s="70"/>
      <c r="AXC3" s="70"/>
      <c r="AXD3" s="70"/>
      <c r="AXE3" s="70"/>
      <c r="AXF3" s="70"/>
      <c r="AXG3" s="70"/>
      <c r="AXH3" s="70"/>
      <c r="AXI3" s="70"/>
      <c r="AXJ3" s="70"/>
      <c r="AXK3" s="70"/>
      <c r="AXL3" s="70"/>
      <c r="AXM3" s="70"/>
      <c r="AXN3" s="70"/>
      <c r="AXO3" s="70"/>
      <c r="AXP3" s="70"/>
      <c r="AXQ3" s="70"/>
      <c r="AXR3" s="70"/>
      <c r="AXS3" s="70"/>
      <c r="AXT3" s="70"/>
      <c r="AXU3" s="70"/>
      <c r="AXV3" s="70"/>
      <c r="AXW3" s="70"/>
      <c r="AXX3" s="70"/>
      <c r="AXY3" s="70"/>
      <c r="AXZ3" s="70"/>
      <c r="AYA3" s="70"/>
      <c r="AYB3" s="70"/>
      <c r="AYC3" s="70"/>
      <c r="AYD3" s="70"/>
      <c r="AYE3" s="70"/>
      <c r="AYF3" s="70"/>
      <c r="AYG3" s="70"/>
      <c r="AYH3" s="70"/>
      <c r="AYI3" s="70"/>
      <c r="AYJ3" s="70"/>
      <c r="AYK3" s="70"/>
      <c r="AYL3" s="70"/>
      <c r="AYM3" s="70"/>
      <c r="AYN3" s="70"/>
      <c r="AYO3" s="70"/>
      <c r="AYP3" s="70"/>
      <c r="AYQ3" s="70"/>
      <c r="AYR3" s="70"/>
      <c r="AYS3" s="70"/>
      <c r="AYT3" s="70"/>
      <c r="AYU3" s="70"/>
      <c r="AYV3" s="70"/>
      <c r="AYW3" s="70"/>
      <c r="AYX3" s="70"/>
      <c r="AYY3" s="70"/>
      <c r="AYZ3" s="70"/>
      <c r="AZA3" s="70"/>
      <c r="AZB3" s="70"/>
      <c r="AZC3" s="70"/>
      <c r="AZD3" s="70"/>
      <c r="AZE3" s="70"/>
      <c r="AZF3" s="70"/>
      <c r="AZG3" s="70"/>
      <c r="AZH3" s="70"/>
      <c r="AZI3" s="70"/>
      <c r="AZJ3" s="70"/>
      <c r="AZK3" s="70"/>
      <c r="AZL3" s="70"/>
      <c r="AZM3" s="70"/>
      <c r="AZN3" s="70"/>
      <c r="AZO3" s="70"/>
      <c r="AZP3" s="70"/>
      <c r="AZQ3" s="70"/>
      <c r="AZR3" s="70"/>
      <c r="AZS3" s="70"/>
      <c r="AZT3" s="70"/>
      <c r="AZU3" s="70"/>
      <c r="AZV3" s="70"/>
      <c r="AZW3" s="70"/>
      <c r="AZX3" s="70"/>
      <c r="AZY3" s="70"/>
      <c r="AZZ3" s="70"/>
      <c r="BAA3" s="70"/>
      <c r="BAB3" s="70"/>
      <c r="BAC3" s="70"/>
      <c r="BAD3" s="70"/>
      <c r="BAE3" s="70"/>
      <c r="BAF3" s="70"/>
      <c r="BAG3" s="70"/>
      <c r="BAH3" s="70"/>
      <c r="BAI3" s="70"/>
      <c r="BAJ3" s="70"/>
      <c r="BAK3" s="70"/>
      <c r="BAL3" s="70"/>
      <c r="BAM3" s="70"/>
      <c r="BAN3" s="70"/>
      <c r="BAO3" s="70"/>
      <c r="BAP3" s="70"/>
      <c r="BAQ3" s="70"/>
      <c r="BAR3" s="70"/>
      <c r="BAS3" s="70"/>
      <c r="BAT3" s="70"/>
      <c r="BAU3" s="70"/>
      <c r="BAV3" s="70"/>
      <c r="BAW3" s="70"/>
      <c r="BAX3" s="70"/>
      <c r="BAY3" s="70"/>
      <c r="BAZ3" s="70"/>
      <c r="BBA3" s="70"/>
      <c r="BBB3" s="70"/>
      <c r="BBC3" s="70"/>
      <c r="BBD3" s="70"/>
      <c r="BBE3" s="70"/>
      <c r="BBF3" s="70"/>
      <c r="BBG3" s="70"/>
      <c r="BBH3" s="70"/>
      <c r="BBI3" s="70"/>
      <c r="BBJ3" s="70"/>
      <c r="BBK3" s="70"/>
      <c r="BBL3" s="70"/>
      <c r="BBM3" s="70"/>
      <c r="BBN3" s="70"/>
      <c r="BBO3" s="70"/>
      <c r="BBP3" s="70"/>
      <c r="BBQ3" s="70"/>
      <c r="BBR3" s="70"/>
      <c r="BBS3" s="70"/>
      <c r="BBT3" s="70"/>
      <c r="BBU3" s="70"/>
      <c r="BBV3" s="70"/>
      <c r="BBW3" s="70"/>
      <c r="BBX3" s="70"/>
      <c r="BBY3" s="70"/>
      <c r="BBZ3" s="70"/>
      <c r="BCA3" s="70"/>
      <c r="BCB3" s="70"/>
      <c r="BCC3" s="70"/>
      <c r="BCD3" s="70"/>
      <c r="BCE3" s="70"/>
      <c r="BCF3" s="70"/>
      <c r="BCG3" s="70"/>
      <c r="BCH3" s="70"/>
      <c r="BCI3" s="70"/>
      <c r="BCJ3" s="70"/>
      <c r="BCK3" s="70"/>
      <c r="BCL3" s="70"/>
      <c r="BCM3" s="70"/>
      <c r="BCN3" s="70"/>
      <c r="BCO3" s="70"/>
      <c r="BCP3" s="70"/>
      <c r="BCQ3" s="70"/>
      <c r="BCR3" s="70"/>
      <c r="BCS3" s="70"/>
      <c r="BCT3" s="70"/>
      <c r="BCU3" s="70"/>
      <c r="BCV3" s="70"/>
      <c r="BCW3" s="70"/>
      <c r="BCX3" s="70"/>
      <c r="BCY3" s="70"/>
      <c r="BCZ3" s="70"/>
      <c r="BDA3" s="70"/>
      <c r="BDB3" s="70"/>
      <c r="BDC3" s="70"/>
      <c r="BDD3" s="70"/>
      <c r="BDE3" s="70"/>
      <c r="BDF3" s="70"/>
      <c r="BDG3" s="70"/>
      <c r="BDH3" s="70"/>
      <c r="BDI3" s="70"/>
      <c r="BDJ3" s="70"/>
      <c r="BDK3" s="70"/>
      <c r="BDL3" s="70"/>
      <c r="BDM3" s="70"/>
      <c r="BDN3" s="70"/>
      <c r="BDO3" s="70"/>
      <c r="BDP3" s="70"/>
      <c r="BDQ3" s="70"/>
      <c r="BDR3" s="70"/>
      <c r="BDS3" s="70"/>
      <c r="BDT3" s="70"/>
      <c r="BDU3" s="70"/>
      <c r="BDV3" s="70"/>
      <c r="BDW3" s="70"/>
      <c r="BDX3" s="70"/>
      <c r="BDY3" s="70"/>
      <c r="BDZ3" s="70"/>
      <c r="BEA3" s="70"/>
      <c r="BEB3" s="70"/>
      <c r="BEC3" s="70"/>
      <c r="BED3" s="70"/>
      <c r="BEE3" s="70"/>
      <c r="BEF3" s="70"/>
      <c r="BEG3" s="70"/>
      <c r="BEH3" s="70"/>
      <c r="BEI3" s="70"/>
      <c r="BEJ3" s="70"/>
      <c r="BEK3" s="70"/>
      <c r="BEL3" s="70"/>
      <c r="BEM3" s="70"/>
      <c r="BEN3" s="70"/>
      <c r="BEO3" s="70"/>
      <c r="BEP3" s="70"/>
      <c r="BEQ3" s="70"/>
      <c r="BER3" s="70"/>
      <c r="BES3" s="70"/>
      <c r="BET3" s="70"/>
      <c r="BEU3" s="70"/>
      <c r="BEV3" s="70"/>
      <c r="BEW3" s="70"/>
      <c r="BEX3" s="70"/>
      <c r="BEY3" s="70"/>
      <c r="BEZ3" s="70"/>
      <c r="BFA3" s="70"/>
      <c r="BFB3" s="70"/>
      <c r="BFC3" s="70"/>
      <c r="BFD3" s="70"/>
      <c r="BFE3" s="70"/>
      <c r="BFF3" s="70"/>
      <c r="BFG3" s="70"/>
      <c r="BFH3" s="70"/>
      <c r="BFI3" s="70"/>
      <c r="BFJ3" s="70"/>
      <c r="BFK3" s="70"/>
      <c r="BFL3" s="70"/>
      <c r="BFM3" s="70"/>
      <c r="BFN3" s="70"/>
      <c r="BFO3" s="70"/>
      <c r="BFP3" s="70"/>
      <c r="BFQ3" s="70"/>
      <c r="BFR3" s="70"/>
      <c r="BFS3" s="70"/>
      <c r="BFT3" s="70"/>
      <c r="BFU3" s="70"/>
      <c r="BFV3" s="70"/>
      <c r="BFW3" s="70"/>
      <c r="BFX3" s="70"/>
      <c r="BFY3" s="70"/>
      <c r="BFZ3" s="70"/>
      <c r="BGA3" s="70"/>
      <c r="BGB3" s="70"/>
      <c r="BGC3" s="70"/>
      <c r="BGD3" s="70"/>
      <c r="BGE3" s="70"/>
      <c r="BGF3" s="70"/>
      <c r="BGG3" s="70"/>
      <c r="BGH3" s="70"/>
      <c r="BGI3" s="70"/>
      <c r="BGJ3" s="70"/>
      <c r="BGK3" s="70"/>
      <c r="BGL3" s="70"/>
      <c r="BGM3" s="70"/>
      <c r="BGN3" s="70"/>
      <c r="BGO3" s="70"/>
      <c r="BGP3" s="70"/>
      <c r="BGQ3" s="70"/>
      <c r="BGR3" s="70"/>
      <c r="BGS3" s="70"/>
      <c r="BGT3" s="70"/>
      <c r="BGU3" s="70"/>
      <c r="BGV3" s="70"/>
      <c r="BGW3" s="70"/>
      <c r="BGX3" s="70"/>
      <c r="BGY3" s="70"/>
      <c r="BGZ3" s="70"/>
      <c r="BHA3" s="70"/>
      <c r="BHB3" s="70"/>
      <c r="BHC3" s="70"/>
      <c r="BHD3" s="70"/>
      <c r="BHE3" s="70"/>
      <c r="BHF3" s="70"/>
      <c r="BHG3" s="70"/>
      <c r="BHH3" s="70"/>
      <c r="BHI3" s="70"/>
      <c r="BHJ3" s="70"/>
      <c r="BHK3" s="70"/>
      <c r="BHL3" s="70"/>
      <c r="BHM3" s="70"/>
      <c r="BHN3" s="70"/>
      <c r="BHO3" s="70"/>
      <c r="BHP3" s="70"/>
      <c r="BHQ3" s="70"/>
      <c r="BHR3" s="70"/>
      <c r="BHS3" s="70"/>
      <c r="BHT3" s="70"/>
      <c r="BHU3" s="70"/>
      <c r="BHV3" s="70"/>
      <c r="BHW3" s="70"/>
      <c r="BHX3" s="70"/>
      <c r="BHY3" s="70"/>
      <c r="BHZ3" s="70"/>
      <c r="BIA3" s="70"/>
      <c r="BIB3" s="70"/>
      <c r="BIC3" s="70"/>
      <c r="BID3" s="70"/>
      <c r="BIE3" s="70"/>
      <c r="BIF3" s="70"/>
      <c r="BIG3" s="70"/>
      <c r="BIH3" s="70"/>
      <c r="BII3" s="70"/>
      <c r="BIJ3" s="70"/>
      <c r="BIK3" s="70"/>
      <c r="BIL3" s="70"/>
      <c r="BIM3" s="70"/>
      <c r="BIN3" s="70"/>
      <c r="BIO3" s="70"/>
      <c r="BIP3" s="70"/>
      <c r="BIQ3" s="70"/>
      <c r="BIR3" s="70"/>
      <c r="BIS3" s="70"/>
      <c r="BIT3" s="70"/>
      <c r="BIU3" s="70"/>
      <c r="BIV3" s="70"/>
      <c r="BIW3" s="70"/>
      <c r="BIX3" s="70"/>
      <c r="BIY3" s="70"/>
      <c r="BIZ3" s="70"/>
      <c r="BJA3" s="70"/>
      <c r="BJB3" s="70"/>
      <c r="BJC3" s="70"/>
      <c r="BJD3" s="70"/>
      <c r="BJE3" s="70"/>
      <c r="BJF3" s="70"/>
      <c r="BJG3" s="70"/>
      <c r="BJH3" s="70"/>
      <c r="BJI3" s="70"/>
      <c r="BJJ3" s="70"/>
      <c r="BJK3" s="70"/>
      <c r="BJL3" s="70"/>
      <c r="BJM3" s="70"/>
      <c r="BJN3" s="70"/>
      <c r="BJO3" s="70"/>
      <c r="BJP3" s="70"/>
      <c r="BJQ3" s="70"/>
      <c r="BJR3" s="70"/>
      <c r="BJS3" s="70"/>
      <c r="BJT3" s="70"/>
      <c r="BJU3" s="70"/>
      <c r="BJV3" s="70"/>
      <c r="BJW3" s="70"/>
      <c r="BJX3" s="70"/>
      <c r="BJY3" s="70"/>
      <c r="BJZ3" s="70"/>
      <c r="BKA3" s="70"/>
      <c r="BKB3" s="70"/>
      <c r="BKC3" s="70"/>
      <c r="BKD3" s="70"/>
      <c r="BKE3" s="70"/>
      <c r="BKF3" s="70"/>
      <c r="BKG3" s="70"/>
      <c r="BKH3" s="70"/>
      <c r="BKI3" s="70"/>
      <c r="BKJ3" s="70"/>
      <c r="BKK3" s="70"/>
      <c r="BKL3" s="70"/>
      <c r="BKM3" s="70"/>
      <c r="BKN3" s="70"/>
      <c r="BKO3" s="70"/>
      <c r="BKP3" s="70"/>
      <c r="BKQ3" s="70"/>
      <c r="BKR3" s="70"/>
      <c r="BKS3" s="70"/>
      <c r="BKT3" s="70"/>
      <c r="BKU3" s="70"/>
      <c r="BKV3" s="70"/>
      <c r="BKW3" s="70"/>
      <c r="BKX3" s="70"/>
      <c r="BKY3" s="70"/>
      <c r="BKZ3" s="70"/>
      <c r="BLA3" s="70"/>
      <c r="BLB3" s="70"/>
      <c r="BLC3" s="70"/>
      <c r="BLD3" s="70"/>
      <c r="BLE3" s="70"/>
      <c r="BLF3" s="70"/>
      <c r="BLG3" s="70"/>
      <c r="BLH3" s="70"/>
      <c r="BLI3" s="70"/>
      <c r="BLJ3" s="70"/>
      <c r="BLK3" s="70"/>
      <c r="BLL3" s="70"/>
      <c r="BLM3" s="70"/>
      <c r="BLN3" s="70"/>
      <c r="BLO3" s="70"/>
      <c r="BLP3" s="70"/>
      <c r="BLQ3" s="70"/>
      <c r="BLR3" s="70"/>
      <c r="BLS3" s="70"/>
      <c r="BLT3" s="70"/>
      <c r="BLU3" s="70"/>
      <c r="BLV3" s="70"/>
      <c r="BLW3" s="70"/>
      <c r="BLX3" s="70"/>
      <c r="BLY3" s="70"/>
      <c r="BLZ3" s="70"/>
      <c r="BMA3" s="70"/>
      <c r="BMB3" s="70"/>
      <c r="BMC3" s="70"/>
      <c r="BMD3" s="70"/>
      <c r="BME3" s="70"/>
      <c r="BMF3" s="70"/>
      <c r="BMG3" s="70"/>
      <c r="BMH3" s="70"/>
      <c r="BMI3" s="70"/>
      <c r="BMJ3" s="70"/>
      <c r="BMK3" s="70"/>
      <c r="BML3" s="70"/>
      <c r="BMM3" s="70"/>
      <c r="BMN3" s="70"/>
      <c r="BMO3" s="70"/>
      <c r="BMP3" s="70"/>
      <c r="BMQ3" s="70"/>
      <c r="BMR3" s="70"/>
      <c r="BMS3" s="70"/>
      <c r="BMT3" s="70"/>
      <c r="BMU3" s="70"/>
      <c r="BMV3" s="70"/>
      <c r="BMW3" s="70"/>
      <c r="BMX3" s="70"/>
      <c r="BMY3" s="70"/>
      <c r="BMZ3" s="70"/>
      <c r="BNA3" s="70"/>
      <c r="BNB3" s="70"/>
      <c r="BNC3" s="70"/>
      <c r="BND3" s="70"/>
      <c r="BNE3" s="70"/>
      <c r="BNF3" s="70"/>
      <c r="BNG3" s="70"/>
      <c r="BNH3" s="70"/>
      <c r="BNI3" s="70"/>
      <c r="BNJ3" s="70"/>
      <c r="BNK3" s="70"/>
      <c r="BNL3" s="70"/>
      <c r="BNM3" s="70"/>
      <c r="BNN3" s="70"/>
      <c r="BNO3" s="70"/>
      <c r="BNP3" s="70"/>
      <c r="BNQ3" s="70"/>
      <c r="BNR3" s="70"/>
      <c r="BNS3" s="70"/>
      <c r="BNT3" s="70"/>
      <c r="BNU3" s="70"/>
      <c r="BNV3" s="70"/>
      <c r="BNW3" s="70"/>
      <c r="BNX3" s="70"/>
      <c r="BNY3" s="70"/>
      <c r="BNZ3" s="70"/>
      <c r="BOA3" s="70"/>
      <c r="BOB3" s="70"/>
      <c r="BOC3" s="70"/>
      <c r="BOD3" s="70"/>
      <c r="BOE3" s="70"/>
      <c r="BOF3" s="70"/>
      <c r="BOG3" s="70"/>
      <c r="BOH3" s="70"/>
      <c r="BOI3" s="70"/>
      <c r="BOJ3" s="70"/>
      <c r="BOK3" s="70"/>
      <c r="BOL3" s="70"/>
      <c r="BOM3" s="70"/>
      <c r="BON3" s="70"/>
      <c r="BOO3" s="70"/>
      <c r="BOP3" s="70"/>
      <c r="BOQ3" s="70"/>
      <c r="BOR3" s="70"/>
      <c r="BOS3" s="70"/>
      <c r="BOT3" s="70"/>
      <c r="BOU3" s="70"/>
      <c r="BOV3" s="70"/>
      <c r="BOW3" s="70"/>
      <c r="BOX3" s="70"/>
      <c r="BOY3" s="70"/>
      <c r="BOZ3" s="70"/>
      <c r="BPA3" s="70"/>
      <c r="BPB3" s="70"/>
      <c r="BPC3" s="70"/>
      <c r="BPD3" s="70"/>
      <c r="BPE3" s="70"/>
      <c r="BPF3" s="70"/>
      <c r="BPG3" s="70"/>
      <c r="BPH3" s="70"/>
      <c r="BPI3" s="70"/>
      <c r="BPJ3" s="70"/>
      <c r="BPK3" s="70"/>
      <c r="BPL3" s="70"/>
      <c r="BPM3" s="70"/>
      <c r="BPN3" s="70"/>
      <c r="BPO3" s="70"/>
      <c r="BPP3" s="70"/>
      <c r="BPQ3" s="70"/>
      <c r="BPR3" s="70"/>
      <c r="BPS3" s="70"/>
      <c r="BPT3" s="70"/>
      <c r="BPU3" s="70"/>
      <c r="BPV3" s="70"/>
      <c r="BPW3" s="70"/>
      <c r="BPX3" s="70"/>
      <c r="BPY3" s="70"/>
      <c r="BPZ3" s="70"/>
      <c r="BQA3" s="70"/>
      <c r="BQB3" s="70"/>
      <c r="BQC3" s="70"/>
      <c r="BQD3" s="70"/>
      <c r="BQE3" s="70"/>
      <c r="BQF3" s="70"/>
      <c r="BQG3" s="70"/>
      <c r="BQH3" s="70"/>
      <c r="BQI3" s="70"/>
      <c r="BQJ3" s="70"/>
      <c r="BQK3" s="70"/>
      <c r="BQL3" s="70"/>
      <c r="BQM3" s="70"/>
      <c r="BQN3" s="70"/>
      <c r="BQO3" s="70"/>
      <c r="BQP3" s="70"/>
      <c r="BQQ3" s="70"/>
      <c r="BQR3" s="70"/>
      <c r="BQS3" s="70"/>
      <c r="BQT3" s="70"/>
      <c r="BQU3" s="70"/>
      <c r="BQV3" s="70"/>
      <c r="BQW3" s="70"/>
      <c r="BQX3" s="70"/>
      <c r="BQY3" s="70"/>
      <c r="BQZ3" s="70"/>
      <c r="BRA3" s="70"/>
      <c r="BRB3" s="70"/>
      <c r="BRC3" s="70"/>
      <c r="BRD3" s="70"/>
      <c r="BRE3" s="70"/>
      <c r="BRF3" s="70"/>
      <c r="BRG3" s="70"/>
      <c r="BRH3" s="70"/>
      <c r="BRI3" s="70"/>
      <c r="BRJ3" s="70"/>
      <c r="BRK3" s="70"/>
      <c r="BRL3" s="70"/>
      <c r="BRM3" s="70"/>
      <c r="BRN3" s="70"/>
      <c r="BRO3" s="70"/>
      <c r="BRP3" s="70"/>
      <c r="BRQ3" s="70"/>
      <c r="BRR3" s="70"/>
      <c r="BRS3" s="70"/>
      <c r="BRT3" s="70"/>
      <c r="BRU3" s="70"/>
      <c r="BRV3" s="70"/>
      <c r="BRW3" s="70"/>
      <c r="BRX3" s="70"/>
      <c r="BRY3" s="70"/>
      <c r="BRZ3" s="70"/>
      <c r="BSA3" s="70"/>
      <c r="BSB3" s="70"/>
      <c r="BSC3" s="70"/>
      <c r="BSD3" s="70"/>
      <c r="BSE3" s="70"/>
      <c r="BSF3" s="70"/>
      <c r="BSG3" s="70"/>
      <c r="BSH3" s="70"/>
      <c r="BSI3" s="70"/>
      <c r="BSJ3" s="70"/>
      <c r="BSK3" s="70"/>
      <c r="BSL3" s="70"/>
      <c r="BSM3" s="70"/>
      <c r="BSN3" s="70"/>
      <c r="BSO3" s="70"/>
      <c r="BSP3" s="70"/>
      <c r="BSQ3" s="70"/>
      <c r="BSR3" s="70"/>
      <c r="BSS3" s="70"/>
      <c r="BST3" s="70"/>
      <c r="BSU3" s="70"/>
      <c r="BSV3" s="70"/>
      <c r="BSW3" s="70"/>
      <c r="BSX3" s="70"/>
      <c r="BSY3" s="70"/>
      <c r="BSZ3" s="70"/>
      <c r="BTA3" s="70"/>
      <c r="BTB3" s="70"/>
      <c r="BTC3" s="70"/>
      <c r="BTD3" s="70"/>
      <c r="BTE3" s="70"/>
      <c r="BTF3" s="70"/>
      <c r="BTG3" s="70"/>
      <c r="BTH3" s="70"/>
      <c r="BTI3" s="70"/>
      <c r="BTJ3" s="70"/>
      <c r="BTK3" s="70"/>
      <c r="BTL3" s="70"/>
      <c r="BTM3" s="70"/>
      <c r="BTN3" s="70"/>
      <c r="BTO3" s="70"/>
      <c r="BTP3" s="70"/>
      <c r="BTQ3" s="70"/>
      <c r="BTR3" s="70"/>
      <c r="BTS3" s="70"/>
      <c r="BTT3" s="70"/>
      <c r="BTU3" s="70"/>
      <c r="BTV3" s="70"/>
      <c r="BTW3" s="70"/>
      <c r="BTX3" s="70"/>
      <c r="BTY3" s="70"/>
      <c r="BTZ3" s="70"/>
      <c r="BUA3" s="70"/>
      <c r="BUB3" s="70"/>
      <c r="BUC3" s="70"/>
      <c r="BUD3" s="70"/>
      <c r="BUE3" s="70"/>
      <c r="BUF3" s="70"/>
      <c r="BUG3" s="70"/>
      <c r="BUH3" s="70"/>
      <c r="BUI3" s="70"/>
      <c r="BUJ3" s="70"/>
      <c r="BUK3" s="70"/>
      <c r="BUL3" s="70"/>
      <c r="BUM3" s="70"/>
      <c r="BUN3" s="70"/>
      <c r="BUO3" s="70"/>
      <c r="BUP3" s="70"/>
      <c r="BUQ3" s="70"/>
      <c r="BUR3" s="70"/>
      <c r="BUS3" s="70"/>
      <c r="BUT3" s="70"/>
      <c r="BUU3" s="70"/>
      <c r="BUV3" s="70"/>
      <c r="BUW3" s="70"/>
      <c r="BUX3" s="70"/>
      <c r="BUY3" s="70"/>
      <c r="BUZ3" s="70"/>
      <c r="BVA3" s="70"/>
      <c r="BVB3" s="70"/>
      <c r="BVC3" s="70"/>
      <c r="BVD3" s="70"/>
      <c r="BVE3" s="70"/>
      <c r="BVF3" s="70"/>
      <c r="BVG3" s="70"/>
      <c r="BVH3" s="70"/>
      <c r="BVI3" s="70"/>
      <c r="BVJ3" s="70"/>
      <c r="BVK3" s="70"/>
      <c r="BVL3" s="70"/>
      <c r="BVM3" s="70"/>
      <c r="BVN3" s="70"/>
      <c r="BVO3" s="70"/>
      <c r="BVP3" s="70"/>
      <c r="BVQ3" s="70"/>
      <c r="BVR3" s="70"/>
      <c r="BVS3" s="70"/>
      <c r="BVT3" s="70"/>
      <c r="BVU3" s="70"/>
      <c r="BVV3" s="70"/>
      <c r="BVW3" s="70"/>
      <c r="BVX3" s="70"/>
      <c r="BVY3" s="70"/>
      <c r="BVZ3" s="70"/>
      <c r="BWA3" s="70"/>
      <c r="BWB3" s="70"/>
      <c r="BWC3" s="70"/>
      <c r="BWD3" s="70"/>
      <c r="BWE3" s="70"/>
      <c r="BWF3" s="70"/>
      <c r="BWG3" s="70"/>
      <c r="BWH3" s="70"/>
      <c r="BWI3" s="70"/>
      <c r="BWJ3" s="70"/>
      <c r="BWK3" s="70"/>
      <c r="BWL3" s="70"/>
      <c r="BWM3" s="70"/>
      <c r="BWN3" s="70"/>
      <c r="BWO3" s="70"/>
      <c r="BWP3" s="70"/>
      <c r="BWQ3" s="70"/>
      <c r="BWR3" s="70"/>
      <c r="BWS3" s="70"/>
      <c r="BWT3" s="70"/>
      <c r="BWU3" s="70"/>
      <c r="BWV3" s="70"/>
      <c r="BWW3" s="70"/>
      <c r="BWX3" s="70"/>
      <c r="BWY3" s="70"/>
      <c r="BWZ3" s="70"/>
      <c r="BXA3" s="70"/>
      <c r="BXB3" s="70"/>
      <c r="BXC3" s="70"/>
      <c r="BXD3" s="70"/>
      <c r="BXE3" s="70"/>
      <c r="BXF3" s="70"/>
      <c r="BXG3" s="70"/>
      <c r="BXH3" s="70"/>
      <c r="BXI3" s="70"/>
      <c r="BXJ3" s="70"/>
      <c r="BXK3" s="70"/>
      <c r="BXL3" s="70"/>
      <c r="BXM3" s="70"/>
      <c r="BXN3" s="70"/>
      <c r="BXO3" s="70"/>
      <c r="BXP3" s="70"/>
      <c r="BXQ3" s="70"/>
      <c r="BXR3" s="70"/>
      <c r="BXS3" s="70"/>
      <c r="BXT3" s="70"/>
      <c r="BXU3" s="70"/>
      <c r="BXV3" s="70"/>
      <c r="BXW3" s="70"/>
      <c r="BXX3" s="70"/>
      <c r="BXY3" s="70"/>
      <c r="BXZ3" s="70"/>
      <c r="BYA3" s="70"/>
      <c r="BYB3" s="70"/>
      <c r="BYC3" s="70"/>
      <c r="BYD3" s="70"/>
      <c r="BYE3" s="70"/>
      <c r="BYF3" s="70"/>
      <c r="BYG3" s="70"/>
      <c r="BYH3" s="70"/>
      <c r="BYI3" s="70"/>
      <c r="BYJ3" s="70"/>
      <c r="BYK3" s="70"/>
      <c r="BYL3" s="70"/>
      <c r="BYM3" s="70"/>
      <c r="BYN3" s="70"/>
      <c r="BYO3" s="70"/>
      <c r="BYP3" s="70"/>
      <c r="BYQ3" s="70"/>
      <c r="BYR3" s="70"/>
      <c r="BYS3" s="70"/>
      <c r="BYT3" s="70"/>
      <c r="BYU3" s="70"/>
      <c r="BYV3" s="70"/>
      <c r="BYW3" s="70"/>
      <c r="BYX3" s="70"/>
      <c r="BYY3" s="70"/>
      <c r="BYZ3" s="70"/>
      <c r="BZA3" s="70"/>
      <c r="BZB3" s="70"/>
      <c r="BZC3" s="70"/>
      <c r="BZD3" s="70"/>
      <c r="BZE3" s="70"/>
      <c r="BZF3" s="70"/>
      <c r="BZG3" s="70"/>
      <c r="BZH3" s="70"/>
      <c r="BZI3" s="70"/>
      <c r="BZJ3" s="70"/>
      <c r="BZK3" s="70"/>
      <c r="BZL3" s="70"/>
      <c r="BZM3" s="70"/>
      <c r="BZN3" s="70"/>
      <c r="BZO3" s="70"/>
      <c r="BZP3" s="70"/>
      <c r="BZQ3" s="70"/>
      <c r="BZR3" s="70"/>
      <c r="BZS3" s="70"/>
      <c r="BZT3" s="70"/>
      <c r="BZU3" s="70"/>
      <c r="BZV3" s="70"/>
      <c r="BZW3" s="70"/>
      <c r="BZX3" s="70"/>
      <c r="BZY3" s="70"/>
      <c r="BZZ3" s="70"/>
      <c r="CAA3" s="70"/>
      <c r="CAB3" s="70"/>
      <c r="CAC3" s="70"/>
      <c r="CAD3" s="70"/>
      <c r="CAE3" s="70"/>
      <c r="CAF3" s="70"/>
      <c r="CAG3" s="70"/>
      <c r="CAH3" s="70"/>
      <c r="CAI3" s="70"/>
      <c r="CAJ3" s="70"/>
      <c r="CAK3" s="70"/>
      <c r="CAL3" s="70"/>
      <c r="CAM3" s="70"/>
      <c r="CAN3" s="70"/>
      <c r="CAO3" s="70"/>
      <c r="CAP3" s="70"/>
      <c r="CAQ3" s="70"/>
      <c r="CAR3" s="70"/>
      <c r="CAS3" s="70"/>
      <c r="CAT3" s="70"/>
      <c r="CAU3" s="70"/>
      <c r="CAV3" s="70"/>
      <c r="CAW3" s="70"/>
      <c r="CAX3" s="70"/>
      <c r="CAY3" s="70"/>
      <c r="CAZ3" s="70"/>
      <c r="CBA3" s="70"/>
      <c r="CBB3" s="70"/>
      <c r="CBC3" s="70"/>
      <c r="CBD3" s="70"/>
      <c r="CBE3" s="70"/>
      <c r="CBF3" s="70"/>
      <c r="CBG3" s="70"/>
      <c r="CBH3" s="70"/>
      <c r="CBI3" s="70"/>
      <c r="CBJ3" s="70"/>
      <c r="CBK3" s="70"/>
      <c r="CBL3" s="70"/>
      <c r="CBM3" s="70"/>
      <c r="CBN3" s="70"/>
      <c r="CBO3" s="70"/>
      <c r="CBP3" s="70"/>
      <c r="CBQ3" s="70"/>
      <c r="CBR3" s="70"/>
      <c r="CBS3" s="70"/>
      <c r="CBT3" s="70"/>
      <c r="CBU3" s="70"/>
      <c r="CBV3" s="70"/>
      <c r="CBW3" s="70"/>
      <c r="CBX3" s="70"/>
      <c r="CBY3" s="70"/>
      <c r="CBZ3" s="70"/>
      <c r="CCA3" s="70"/>
      <c r="CCB3" s="70"/>
      <c r="CCC3" s="70"/>
      <c r="CCD3" s="70"/>
      <c r="CCE3" s="70"/>
      <c r="CCF3" s="70"/>
      <c r="CCG3" s="70"/>
      <c r="CCH3" s="70"/>
      <c r="CCI3" s="70"/>
      <c r="CCJ3" s="70"/>
      <c r="CCK3" s="70"/>
      <c r="CCL3" s="70"/>
      <c r="CCM3" s="70"/>
      <c r="CCN3" s="70"/>
      <c r="CCO3" s="70"/>
      <c r="CCP3" s="70"/>
      <c r="CCQ3" s="70"/>
      <c r="CCR3" s="70"/>
      <c r="CCS3" s="70"/>
      <c r="CCT3" s="70"/>
      <c r="CCU3" s="70"/>
      <c r="CCV3" s="70"/>
      <c r="CCW3" s="70"/>
      <c r="CCX3" s="70"/>
      <c r="CCY3" s="70"/>
      <c r="CCZ3" s="70"/>
      <c r="CDA3" s="70"/>
      <c r="CDB3" s="70"/>
      <c r="CDC3" s="70"/>
      <c r="CDD3" s="70"/>
      <c r="CDE3" s="70"/>
      <c r="CDF3" s="70"/>
      <c r="CDG3" s="70"/>
      <c r="CDH3" s="70"/>
      <c r="CDI3" s="70"/>
      <c r="CDJ3" s="70"/>
      <c r="CDK3" s="70"/>
      <c r="CDL3" s="70"/>
      <c r="CDM3" s="70"/>
      <c r="CDN3" s="70"/>
      <c r="CDO3" s="70"/>
      <c r="CDP3" s="70"/>
      <c r="CDQ3" s="70"/>
      <c r="CDR3" s="70"/>
      <c r="CDS3" s="70"/>
      <c r="CDT3" s="70"/>
      <c r="CDU3" s="70"/>
      <c r="CDV3" s="70"/>
      <c r="CDW3" s="70"/>
      <c r="CDX3" s="70"/>
      <c r="CDY3" s="70"/>
      <c r="CDZ3" s="70"/>
      <c r="CEA3" s="70"/>
      <c r="CEB3" s="70"/>
      <c r="CEC3" s="70"/>
      <c r="CED3" s="70"/>
      <c r="CEE3" s="70"/>
      <c r="CEF3" s="70"/>
      <c r="CEG3" s="70"/>
      <c r="CEH3" s="70"/>
      <c r="CEI3" s="70"/>
      <c r="CEJ3" s="70"/>
      <c r="CEK3" s="70"/>
      <c r="CEL3" s="70"/>
      <c r="CEM3" s="70"/>
      <c r="CEN3" s="70"/>
      <c r="CEO3" s="70"/>
      <c r="CEP3" s="70"/>
      <c r="CEQ3" s="70"/>
      <c r="CER3" s="70"/>
      <c r="CES3" s="70"/>
      <c r="CET3" s="70"/>
      <c r="CEU3" s="70"/>
      <c r="CEV3" s="70"/>
      <c r="CEW3" s="70"/>
      <c r="CEX3" s="70"/>
      <c r="CEY3" s="70"/>
      <c r="CEZ3" s="70"/>
      <c r="CFA3" s="70"/>
      <c r="CFB3" s="70"/>
      <c r="CFC3" s="70"/>
      <c r="CFD3" s="70"/>
      <c r="CFE3" s="70"/>
      <c r="CFF3" s="70"/>
      <c r="CFG3" s="70"/>
      <c r="CFH3" s="70"/>
      <c r="CFI3" s="70"/>
      <c r="CFJ3" s="70"/>
      <c r="CFK3" s="70"/>
      <c r="CFL3" s="70"/>
      <c r="CFM3" s="70"/>
      <c r="CFN3" s="70"/>
      <c r="CFO3" s="70"/>
      <c r="CFP3" s="70"/>
      <c r="CFQ3" s="70"/>
      <c r="CFR3" s="70"/>
      <c r="CFS3" s="70"/>
      <c r="CFT3" s="70"/>
      <c r="CFU3" s="70"/>
      <c r="CFV3" s="70"/>
      <c r="CFW3" s="70"/>
      <c r="CFX3" s="70"/>
      <c r="CFY3" s="70"/>
      <c r="CFZ3" s="70"/>
      <c r="CGA3" s="70"/>
      <c r="CGB3" s="70"/>
      <c r="CGC3" s="70"/>
      <c r="CGD3" s="70"/>
      <c r="CGE3" s="70"/>
      <c r="CGF3" s="70"/>
      <c r="CGG3" s="70"/>
      <c r="CGH3" s="70"/>
      <c r="CGI3" s="70"/>
      <c r="CGJ3" s="70"/>
      <c r="CGK3" s="70"/>
      <c r="CGL3" s="70"/>
      <c r="CGM3" s="70"/>
      <c r="CGN3" s="70"/>
      <c r="CGO3" s="70"/>
      <c r="CGP3" s="70"/>
      <c r="CGQ3" s="70"/>
      <c r="CGR3" s="70"/>
      <c r="CGS3" s="70"/>
      <c r="CGT3" s="70"/>
      <c r="CGU3" s="70"/>
      <c r="CGV3" s="70"/>
      <c r="CGW3" s="70"/>
      <c r="CGX3" s="70"/>
      <c r="CGY3" s="70"/>
      <c r="CGZ3" s="70"/>
      <c r="CHA3" s="70"/>
      <c r="CHB3" s="70"/>
      <c r="CHC3" s="70"/>
      <c r="CHD3" s="70"/>
      <c r="CHE3" s="70"/>
      <c r="CHF3" s="70"/>
      <c r="CHG3" s="70"/>
      <c r="CHH3" s="70"/>
      <c r="CHI3" s="70"/>
      <c r="CHJ3" s="70"/>
      <c r="CHK3" s="70"/>
      <c r="CHL3" s="70"/>
      <c r="CHM3" s="70"/>
      <c r="CHN3" s="70"/>
      <c r="CHO3" s="70"/>
      <c r="CHP3" s="70"/>
      <c r="CHQ3" s="70"/>
      <c r="CHR3" s="70"/>
      <c r="CHS3" s="70"/>
      <c r="CHT3" s="70"/>
      <c r="CHU3" s="70"/>
      <c r="CHV3" s="70"/>
      <c r="CHW3" s="70"/>
      <c r="CHX3" s="70"/>
      <c r="CHY3" s="70"/>
      <c r="CHZ3" s="70"/>
      <c r="CIA3" s="70"/>
      <c r="CIB3" s="70"/>
      <c r="CIC3" s="70"/>
      <c r="CID3" s="70"/>
      <c r="CIE3" s="70"/>
      <c r="CIF3" s="70"/>
      <c r="CIG3" s="70"/>
      <c r="CIH3" s="70"/>
      <c r="CII3" s="70"/>
      <c r="CIJ3" s="70"/>
      <c r="CIK3" s="70"/>
      <c r="CIL3" s="70"/>
      <c r="CIM3" s="70"/>
      <c r="CIN3" s="70"/>
      <c r="CIO3" s="70"/>
      <c r="CIP3" s="70"/>
      <c r="CIQ3" s="70"/>
      <c r="CIR3" s="70"/>
      <c r="CIS3" s="70"/>
      <c r="CIT3" s="70"/>
      <c r="CIU3" s="70"/>
      <c r="CIV3" s="70"/>
      <c r="CIW3" s="70"/>
      <c r="CIX3" s="70"/>
      <c r="CIY3" s="70"/>
      <c r="CIZ3" s="70"/>
      <c r="CJA3" s="70"/>
      <c r="CJB3" s="70"/>
      <c r="CJC3" s="70"/>
      <c r="CJD3" s="70"/>
      <c r="CJE3" s="70"/>
      <c r="CJF3" s="70"/>
      <c r="CJG3" s="70"/>
      <c r="CJH3" s="70"/>
      <c r="CJI3" s="70"/>
      <c r="CJJ3" s="70"/>
      <c r="CJK3" s="70"/>
      <c r="CJL3" s="70"/>
      <c r="CJM3" s="70"/>
      <c r="CJN3" s="70"/>
      <c r="CJO3" s="70"/>
      <c r="CJP3" s="70"/>
      <c r="CJQ3" s="70"/>
      <c r="CJR3" s="70"/>
      <c r="CJS3" s="70"/>
      <c r="CJT3" s="70"/>
      <c r="CJU3" s="70"/>
      <c r="CJV3" s="70"/>
      <c r="CJW3" s="70"/>
      <c r="CJX3" s="70"/>
      <c r="CJY3" s="70"/>
      <c r="CJZ3" s="70"/>
      <c r="CKA3" s="70"/>
      <c r="CKB3" s="70"/>
      <c r="CKC3" s="70"/>
      <c r="CKD3" s="70"/>
      <c r="CKE3" s="70"/>
      <c r="CKF3" s="70"/>
      <c r="CKG3" s="70"/>
      <c r="CKH3" s="70"/>
      <c r="CKI3" s="70"/>
      <c r="CKJ3" s="70"/>
      <c r="CKK3" s="70"/>
      <c r="CKL3" s="70"/>
      <c r="CKM3" s="70"/>
      <c r="CKN3" s="70"/>
      <c r="CKO3" s="70"/>
      <c r="CKP3" s="70"/>
      <c r="CKQ3" s="70"/>
      <c r="CKR3" s="70"/>
      <c r="CKS3" s="70"/>
      <c r="CKT3" s="70"/>
      <c r="CKU3" s="70"/>
      <c r="CKV3" s="70"/>
      <c r="CKW3" s="70"/>
      <c r="CKX3" s="70"/>
      <c r="CKY3" s="70"/>
      <c r="CKZ3" s="70"/>
      <c r="CLA3" s="70"/>
      <c r="CLB3" s="70"/>
      <c r="CLC3" s="70"/>
      <c r="CLD3" s="70"/>
      <c r="CLE3" s="70"/>
      <c r="CLF3" s="70"/>
      <c r="CLG3" s="70"/>
      <c r="CLH3" s="70"/>
      <c r="CLI3" s="70"/>
      <c r="CLJ3" s="70"/>
      <c r="CLK3" s="70"/>
      <c r="CLL3" s="70"/>
      <c r="CLM3" s="70"/>
      <c r="CLN3" s="70"/>
      <c r="CLO3" s="70"/>
      <c r="CLP3" s="70"/>
      <c r="CLQ3" s="70"/>
      <c r="CLR3" s="70"/>
      <c r="CLS3" s="70"/>
      <c r="CLT3" s="70"/>
      <c r="CLU3" s="70"/>
      <c r="CLV3" s="70"/>
      <c r="CLW3" s="70"/>
      <c r="CLX3" s="70"/>
      <c r="CLY3" s="70"/>
      <c r="CLZ3" s="70"/>
      <c r="CMA3" s="70"/>
      <c r="CMB3" s="70"/>
      <c r="CMC3" s="70"/>
      <c r="CMD3" s="70"/>
      <c r="CME3" s="70"/>
      <c r="CMF3" s="70"/>
      <c r="CMG3" s="70"/>
      <c r="CMH3" s="70"/>
      <c r="CMI3" s="70"/>
      <c r="CMJ3" s="70"/>
      <c r="CMK3" s="70"/>
      <c r="CML3" s="70"/>
      <c r="CMM3" s="70"/>
      <c r="CMN3" s="70"/>
      <c r="CMO3" s="70"/>
      <c r="CMP3" s="70"/>
      <c r="CMQ3" s="70"/>
      <c r="CMR3" s="70"/>
      <c r="CMS3" s="70"/>
      <c r="CMT3" s="70"/>
      <c r="CMU3" s="70"/>
      <c r="CMV3" s="70"/>
      <c r="CMW3" s="70"/>
      <c r="CMX3" s="70"/>
      <c r="CMY3" s="70"/>
      <c r="CMZ3" s="70"/>
      <c r="CNA3" s="70"/>
      <c r="CNB3" s="70"/>
      <c r="CNC3" s="70"/>
      <c r="CND3" s="70"/>
      <c r="CNE3" s="70"/>
      <c r="CNF3" s="70"/>
      <c r="CNG3" s="70"/>
      <c r="CNH3" s="70"/>
      <c r="CNI3" s="70"/>
      <c r="CNJ3" s="70"/>
      <c r="CNK3" s="70"/>
      <c r="CNL3" s="70"/>
      <c r="CNM3" s="70"/>
      <c r="CNN3" s="70"/>
      <c r="CNO3" s="70"/>
      <c r="CNP3" s="70"/>
      <c r="CNQ3" s="70"/>
      <c r="CNR3" s="70"/>
      <c r="CNS3" s="70"/>
      <c r="CNT3" s="70"/>
      <c r="CNU3" s="70"/>
      <c r="CNV3" s="70"/>
      <c r="CNW3" s="70"/>
      <c r="CNX3" s="70"/>
      <c r="CNY3" s="70"/>
      <c r="CNZ3" s="70"/>
      <c r="COA3" s="70"/>
      <c r="COB3" s="70"/>
      <c r="COC3" s="70"/>
      <c r="COD3" s="70"/>
      <c r="COE3" s="70"/>
      <c r="COF3" s="70"/>
      <c r="COG3" s="70"/>
      <c r="COH3" s="70"/>
      <c r="COI3" s="70"/>
      <c r="COJ3" s="70"/>
      <c r="COK3" s="70"/>
      <c r="COL3" s="70"/>
      <c r="COM3" s="70"/>
      <c r="CON3" s="70"/>
      <c r="COO3" s="70"/>
      <c r="COP3" s="70"/>
      <c r="COQ3" s="70"/>
      <c r="COR3" s="70"/>
      <c r="COS3" s="70"/>
      <c r="COT3" s="70"/>
      <c r="COU3" s="70"/>
      <c r="COV3" s="70"/>
      <c r="COW3" s="70"/>
      <c r="COX3" s="70"/>
      <c r="COY3" s="70"/>
      <c r="COZ3" s="70"/>
      <c r="CPA3" s="70"/>
      <c r="CPB3" s="70"/>
      <c r="CPC3" s="70"/>
      <c r="CPD3" s="70"/>
      <c r="CPE3" s="70"/>
      <c r="CPF3" s="70"/>
      <c r="CPG3" s="70"/>
      <c r="CPH3" s="70"/>
      <c r="CPI3" s="70"/>
      <c r="CPJ3" s="70"/>
      <c r="CPK3" s="70"/>
      <c r="CPL3" s="70"/>
      <c r="CPM3" s="70"/>
      <c r="CPN3" s="70"/>
      <c r="CPO3" s="70"/>
      <c r="CPP3" s="70"/>
      <c r="CPQ3" s="70"/>
      <c r="CPR3" s="70"/>
      <c r="CPS3" s="70"/>
      <c r="CPT3" s="70"/>
      <c r="CPU3" s="70"/>
      <c r="CPV3" s="70"/>
      <c r="CPW3" s="70"/>
      <c r="CPX3" s="70"/>
      <c r="CPY3" s="70"/>
      <c r="CPZ3" s="70"/>
      <c r="CQA3" s="70"/>
      <c r="CQB3" s="70"/>
      <c r="CQC3" s="70"/>
      <c r="CQD3" s="70"/>
      <c r="CQE3" s="70"/>
      <c r="CQF3" s="70"/>
      <c r="CQG3" s="70"/>
      <c r="CQH3" s="70"/>
      <c r="CQI3" s="70"/>
      <c r="CQJ3" s="70"/>
      <c r="CQK3" s="70"/>
      <c r="CQL3" s="70"/>
      <c r="CQM3" s="70"/>
      <c r="CQN3" s="70"/>
      <c r="CQO3" s="70"/>
      <c r="CQP3" s="70"/>
      <c r="CQQ3" s="70"/>
      <c r="CQR3" s="70"/>
      <c r="CQS3" s="70"/>
      <c r="CQT3" s="70"/>
      <c r="CQU3" s="70"/>
      <c r="CQV3" s="70"/>
      <c r="CQW3" s="70"/>
      <c r="CQX3" s="70"/>
      <c r="CQY3" s="70"/>
      <c r="CQZ3" s="70"/>
      <c r="CRA3" s="70"/>
      <c r="CRB3" s="70"/>
      <c r="CRC3" s="70"/>
      <c r="CRD3" s="70"/>
      <c r="CRE3" s="70"/>
      <c r="CRF3" s="70"/>
      <c r="CRG3" s="70"/>
      <c r="CRH3" s="70"/>
      <c r="CRI3" s="70"/>
      <c r="CRJ3" s="70"/>
      <c r="CRK3" s="70"/>
      <c r="CRL3" s="70"/>
      <c r="CRM3" s="70"/>
      <c r="CRN3" s="70"/>
      <c r="CRO3" s="70"/>
      <c r="CRP3" s="70"/>
      <c r="CRQ3" s="70"/>
      <c r="CRR3" s="70"/>
      <c r="CRS3" s="70"/>
      <c r="CRT3" s="70"/>
      <c r="CRU3" s="70"/>
      <c r="CRV3" s="70"/>
      <c r="CRW3" s="70"/>
      <c r="CRX3" s="70"/>
      <c r="CRY3" s="70"/>
      <c r="CRZ3" s="70"/>
      <c r="CSA3" s="70"/>
      <c r="CSB3" s="70"/>
      <c r="CSC3" s="70"/>
      <c r="CSD3" s="70"/>
      <c r="CSE3" s="70"/>
      <c r="CSF3" s="70"/>
      <c r="CSG3" s="70"/>
      <c r="CSH3" s="70"/>
      <c r="CSI3" s="70"/>
      <c r="CSJ3" s="70"/>
      <c r="CSK3" s="70"/>
      <c r="CSL3" s="70"/>
      <c r="CSM3" s="70"/>
      <c r="CSN3" s="70"/>
      <c r="CSO3" s="70"/>
      <c r="CSP3" s="70"/>
      <c r="CSQ3" s="70"/>
      <c r="CSR3" s="70"/>
      <c r="CSS3" s="70"/>
      <c r="CST3" s="70"/>
      <c r="CSU3" s="70"/>
      <c r="CSV3" s="70"/>
      <c r="CSW3" s="70"/>
      <c r="CSX3" s="70"/>
      <c r="CSY3" s="70"/>
      <c r="CSZ3" s="70"/>
      <c r="CTA3" s="70"/>
      <c r="CTB3" s="70"/>
      <c r="CTC3" s="70"/>
      <c r="CTD3" s="70"/>
      <c r="CTE3" s="70"/>
      <c r="CTF3" s="70"/>
      <c r="CTG3" s="70"/>
      <c r="CTH3" s="70"/>
      <c r="CTI3" s="70"/>
      <c r="CTJ3" s="70"/>
      <c r="CTK3" s="70"/>
      <c r="CTL3" s="70"/>
      <c r="CTM3" s="70"/>
      <c r="CTN3" s="70"/>
      <c r="CTO3" s="70"/>
      <c r="CTP3" s="70"/>
      <c r="CTQ3" s="70"/>
      <c r="CTR3" s="70"/>
      <c r="CTS3" s="70"/>
      <c r="CTT3" s="70"/>
      <c r="CTU3" s="70"/>
      <c r="CTV3" s="70"/>
      <c r="CTW3" s="70"/>
      <c r="CTX3" s="70"/>
      <c r="CTY3" s="70"/>
      <c r="CTZ3" s="70"/>
      <c r="CUA3" s="70"/>
      <c r="CUB3" s="70"/>
      <c r="CUC3" s="70"/>
      <c r="CUD3" s="70"/>
      <c r="CUE3" s="70"/>
      <c r="CUF3" s="70"/>
      <c r="CUG3" s="70"/>
      <c r="CUH3" s="70"/>
      <c r="CUI3" s="70"/>
      <c r="CUJ3" s="70"/>
      <c r="CUK3" s="70"/>
      <c r="CUL3" s="70"/>
      <c r="CUM3" s="70"/>
      <c r="CUN3" s="70"/>
      <c r="CUO3" s="70"/>
      <c r="CUP3" s="70"/>
      <c r="CUQ3" s="70"/>
      <c r="CUR3" s="70"/>
      <c r="CUS3" s="70"/>
      <c r="CUT3" s="70"/>
      <c r="CUU3" s="70"/>
      <c r="CUV3" s="70"/>
      <c r="CUW3" s="70"/>
      <c r="CUX3" s="70"/>
      <c r="CUY3" s="70"/>
      <c r="CUZ3" s="70"/>
      <c r="CVA3" s="70"/>
      <c r="CVB3" s="70"/>
      <c r="CVC3" s="70"/>
      <c r="CVD3" s="70"/>
      <c r="CVE3" s="70"/>
      <c r="CVF3" s="70"/>
      <c r="CVG3" s="70"/>
      <c r="CVH3" s="70"/>
      <c r="CVI3" s="70"/>
      <c r="CVJ3" s="70"/>
      <c r="CVK3" s="70"/>
      <c r="CVL3" s="70"/>
      <c r="CVM3" s="70"/>
      <c r="CVN3" s="70"/>
      <c r="CVO3" s="70"/>
      <c r="CVP3" s="70"/>
      <c r="CVQ3" s="70"/>
      <c r="CVR3" s="70"/>
      <c r="CVS3" s="70"/>
      <c r="CVT3" s="70"/>
      <c r="CVU3" s="70"/>
      <c r="CVV3" s="70"/>
      <c r="CVW3" s="70"/>
      <c r="CVX3" s="70"/>
      <c r="CVY3" s="70"/>
      <c r="CVZ3" s="70"/>
      <c r="CWA3" s="70"/>
      <c r="CWB3" s="70"/>
      <c r="CWC3" s="70"/>
      <c r="CWD3" s="70"/>
      <c r="CWE3" s="70"/>
      <c r="CWF3" s="70"/>
      <c r="CWG3" s="70"/>
      <c r="CWH3" s="70"/>
      <c r="CWI3" s="70"/>
      <c r="CWJ3" s="70"/>
      <c r="CWK3" s="70"/>
      <c r="CWL3" s="70"/>
      <c r="CWM3" s="70"/>
      <c r="CWN3" s="70"/>
      <c r="CWO3" s="70"/>
      <c r="CWP3" s="70"/>
      <c r="CWQ3" s="70"/>
      <c r="CWR3" s="70"/>
      <c r="CWS3" s="70"/>
      <c r="CWT3" s="70"/>
      <c r="CWU3" s="70"/>
      <c r="CWV3" s="70"/>
      <c r="CWW3" s="70"/>
      <c r="CWX3" s="70"/>
      <c r="CWY3" s="70"/>
      <c r="CWZ3" s="70"/>
      <c r="CXA3" s="70"/>
      <c r="CXB3" s="70"/>
      <c r="CXC3" s="70"/>
      <c r="CXD3" s="70"/>
      <c r="CXE3" s="70"/>
      <c r="CXF3" s="70"/>
      <c r="CXG3" s="70"/>
      <c r="CXH3" s="70"/>
      <c r="CXI3" s="70"/>
      <c r="CXJ3" s="70"/>
      <c r="CXK3" s="70"/>
      <c r="CXL3" s="70"/>
      <c r="CXM3" s="70"/>
      <c r="CXN3" s="70"/>
      <c r="CXO3" s="70"/>
      <c r="CXP3" s="70"/>
      <c r="CXQ3" s="70"/>
      <c r="CXR3" s="70"/>
      <c r="CXS3" s="70"/>
      <c r="CXT3" s="70"/>
      <c r="CXU3" s="70"/>
      <c r="CXV3" s="70"/>
      <c r="CXW3" s="70"/>
      <c r="CXX3" s="70"/>
      <c r="CXY3" s="70"/>
      <c r="CXZ3" s="70"/>
      <c r="CYA3" s="70"/>
      <c r="CYB3" s="70"/>
      <c r="CYC3" s="70"/>
      <c r="CYD3" s="70"/>
      <c r="CYE3" s="70"/>
      <c r="CYF3" s="70"/>
      <c r="CYG3" s="70"/>
      <c r="CYH3" s="70"/>
      <c r="CYI3" s="70"/>
      <c r="CYJ3" s="70"/>
      <c r="CYK3" s="70"/>
      <c r="CYL3" s="70"/>
      <c r="CYM3" s="70"/>
      <c r="CYN3" s="70"/>
      <c r="CYO3" s="70"/>
      <c r="CYP3" s="70"/>
      <c r="CYQ3" s="70"/>
      <c r="CYR3" s="70"/>
      <c r="CYS3" s="70"/>
      <c r="CYT3" s="70"/>
      <c r="CYU3" s="70"/>
      <c r="CYV3" s="70"/>
      <c r="CYW3" s="70"/>
      <c r="CYX3" s="70"/>
      <c r="CYY3" s="70"/>
      <c r="CYZ3" s="70"/>
      <c r="CZA3" s="70"/>
      <c r="CZB3" s="70"/>
      <c r="CZC3" s="70"/>
      <c r="CZD3" s="70"/>
      <c r="CZE3" s="70"/>
      <c r="CZF3" s="70"/>
      <c r="CZG3" s="70"/>
      <c r="CZH3" s="70"/>
      <c r="CZI3" s="70"/>
      <c r="CZJ3" s="70"/>
      <c r="CZK3" s="70"/>
      <c r="CZL3" s="70"/>
      <c r="CZM3" s="70"/>
      <c r="CZN3" s="70"/>
      <c r="CZO3" s="70"/>
      <c r="CZP3" s="70"/>
      <c r="CZQ3" s="70"/>
      <c r="CZR3" s="70"/>
      <c r="CZS3" s="70"/>
      <c r="CZT3" s="70"/>
      <c r="CZU3" s="70"/>
      <c r="CZV3" s="70"/>
      <c r="CZW3" s="70"/>
      <c r="CZX3" s="70"/>
      <c r="CZY3" s="70"/>
      <c r="CZZ3" s="70"/>
      <c r="DAA3" s="70"/>
      <c r="DAB3" s="70"/>
      <c r="DAC3" s="70"/>
      <c r="DAD3" s="70"/>
      <c r="DAE3" s="70"/>
      <c r="DAF3" s="70"/>
      <c r="DAG3" s="70"/>
      <c r="DAH3" s="70"/>
      <c r="DAI3" s="70"/>
      <c r="DAJ3" s="70"/>
      <c r="DAK3" s="70"/>
      <c r="DAL3" s="70"/>
      <c r="DAM3" s="70"/>
      <c r="DAN3" s="70"/>
      <c r="DAO3" s="70"/>
      <c r="DAP3" s="70"/>
      <c r="DAQ3" s="70"/>
      <c r="DAR3" s="70"/>
      <c r="DAS3" s="70"/>
      <c r="DAT3" s="70"/>
      <c r="DAU3" s="70"/>
      <c r="DAV3" s="70"/>
      <c r="DAW3" s="70"/>
      <c r="DAX3" s="70"/>
      <c r="DAY3" s="70"/>
      <c r="DAZ3" s="70"/>
      <c r="DBA3" s="70"/>
      <c r="DBB3" s="70"/>
      <c r="DBC3" s="70"/>
      <c r="DBD3" s="70"/>
      <c r="DBE3" s="70"/>
      <c r="DBF3" s="70"/>
      <c r="DBG3" s="70"/>
      <c r="DBH3" s="70"/>
      <c r="DBI3" s="70"/>
      <c r="DBJ3" s="70"/>
      <c r="DBK3" s="70"/>
      <c r="DBL3" s="70"/>
      <c r="DBM3" s="70"/>
      <c r="DBN3" s="70"/>
      <c r="DBO3" s="70"/>
      <c r="DBP3" s="70"/>
      <c r="DBQ3" s="70"/>
      <c r="DBR3" s="70"/>
      <c r="DBS3" s="70"/>
      <c r="DBT3" s="70"/>
      <c r="DBU3" s="70"/>
      <c r="DBV3" s="70"/>
      <c r="DBW3" s="70"/>
      <c r="DBX3" s="70"/>
      <c r="DBY3" s="70"/>
      <c r="DBZ3" s="70"/>
      <c r="DCA3" s="70"/>
      <c r="DCB3" s="70"/>
      <c r="DCC3" s="70"/>
      <c r="DCD3" s="70"/>
      <c r="DCE3" s="70"/>
      <c r="DCF3" s="70"/>
      <c r="DCG3" s="70"/>
      <c r="DCH3" s="70"/>
      <c r="DCI3" s="70"/>
      <c r="DCJ3" s="70"/>
      <c r="DCK3" s="70"/>
      <c r="DCL3" s="70"/>
      <c r="DCM3" s="70"/>
      <c r="DCN3" s="70"/>
      <c r="DCO3" s="70"/>
      <c r="DCP3" s="70"/>
      <c r="DCQ3" s="70"/>
      <c r="DCR3" s="70"/>
      <c r="DCS3" s="70"/>
      <c r="DCT3" s="70"/>
      <c r="DCU3" s="70"/>
      <c r="DCV3" s="70"/>
      <c r="DCW3" s="70"/>
      <c r="DCX3" s="70"/>
      <c r="DCY3" s="70"/>
      <c r="DCZ3" s="70"/>
      <c r="DDA3" s="70"/>
      <c r="DDB3" s="70"/>
      <c r="DDC3" s="70"/>
      <c r="DDD3" s="70"/>
      <c r="DDE3" s="70"/>
      <c r="DDF3" s="70"/>
      <c r="DDG3" s="70"/>
      <c r="DDH3" s="70"/>
      <c r="DDI3" s="70"/>
      <c r="DDJ3" s="70"/>
      <c r="DDK3" s="70"/>
      <c r="DDL3" s="70"/>
      <c r="DDM3" s="70"/>
      <c r="DDN3" s="70"/>
      <c r="DDO3" s="70"/>
      <c r="DDP3" s="70"/>
      <c r="DDQ3" s="70"/>
      <c r="DDR3" s="70"/>
      <c r="DDS3" s="70"/>
      <c r="DDT3" s="70"/>
      <c r="DDU3" s="70"/>
      <c r="DDV3" s="70"/>
      <c r="DDW3" s="70"/>
      <c r="DDX3" s="70"/>
      <c r="DDY3" s="70"/>
      <c r="DDZ3" s="70"/>
      <c r="DEA3" s="70"/>
      <c r="DEB3" s="70"/>
      <c r="DEC3" s="70"/>
      <c r="DED3" s="70"/>
      <c r="DEE3" s="70"/>
      <c r="DEF3" s="70"/>
      <c r="DEG3" s="70"/>
      <c r="DEH3" s="70"/>
      <c r="DEI3" s="70"/>
      <c r="DEJ3" s="70"/>
      <c r="DEK3" s="70"/>
      <c r="DEL3" s="70"/>
      <c r="DEM3" s="70"/>
      <c r="DEN3" s="70"/>
      <c r="DEO3" s="70"/>
      <c r="DEP3" s="70"/>
      <c r="DEQ3" s="70"/>
      <c r="DER3" s="70"/>
      <c r="DES3" s="70"/>
      <c r="DET3" s="70"/>
      <c r="DEU3" s="70"/>
      <c r="DEV3" s="70"/>
      <c r="DEW3" s="70"/>
      <c r="DEX3" s="70"/>
      <c r="DEY3" s="70"/>
      <c r="DEZ3" s="70"/>
      <c r="DFA3" s="70"/>
      <c r="DFB3" s="70"/>
      <c r="DFC3" s="70"/>
      <c r="DFD3" s="70"/>
      <c r="DFE3" s="70"/>
      <c r="DFF3" s="70"/>
      <c r="DFG3" s="70"/>
      <c r="DFH3" s="70"/>
      <c r="DFI3" s="70"/>
      <c r="DFJ3" s="70"/>
      <c r="DFK3" s="70"/>
      <c r="DFL3" s="70"/>
      <c r="DFM3" s="70"/>
      <c r="DFN3" s="70"/>
      <c r="DFO3" s="70"/>
      <c r="DFP3" s="70"/>
      <c r="DFQ3" s="70"/>
      <c r="DFR3" s="70"/>
      <c r="DFS3" s="70"/>
      <c r="DFT3" s="70"/>
      <c r="DFU3" s="70"/>
      <c r="DFV3" s="70"/>
      <c r="DFW3" s="70"/>
      <c r="DFX3" s="70"/>
      <c r="DFY3" s="70"/>
      <c r="DFZ3" s="70"/>
      <c r="DGA3" s="70"/>
      <c r="DGB3" s="70"/>
      <c r="DGC3" s="70"/>
      <c r="DGD3" s="70"/>
      <c r="DGE3" s="70"/>
      <c r="DGF3" s="70"/>
      <c r="DGG3" s="70"/>
      <c r="DGH3" s="70"/>
      <c r="DGI3" s="70"/>
      <c r="DGJ3" s="70"/>
      <c r="DGK3" s="70"/>
      <c r="DGL3" s="70"/>
      <c r="DGM3" s="70"/>
      <c r="DGN3" s="70"/>
      <c r="DGO3" s="70"/>
      <c r="DGP3" s="70"/>
      <c r="DGQ3" s="70"/>
      <c r="DGR3" s="70"/>
      <c r="DGS3" s="70"/>
      <c r="DGT3" s="70"/>
      <c r="DGU3" s="70"/>
      <c r="DGV3" s="70"/>
      <c r="DGW3" s="70"/>
      <c r="DGX3" s="70"/>
      <c r="DGY3" s="70"/>
      <c r="DGZ3" s="70"/>
      <c r="DHA3" s="70"/>
      <c r="DHB3" s="70"/>
      <c r="DHC3" s="70"/>
      <c r="DHD3" s="70"/>
      <c r="DHE3" s="70"/>
      <c r="DHF3" s="70"/>
      <c r="DHG3" s="70"/>
      <c r="DHH3" s="70"/>
      <c r="DHI3" s="70"/>
      <c r="DHJ3" s="70"/>
      <c r="DHK3" s="70"/>
      <c r="DHL3" s="70"/>
      <c r="DHM3" s="70"/>
      <c r="DHN3" s="70"/>
      <c r="DHO3" s="70"/>
      <c r="DHP3" s="70"/>
      <c r="DHQ3" s="70"/>
      <c r="DHR3" s="70"/>
      <c r="DHS3" s="70"/>
      <c r="DHT3" s="70"/>
      <c r="DHU3" s="70"/>
      <c r="DHV3" s="70"/>
      <c r="DHW3" s="70"/>
      <c r="DHX3" s="70"/>
      <c r="DHY3" s="70"/>
      <c r="DHZ3" s="70"/>
      <c r="DIA3" s="70"/>
      <c r="DIB3" s="70"/>
      <c r="DIC3" s="70"/>
      <c r="DID3" s="70"/>
      <c r="DIE3" s="70"/>
      <c r="DIF3" s="70"/>
      <c r="DIG3" s="70"/>
      <c r="DIH3" s="70"/>
      <c r="DII3" s="70"/>
      <c r="DIJ3" s="70"/>
      <c r="DIK3" s="70"/>
      <c r="DIL3" s="70"/>
      <c r="DIM3" s="70"/>
      <c r="DIN3" s="70"/>
      <c r="DIO3" s="70"/>
      <c r="DIP3" s="70"/>
      <c r="DIQ3" s="70"/>
      <c r="DIR3" s="70"/>
      <c r="DIS3" s="70"/>
      <c r="DIT3" s="70"/>
      <c r="DIU3" s="70"/>
      <c r="DIV3" s="70"/>
      <c r="DIW3" s="70"/>
      <c r="DIX3" s="70"/>
      <c r="DIY3" s="70"/>
      <c r="DIZ3" s="70"/>
      <c r="DJA3" s="70"/>
      <c r="DJB3" s="70"/>
      <c r="DJC3" s="70"/>
      <c r="DJD3" s="70"/>
      <c r="DJE3" s="70"/>
      <c r="DJF3" s="70"/>
      <c r="DJG3" s="70"/>
      <c r="DJH3" s="70"/>
      <c r="DJI3" s="70"/>
      <c r="DJJ3" s="70"/>
      <c r="DJK3" s="70"/>
      <c r="DJL3" s="70"/>
      <c r="DJM3" s="70"/>
      <c r="DJN3" s="70"/>
      <c r="DJO3" s="70"/>
      <c r="DJP3" s="70"/>
      <c r="DJQ3" s="70"/>
      <c r="DJR3" s="70"/>
      <c r="DJS3" s="70"/>
      <c r="DJT3" s="70"/>
      <c r="DJU3" s="70"/>
      <c r="DJV3" s="70"/>
      <c r="DJW3" s="70"/>
      <c r="DJX3" s="70"/>
      <c r="DJY3" s="70"/>
      <c r="DJZ3" s="70"/>
      <c r="DKA3" s="70"/>
      <c r="DKB3" s="70"/>
      <c r="DKC3" s="70"/>
      <c r="DKD3" s="70"/>
      <c r="DKE3" s="70"/>
      <c r="DKF3" s="70"/>
      <c r="DKG3" s="70"/>
      <c r="DKH3" s="70"/>
      <c r="DKI3" s="70"/>
      <c r="DKJ3" s="70"/>
      <c r="DKK3" s="70"/>
      <c r="DKL3" s="70"/>
      <c r="DKM3" s="70"/>
      <c r="DKN3" s="70"/>
      <c r="DKO3" s="70"/>
      <c r="DKP3" s="70"/>
      <c r="DKQ3" s="70"/>
      <c r="DKR3" s="70"/>
      <c r="DKS3" s="70"/>
      <c r="DKT3" s="70"/>
      <c r="DKU3" s="70"/>
      <c r="DKV3" s="70"/>
      <c r="DKW3" s="70"/>
      <c r="DKX3" s="70"/>
      <c r="DKY3" s="70"/>
      <c r="DKZ3" s="70"/>
      <c r="DLA3" s="70"/>
      <c r="DLB3" s="70"/>
      <c r="DLC3" s="70"/>
      <c r="DLD3" s="70"/>
      <c r="DLE3" s="70"/>
      <c r="DLF3" s="70"/>
      <c r="DLG3" s="70"/>
      <c r="DLH3" s="70"/>
      <c r="DLI3" s="70"/>
      <c r="DLJ3" s="70"/>
      <c r="DLK3" s="70"/>
      <c r="DLL3" s="70"/>
      <c r="DLM3" s="70"/>
      <c r="DLN3" s="70"/>
      <c r="DLO3" s="70"/>
      <c r="DLP3" s="70"/>
      <c r="DLQ3" s="70"/>
      <c r="DLR3" s="70"/>
      <c r="DLS3" s="70"/>
      <c r="DLT3" s="70"/>
      <c r="DLU3" s="70"/>
      <c r="DLV3" s="70"/>
      <c r="DLW3" s="70"/>
      <c r="DLX3" s="70"/>
      <c r="DLY3" s="70"/>
      <c r="DLZ3" s="70"/>
      <c r="DMA3" s="70"/>
      <c r="DMB3" s="70"/>
      <c r="DMC3" s="70"/>
      <c r="DMD3" s="70"/>
      <c r="DME3" s="70"/>
      <c r="DMF3" s="70"/>
      <c r="DMG3" s="70"/>
      <c r="DMH3" s="70"/>
      <c r="DMI3" s="70"/>
      <c r="DMJ3" s="70"/>
      <c r="DMK3" s="70"/>
      <c r="DML3" s="70"/>
      <c r="DMM3" s="70"/>
      <c r="DMN3" s="70"/>
      <c r="DMO3" s="70"/>
      <c r="DMP3" s="70"/>
      <c r="DMQ3" s="70"/>
      <c r="DMR3" s="70"/>
      <c r="DMS3" s="70"/>
      <c r="DMT3" s="70"/>
      <c r="DMU3" s="70"/>
      <c r="DMV3" s="70"/>
      <c r="DMW3" s="70"/>
      <c r="DMX3" s="70"/>
      <c r="DMY3" s="70"/>
      <c r="DMZ3" s="70"/>
      <c r="DNA3" s="70"/>
      <c r="DNB3" s="70"/>
      <c r="DNC3" s="70"/>
      <c r="DND3" s="70"/>
      <c r="DNE3" s="70"/>
      <c r="DNF3" s="70"/>
      <c r="DNG3" s="70"/>
      <c r="DNH3" s="70"/>
      <c r="DNI3" s="70"/>
      <c r="DNJ3" s="70"/>
      <c r="DNK3" s="70"/>
      <c r="DNL3" s="70"/>
      <c r="DNM3" s="70"/>
      <c r="DNN3" s="70"/>
      <c r="DNO3" s="70"/>
      <c r="DNP3" s="70"/>
      <c r="DNQ3" s="70"/>
      <c r="DNR3" s="70"/>
      <c r="DNS3" s="70"/>
      <c r="DNT3" s="70"/>
      <c r="DNU3" s="70"/>
      <c r="DNV3" s="70"/>
      <c r="DNW3" s="70"/>
      <c r="DNX3" s="70"/>
      <c r="DNY3" s="70"/>
      <c r="DNZ3" s="70"/>
      <c r="DOA3" s="70"/>
      <c r="DOB3" s="70"/>
      <c r="DOC3" s="70"/>
      <c r="DOD3" s="70"/>
      <c r="DOE3" s="70"/>
      <c r="DOF3" s="70"/>
      <c r="DOG3" s="70"/>
      <c r="DOH3" s="70"/>
      <c r="DOI3" s="70"/>
      <c r="DOJ3" s="70"/>
      <c r="DOK3" s="70"/>
      <c r="DOL3" s="70"/>
      <c r="DOM3" s="70"/>
      <c r="DON3" s="70"/>
      <c r="DOO3" s="70"/>
      <c r="DOP3" s="70"/>
      <c r="DOQ3" s="70"/>
      <c r="DOR3" s="70"/>
      <c r="DOS3" s="70"/>
      <c r="DOT3" s="70"/>
      <c r="DOU3" s="70"/>
      <c r="DOV3" s="70"/>
      <c r="DOW3" s="70"/>
      <c r="DOX3" s="70"/>
      <c r="DOY3" s="70"/>
      <c r="DOZ3" s="70"/>
      <c r="DPA3" s="70"/>
      <c r="DPB3" s="70"/>
      <c r="DPC3" s="70"/>
      <c r="DPD3" s="70"/>
      <c r="DPE3" s="70"/>
      <c r="DPF3" s="70"/>
      <c r="DPG3" s="70"/>
      <c r="DPH3" s="70"/>
      <c r="DPI3" s="70"/>
      <c r="DPJ3" s="70"/>
      <c r="DPK3" s="70"/>
      <c r="DPL3" s="70"/>
      <c r="DPM3" s="70"/>
      <c r="DPN3" s="70"/>
      <c r="DPO3" s="70"/>
      <c r="DPP3" s="70"/>
      <c r="DPQ3" s="70"/>
      <c r="DPR3" s="70"/>
      <c r="DPS3" s="70"/>
      <c r="DPT3" s="70"/>
      <c r="DPU3" s="70"/>
      <c r="DPV3" s="70"/>
      <c r="DPW3" s="70"/>
      <c r="DPX3" s="70"/>
      <c r="DPY3" s="70"/>
      <c r="DPZ3" s="70"/>
      <c r="DQA3" s="70"/>
      <c r="DQB3" s="70"/>
      <c r="DQC3" s="70"/>
      <c r="DQD3" s="70"/>
      <c r="DQE3" s="70"/>
      <c r="DQF3" s="70"/>
      <c r="DQG3" s="70"/>
      <c r="DQH3" s="70"/>
      <c r="DQI3" s="70"/>
      <c r="DQJ3" s="70"/>
      <c r="DQK3" s="70"/>
      <c r="DQL3" s="70"/>
      <c r="DQM3" s="70"/>
      <c r="DQN3" s="70"/>
      <c r="DQO3" s="70"/>
      <c r="DQP3" s="70"/>
      <c r="DQQ3" s="70"/>
      <c r="DQR3" s="70"/>
      <c r="DQS3" s="70"/>
      <c r="DQT3" s="70"/>
      <c r="DQU3" s="70"/>
      <c r="DQV3" s="70"/>
      <c r="DQW3" s="70"/>
      <c r="DQX3" s="70"/>
      <c r="DQY3" s="70"/>
      <c r="DQZ3" s="70"/>
      <c r="DRA3" s="70"/>
      <c r="DRB3" s="70"/>
      <c r="DRC3" s="70"/>
      <c r="DRD3" s="70"/>
      <c r="DRE3" s="70"/>
      <c r="DRF3" s="70"/>
      <c r="DRG3" s="70"/>
      <c r="DRH3" s="70"/>
      <c r="DRI3" s="70"/>
      <c r="DRJ3" s="70"/>
      <c r="DRK3" s="70"/>
      <c r="DRL3" s="70"/>
      <c r="DRM3" s="70"/>
      <c r="DRN3" s="70"/>
      <c r="DRO3" s="70"/>
      <c r="DRP3" s="70"/>
      <c r="DRQ3" s="70"/>
      <c r="DRR3" s="70"/>
      <c r="DRS3" s="70"/>
      <c r="DRT3" s="70"/>
      <c r="DRU3" s="70"/>
      <c r="DRV3" s="70"/>
      <c r="DRW3" s="70"/>
      <c r="DRX3" s="70"/>
      <c r="DRY3" s="70"/>
      <c r="DRZ3" s="70"/>
      <c r="DSA3" s="70"/>
      <c r="DSB3" s="70"/>
      <c r="DSC3" s="70"/>
      <c r="DSD3" s="70"/>
      <c r="DSE3" s="70"/>
      <c r="DSF3" s="70"/>
      <c r="DSG3" s="70"/>
      <c r="DSH3" s="70"/>
      <c r="DSI3" s="70"/>
      <c r="DSJ3" s="70"/>
      <c r="DSK3" s="70"/>
      <c r="DSL3" s="70"/>
      <c r="DSM3" s="70"/>
      <c r="DSN3" s="70"/>
      <c r="DSO3" s="70"/>
      <c r="DSP3" s="70"/>
      <c r="DSQ3" s="70"/>
      <c r="DSR3" s="70"/>
      <c r="DSS3" s="70"/>
      <c r="DST3" s="70"/>
      <c r="DSU3" s="70"/>
      <c r="DSV3" s="70"/>
      <c r="DSW3" s="70"/>
      <c r="DSX3" s="70"/>
      <c r="DSY3" s="70"/>
      <c r="DSZ3" s="70"/>
      <c r="DTA3" s="70"/>
      <c r="DTB3" s="70"/>
      <c r="DTC3" s="70"/>
      <c r="DTD3" s="70"/>
      <c r="DTE3" s="70"/>
      <c r="DTF3" s="70"/>
      <c r="DTG3" s="70"/>
      <c r="DTH3" s="70"/>
      <c r="DTI3" s="70"/>
      <c r="DTJ3" s="70"/>
      <c r="DTK3" s="70"/>
      <c r="DTL3" s="70"/>
      <c r="DTM3" s="70"/>
      <c r="DTN3" s="70"/>
      <c r="DTO3" s="70"/>
      <c r="DTP3" s="70"/>
      <c r="DTQ3" s="70"/>
      <c r="DTR3" s="70"/>
      <c r="DTS3" s="70"/>
      <c r="DTT3" s="70"/>
      <c r="DTU3" s="70"/>
      <c r="DTV3" s="70"/>
      <c r="DTW3" s="70"/>
      <c r="DTX3" s="70"/>
      <c r="DTY3" s="70"/>
      <c r="DTZ3" s="70"/>
      <c r="DUA3" s="70"/>
      <c r="DUB3" s="70"/>
      <c r="DUC3" s="70"/>
      <c r="DUD3" s="70"/>
      <c r="DUE3" s="70"/>
      <c r="DUF3" s="70"/>
      <c r="DUG3" s="70"/>
      <c r="DUH3" s="70"/>
      <c r="DUI3" s="70"/>
      <c r="DUJ3" s="70"/>
      <c r="DUK3" s="70"/>
      <c r="DUL3" s="70"/>
      <c r="DUM3" s="70"/>
      <c r="DUN3" s="70"/>
      <c r="DUO3" s="70"/>
      <c r="DUP3" s="70"/>
      <c r="DUQ3" s="70"/>
      <c r="DUR3" s="70"/>
      <c r="DUS3" s="70"/>
      <c r="DUT3" s="70"/>
      <c r="DUU3" s="70"/>
      <c r="DUV3" s="70"/>
      <c r="DUW3" s="70"/>
      <c r="DUX3" s="70"/>
      <c r="DUY3" s="70"/>
      <c r="DUZ3" s="70"/>
      <c r="DVA3" s="70"/>
      <c r="DVB3" s="70"/>
      <c r="DVC3" s="70"/>
      <c r="DVD3" s="70"/>
      <c r="DVE3" s="70"/>
      <c r="DVF3" s="70"/>
      <c r="DVG3" s="70"/>
      <c r="DVH3" s="70"/>
      <c r="DVI3" s="70"/>
      <c r="DVJ3" s="70"/>
      <c r="DVK3" s="70"/>
      <c r="DVL3" s="70"/>
      <c r="DVM3" s="70"/>
      <c r="DVN3" s="70"/>
      <c r="DVO3" s="70"/>
      <c r="DVP3" s="70"/>
      <c r="DVQ3" s="70"/>
      <c r="DVR3" s="70"/>
      <c r="DVS3" s="70"/>
      <c r="DVT3" s="70"/>
      <c r="DVU3" s="70"/>
      <c r="DVV3" s="70"/>
      <c r="DVW3" s="70"/>
      <c r="DVX3" s="70"/>
      <c r="DVY3" s="70"/>
      <c r="DVZ3" s="70"/>
      <c r="DWA3" s="70"/>
      <c r="DWB3" s="70"/>
      <c r="DWC3" s="70"/>
      <c r="DWD3" s="70"/>
      <c r="DWE3" s="70"/>
      <c r="DWF3" s="70"/>
      <c r="DWG3" s="70"/>
      <c r="DWH3" s="70"/>
      <c r="DWI3" s="70"/>
      <c r="DWJ3" s="70"/>
      <c r="DWK3" s="70"/>
      <c r="DWL3" s="70"/>
      <c r="DWM3" s="70"/>
      <c r="DWN3" s="70"/>
      <c r="DWO3" s="70"/>
      <c r="DWP3" s="70"/>
      <c r="DWQ3" s="70"/>
      <c r="DWR3" s="70"/>
      <c r="DWS3" s="70"/>
      <c r="DWT3" s="70"/>
      <c r="DWU3" s="70"/>
      <c r="DWV3" s="70"/>
      <c r="DWW3" s="70"/>
      <c r="DWX3" s="70"/>
      <c r="DWY3" s="70"/>
      <c r="DWZ3" s="70"/>
      <c r="DXA3" s="70"/>
      <c r="DXB3" s="70"/>
      <c r="DXC3" s="70"/>
      <c r="DXD3" s="70"/>
      <c r="DXE3" s="70"/>
      <c r="DXF3" s="70"/>
      <c r="DXG3" s="70"/>
      <c r="DXH3" s="70"/>
      <c r="DXI3" s="70"/>
      <c r="DXJ3" s="70"/>
      <c r="DXK3" s="70"/>
      <c r="DXL3" s="70"/>
      <c r="DXM3" s="70"/>
      <c r="DXN3" s="70"/>
      <c r="DXO3" s="70"/>
      <c r="DXP3" s="70"/>
      <c r="DXQ3" s="70"/>
      <c r="DXR3" s="70"/>
      <c r="DXS3" s="70"/>
      <c r="DXT3" s="70"/>
      <c r="DXU3" s="70"/>
      <c r="DXV3" s="70"/>
      <c r="DXW3" s="70"/>
      <c r="DXX3" s="70"/>
      <c r="DXY3" s="70"/>
      <c r="DXZ3" s="70"/>
      <c r="DYA3" s="70"/>
      <c r="DYB3" s="70"/>
      <c r="DYC3" s="70"/>
      <c r="DYD3" s="70"/>
      <c r="DYE3" s="70"/>
      <c r="DYF3" s="70"/>
      <c r="DYG3" s="70"/>
      <c r="DYH3" s="70"/>
      <c r="DYI3" s="70"/>
      <c r="DYJ3" s="70"/>
      <c r="DYK3" s="70"/>
      <c r="DYL3" s="70"/>
      <c r="DYM3" s="70"/>
      <c r="DYN3" s="70"/>
      <c r="DYO3" s="70"/>
      <c r="DYP3" s="70"/>
      <c r="DYQ3" s="70"/>
      <c r="DYR3" s="70"/>
      <c r="DYS3" s="70"/>
      <c r="DYT3" s="70"/>
      <c r="DYU3" s="70"/>
      <c r="DYV3" s="70"/>
      <c r="DYW3" s="70"/>
      <c r="DYX3" s="70"/>
      <c r="DYY3" s="70"/>
      <c r="DYZ3" s="70"/>
      <c r="DZA3" s="70"/>
      <c r="DZB3" s="70"/>
      <c r="DZC3" s="70"/>
      <c r="DZD3" s="70"/>
      <c r="DZE3" s="70"/>
      <c r="DZF3" s="70"/>
      <c r="DZG3" s="70"/>
      <c r="DZH3" s="70"/>
      <c r="DZI3" s="70"/>
      <c r="DZJ3" s="70"/>
      <c r="DZK3" s="70"/>
      <c r="DZL3" s="70"/>
      <c r="DZM3" s="70"/>
      <c r="DZN3" s="70"/>
      <c r="DZO3" s="70"/>
      <c r="DZP3" s="70"/>
      <c r="DZQ3" s="70"/>
      <c r="DZR3" s="70"/>
      <c r="DZS3" s="70"/>
      <c r="DZT3" s="70"/>
      <c r="DZU3" s="70"/>
      <c r="DZV3" s="70"/>
      <c r="DZW3" s="70"/>
      <c r="DZX3" s="70"/>
      <c r="DZY3" s="70"/>
      <c r="DZZ3" s="70"/>
      <c r="EAA3" s="70"/>
      <c r="EAB3" s="70"/>
      <c r="EAC3" s="70"/>
      <c r="EAD3" s="70"/>
      <c r="EAE3" s="70"/>
      <c r="EAF3" s="70"/>
      <c r="EAG3" s="70"/>
      <c r="EAH3" s="70"/>
      <c r="EAI3" s="70"/>
      <c r="EAJ3" s="70"/>
      <c r="EAK3" s="70"/>
      <c r="EAL3" s="70"/>
      <c r="EAM3" s="70"/>
      <c r="EAN3" s="70"/>
      <c r="EAO3" s="70"/>
      <c r="EAP3" s="70"/>
      <c r="EAQ3" s="70"/>
      <c r="EAR3" s="70"/>
      <c r="EAS3" s="70"/>
      <c r="EAT3" s="70"/>
      <c r="EAU3" s="70"/>
      <c r="EAV3" s="70"/>
      <c r="EAW3" s="70"/>
      <c r="EAX3" s="70"/>
      <c r="EAY3" s="70"/>
      <c r="EAZ3" s="70"/>
      <c r="EBA3" s="70"/>
      <c r="EBB3" s="70"/>
      <c r="EBC3" s="70"/>
      <c r="EBD3" s="70"/>
      <c r="EBE3" s="70"/>
      <c r="EBF3" s="70"/>
      <c r="EBG3" s="70"/>
      <c r="EBH3" s="70"/>
      <c r="EBI3" s="70"/>
      <c r="EBJ3" s="70"/>
      <c r="EBK3" s="70"/>
      <c r="EBL3" s="70"/>
      <c r="EBM3" s="70"/>
      <c r="EBN3" s="70"/>
      <c r="EBO3" s="70"/>
      <c r="EBP3" s="70"/>
      <c r="EBQ3" s="70"/>
      <c r="EBR3" s="70"/>
      <c r="EBS3" s="70"/>
      <c r="EBT3" s="70"/>
      <c r="EBU3" s="70"/>
      <c r="EBV3" s="70"/>
      <c r="EBW3" s="70"/>
      <c r="EBX3" s="70"/>
      <c r="EBY3" s="70"/>
      <c r="EBZ3" s="70"/>
      <c r="ECA3" s="70"/>
      <c r="ECB3" s="70"/>
      <c r="ECC3" s="70"/>
      <c r="ECD3" s="70"/>
      <c r="ECE3" s="70"/>
      <c r="ECF3" s="70"/>
      <c r="ECG3" s="70"/>
      <c r="ECH3" s="70"/>
      <c r="ECI3" s="70"/>
      <c r="ECJ3" s="70"/>
      <c r="ECK3" s="70"/>
      <c r="ECL3" s="70"/>
      <c r="ECM3" s="70"/>
      <c r="ECN3" s="70"/>
      <c r="ECO3" s="70"/>
      <c r="ECP3" s="70"/>
      <c r="ECQ3" s="70"/>
      <c r="ECR3" s="70"/>
      <c r="ECS3" s="70"/>
      <c r="ECT3" s="70"/>
      <c r="ECU3" s="70"/>
      <c r="ECV3" s="70"/>
      <c r="ECW3" s="70"/>
      <c r="ECX3" s="70"/>
      <c r="ECY3" s="70"/>
      <c r="ECZ3" s="70"/>
      <c r="EDA3" s="70"/>
      <c r="EDB3" s="70"/>
      <c r="EDC3" s="70"/>
      <c r="EDD3" s="70"/>
      <c r="EDE3" s="70"/>
      <c r="EDF3" s="70"/>
      <c r="EDG3" s="70"/>
      <c r="EDH3" s="70"/>
      <c r="EDI3" s="70"/>
      <c r="EDJ3" s="70"/>
      <c r="EDK3" s="70"/>
      <c r="EDL3" s="70"/>
      <c r="EDM3" s="70"/>
      <c r="EDN3" s="70"/>
      <c r="EDO3" s="70"/>
      <c r="EDP3" s="70"/>
      <c r="EDQ3" s="70"/>
      <c r="EDR3" s="70"/>
      <c r="EDS3" s="70"/>
      <c r="EDT3" s="70"/>
      <c r="EDU3" s="70"/>
      <c r="EDV3" s="70"/>
      <c r="EDW3" s="70"/>
      <c r="EDX3" s="70"/>
      <c r="EDY3" s="70"/>
      <c r="EDZ3" s="70"/>
      <c r="EEA3" s="70"/>
      <c r="EEB3" s="70"/>
      <c r="EEC3" s="70"/>
      <c r="EED3" s="70"/>
      <c r="EEE3" s="70"/>
      <c r="EEF3" s="70"/>
      <c r="EEG3" s="70"/>
      <c r="EEH3" s="70"/>
      <c r="EEI3" s="70"/>
      <c r="EEJ3" s="70"/>
      <c r="EEK3" s="70"/>
      <c r="EEL3" s="70"/>
      <c r="EEM3" s="70"/>
      <c r="EEN3" s="70"/>
      <c r="EEO3" s="70"/>
      <c r="EEP3" s="70"/>
      <c r="EEQ3" s="70"/>
      <c r="EER3" s="70"/>
      <c r="EES3" s="70"/>
      <c r="EET3" s="70"/>
      <c r="EEU3" s="70"/>
      <c r="EEV3" s="70"/>
      <c r="EEW3" s="70"/>
      <c r="EEX3" s="70"/>
      <c r="EEY3" s="70"/>
      <c r="EEZ3" s="70"/>
      <c r="EFA3" s="70"/>
      <c r="EFB3" s="70"/>
      <c r="EFC3" s="70"/>
      <c r="EFD3" s="70"/>
      <c r="EFE3" s="70"/>
      <c r="EFF3" s="70"/>
      <c r="EFG3" s="70"/>
      <c r="EFH3" s="70"/>
      <c r="EFI3" s="70"/>
      <c r="EFJ3" s="70"/>
      <c r="EFK3" s="70"/>
      <c r="EFL3" s="70"/>
      <c r="EFM3" s="70"/>
      <c r="EFN3" s="70"/>
      <c r="EFO3" s="70"/>
      <c r="EFP3" s="70"/>
      <c r="EFQ3" s="70"/>
      <c r="EFR3" s="70"/>
      <c r="EFS3" s="70"/>
      <c r="EFT3" s="70"/>
      <c r="EFU3" s="70"/>
      <c r="EFV3" s="70"/>
      <c r="EFW3" s="70"/>
      <c r="EFX3" s="70"/>
      <c r="EFY3" s="70"/>
      <c r="EFZ3" s="70"/>
      <c r="EGA3" s="70"/>
      <c r="EGB3" s="70"/>
      <c r="EGC3" s="70"/>
      <c r="EGD3" s="70"/>
      <c r="EGE3" s="70"/>
      <c r="EGF3" s="70"/>
      <c r="EGG3" s="70"/>
      <c r="EGH3" s="70"/>
      <c r="EGI3" s="70"/>
      <c r="EGJ3" s="70"/>
      <c r="EGK3" s="70"/>
      <c r="EGL3" s="70"/>
      <c r="EGM3" s="70"/>
      <c r="EGN3" s="70"/>
      <c r="EGO3" s="70"/>
      <c r="EGP3" s="70"/>
      <c r="EGQ3" s="70"/>
      <c r="EGR3" s="70"/>
      <c r="EGS3" s="70"/>
      <c r="EGT3" s="70"/>
      <c r="EGU3" s="70"/>
      <c r="EGV3" s="70"/>
      <c r="EGW3" s="70"/>
      <c r="EGX3" s="70"/>
      <c r="EGY3" s="70"/>
      <c r="EGZ3" s="70"/>
      <c r="EHA3" s="70"/>
      <c r="EHB3" s="70"/>
      <c r="EHC3" s="70"/>
      <c r="EHD3" s="70"/>
      <c r="EHE3" s="70"/>
      <c r="EHF3" s="70"/>
      <c r="EHG3" s="70"/>
      <c r="EHH3" s="70"/>
      <c r="EHI3" s="70"/>
      <c r="EHJ3" s="70"/>
      <c r="EHK3" s="70"/>
      <c r="EHL3" s="70"/>
      <c r="EHM3" s="70"/>
      <c r="EHN3" s="70"/>
      <c r="EHO3" s="70"/>
      <c r="EHP3" s="70"/>
      <c r="EHQ3" s="70"/>
      <c r="EHR3" s="70"/>
      <c r="EHS3" s="70"/>
      <c r="EHT3" s="70"/>
      <c r="EHU3" s="70"/>
      <c r="EHV3" s="70"/>
      <c r="EHW3" s="70"/>
      <c r="EHX3" s="70"/>
      <c r="EHY3" s="70"/>
      <c r="EHZ3" s="70"/>
      <c r="EIA3" s="70"/>
      <c r="EIB3" s="70"/>
      <c r="EIC3" s="70"/>
      <c r="EID3" s="70"/>
      <c r="EIE3" s="70"/>
      <c r="EIF3" s="70"/>
      <c r="EIG3" s="70"/>
      <c r="EIH3" s="70"/>
      <c r="EII3" s="70"/>
      <c r="EIJ3" s="70"/>
      <c r="EIK3" s="70"/>
      <c r="EIL3" s="70"/>
      <c r="EIM3" s="70"/>
      <c r="EIN3" s="70"/>
      <c r="EIO3" s="70"/>
      <c r="EIP3" s="70"/>
      <c r="EIQ3" s="70"/>
      <c r="EIR3" s="70"/>
      <c r="EIS3" s="70"/>
      <c r="EIT3" s="70"/>
      <c r="EIU3" s="70"/>
      <c r="EIV3" s="70"/>
      <c r="EIW3" s="70"/>
      <c r="EIX3" s="70"/>
      <c r="EIY3" s="70"/>
      <c r="EIZ3" s="70"/>
      <c r="EJA3" s="70"/>
      <c r="EJB3" s="70"/>
      <c r="EJC3" s="70"/>
      <c r="EJD3" s="70"/>
      <c r="EJE3" s="70"/>
      <c r="EJF3" s="70"/>
      <c r="EJG3" s="70"/>
      <c r="EJH3" s="70"/>
      <c r="EJI3" s="70"/>
      <c r="EJJ3" s="70"/>
      <c r="EJK3" s="70"/>
      <c r="EJL3" s="70"/>
      <c r="EJM3" s="70"/>
      <c r="EJN3" s="70"/>
      <c r="EJO3" s="70"/>
      <c r="EJP3" s="70"/>
      <c r="EJQ3" s="70"/>
      <c r="EJR3" s="70"/>
      <c r="EJS3" s="70"/>
      <c r="EJT3" s="70"/>
      <c r="EJU3" s="70"/>
      <c r="EJV3" s="70"/>
      <c r="EJW3" s="70"/>
      <c r="EJX3" s="70"/>
      <c r="EJY3" s="70"/>
      <c r="EJZ3" s="70"/>
      <c r="EKA3" s="70"/>
      <c r="EKB3" s="70"/>
      <c r="EKC3" s="70"/>
      <c r="EKD3" s="70"/>
      <c r="EKE3" s="70"/>
      <c r="EKF3" s="70"/>
      <c r="EKG3" s="70"/>
      <c r="EKH3" s="70"/>
      <c r="EKI3" s="70"/>
      <c r="EKJ3" s="70"/>
      <c r="EKK3" s="70"/>
      <c r="EKL3" s="70"/>
      <c r="EKM3" s="70"/>
      <c r="EKN3" s="70"/>
      <c r="EKO3" s="70"/>
      <c r="EKP3" s="70"/>
      <c r="EKQ3" s="70"/>
      <c r="EKR3" s="70"/>
      <c r="EKS3" s="70"/>
      <c r="EKT3" s="70"/>
      <c r="EKU3" s="70"/>
      <c r="EKV3" s="70"/>
      <c r="EKW3" s="70"/>
      <c r="EKX3" s="70"/>
      <c r="EKY3" s="70"/>
      <c r="EKZ3" s="70"/>
      <c r="ELA3" s="70"/>
      <c r="ELB3" s="70"/>
      <c r="ELC3" s="70"/>
      <c r="ELD3" s="70"/>
      <c r="ELE3" s="70"/>
      <c r="ELF3" s="70"/>
      <c r="ELG3" s="70"/>
      <c r="ELH3" s="70"/>
      <c r="ELI3" s="70"/>
      <c r="ELJ3" s="70"/>
      <c r="ELK3" s="70"/>
      <c r="ELL3" s="70"/>
      <c r="ELM3" s="70"/>
      <c r="ELN3" s="70"/>
      <c r="ELO3" s="70"/>
      <c r="ELP3" s="70"/>
      <c r="ELQ3" s="70"/>
      <c r="ELR3" s="70"/>
      <c r="ELS3" s="70"/>
      <c r="ELT3" s="70"/>
      <c r="ELU3" s="70"/>
      <c r="ELV3" s="70"/>
      <c r="ELW3" s="70"/>
      <c r="ELX3" s="70"/>
      <c r="ELY3" s="70"/>
      <c r="ELZ3" s="70"/>
      <c r="EMA3" s="70"/>
      <c r="EMB3" s="70"/>
      <c r="EMC3" s="70"/>
      <c r="EMD3" s="70"/>
      <c r="EME3" s="70"/>
      <c r="EMF3" s="70"/>
      <c r="EMG3" s="70"/>
      <c r="EMH3" s="70"/>
      <c r="EMI3" s="70"/>
      <c r="EMJ3" s="70"/>
      <c r="EMK3" s="70"/>
      <c r="EML3" s="70"/>
      <c r="EMM3" s="70"/>
      <c r="EMN3" s="70"/>
      <c r="EMO3" s="70"/>
      <c r="EMP3" s="70"/>
      <c r="EMQ3" s="70"/>
      <c r="EMR3" s="70"/>
      <c r="EMS3" s="70"/>
      <c r="EMT3" s="70"/>
      <c r="EMU3" s="70"/>
      <c r="EMV3" s="70"/>
      <c r="EMW3" s="70"/>
      <c r="EMX3" s="70"/>
      <c r="EMY3" s="70"/>
      <c r="EMZ3" s="70"/>
      <c r="ENA3" s="70"/>
      <c r="ENB3" s="70"/>
      <c r="ENC3" s="70"/>
      <c r="END3" s="70"/>
      <c r="ENE3" s="70"/>
      <c r="ENF3" s="70"/>
      <c r="ENG3" s="70"/>
      <c r="ENH3" s="70"/>
      <c r="ENI3" s="70"/>
      <c r="ENJ3" s="70"/>
      <c r="ENK3" s="70"/>
      <c r="ENL3" s="70"/>
      <c r="ENM3" s="70"/>
      <c r="ENN3" s="70"/>
      <c r="ENO3" s="70"/>
      <c r="ENP3" s="70"/>
      <c r="ENQ3" s="70"/>
      <c r="ENR3" s="70"/>
      <c r="ENS3" s="70"/>
      <c r="ENT3" s="70"/>
      <c r="ENU3" s="70"/>
      <c r="ENV3" s="70"/>
      <c r="ENW3" s="70"/>
      <c r="ENX3" s="70"/>
      <c r="ENY3" s="70"/>
      <c r="ENZ3" s="70"/>
      <c r="EOA3" s="70"/>
      <c r="EOB3" s="70"/>
      <c r="EOC3" s="70"/>
      <c r="EOD3" s="70"/>
      <c r="EOE3" s="70"/>
      <c r="EOF3" s="70"/>
      <c r="EOG3" s="70"/>
      <c r="EOH3" s="70"/>
      <c r="EOI3" s="70"/>
      <c r="EOJ3" s="70"/>
      <c r="EOK3" s="70"/>
      <c r="EOL3" s="70"/>
      <c r="EOM3" s="70"/>
      <c r="EON3" s="70"/>
      <c r="EOO3" s="70"/>
      <c r="EOP3" s="70"/>
      <c r="EOQ3" s="70"/>
      <c r="EOR3" s="70"/>
      <c r="EOS3" s="70"/>
      <c r="EOT3" s="70"/>
      <c r="EOU3" s="70"/>
      <c r="EOV3" s="70"/>
      <c r="EOW3" s="70"/>
      <c r="EOX3" s="70"/>
      <c r="EOY3" s="70"/>
      <c r="EOZ3" s="70"/>
      <c r="EPA3" s="70"/>
      <c r="EPB3" s="70"/>
      <c r="EPC3" s="70"/>
      <c r="EPD3" s="70"/>
      <c r="EPE3" s="70"/>
      <c r="EPF3" s="70"/>
      <c r="EPG3" s="70"/>
      <c r="EPH3" s="70"/>
      <c r="EPI3" s="70"/>
      <c r="EPJ3" s="70"/>
      <c r="EPK3" s="70"/>
      <c r="EPL3" s="70"/>
      <c r="EPM3" s="70"/>
      <c r="EPN3" s="70"/>
      <c r="EPO3" s="70"/>
      <c r="EPP3" s="70"/>
      <c r="EPQ3" s="70"/>
      <c r="EPR3" s="70"/>
      <c r="EPS3" s="70"/>
      <c r="EPT3" s="70"/>
      <c r="EPU3" s="70"/>
      <c r="EPV3" s="70"/>
      <c r="EPW3" s="70"/>
      <c r="EPX3" s="70"/>
      <c r="EPY3" s="70"/>
      <c r="EPZ3" s="70"/>
      <c r="EQA3" s="70"/>
      <c r="EQB3" s="70"/>
      <c r="EQC3" s="70"/>
      <c r="EQD3" s="70"/>
      <c r="EQE3" s="70"/>
      <c r="EQF3" s="70"/>
      <c r="EQG3" s="70"/>
      <c r="EQH3" s="70"/>
      <c r="EQI3" s="70"/>
      <c r="EQJ3" s="70"/>
      <c r="EQK3" s="70"/>
      <c r="EQL3" s="70"/>
      <c r="EQM3" s="70"/>
      <c r="EQN3" s="70"/>
      <c r="EQO3" s="70"/>
      <c r="EQP3" s="70"/>
      <c r="EQQ3" s="70"/>
      <c r="EQR3" s="70"/>
      <c r="EQS3" s="70"/>
      <c r="EQT3" s="70"/>
      <c r="EQU3" s="70"/>
      <c r="EQV3" s="70"/>
      <c r="EQW3" s="70"/>
      <c r="EQX3" s="70"/>
      <c r="EQY3" s="70"/>
      <c r="EQZ3" s="70"/>
      <c r="ERA3" s="70"/>
      <c r="ERB3" s="70"/>
      <c r="ERC3" s="70"/>
      <c r="ERD3" s="70"/>
      <c r="ERE3" s="70"/>
      <c r="ERF3" s="70"/>
      <c r="ERG3" s="70"/>
      <c r="ERH3" s="70"/>
      <c r="ERI3" s="70"/>
      <c r="ERJ3" s="70"/>
      <c r="ERK3" s="70"/>
      <c r="ERL3" s="70"/>
      <c r="ERM3" s="70"/>
      <c r="ERN3" s="70"/>
      <c r="ERO3" s="70"/>
      <c r="ERP3" s="70"/>
      <c r="ERQ3" s="70"/>
      <c r="ERR3" s="70"/>
      <c r="ERS3" s="70"/>
      <c r="ERT3" s="70"/>
      <c r="ERU3" s="70"/>
      <c r="ERV3" s="70"/>
      <c r="ERW3" s="70"/>
      <c r="ERX3" s="70"/>
      <c r="ERY3" s="70"/>
      <c r="ERZ3" s="70"/>
      <c r="ESA3" s="70"/>
      <c r="ESB3" s="70"/>
      <c r="ESC3" s="70"/>
      <c r="ESD3" s="70"/>
      <c r="ESE3" s="70"/>
      <c r="ESF3" s="70"/>
      <c r="ESG3" s="70"/>
      <c r="ESH3" s="70"/>
      <c r="ESI3" s="70"/>
      <c r="ESJ3" s="70"/>
      <c r="ESK3" s="70"/>
      <c r="ESL3" s="70"/>
      <c r="ESM3" s="70"/>
      <c r="ESN3" s="70"/>
      <c r="ESO3" s="70"/>
      <c r="ESP3" s="70"/>
      <c r="ESQ3" s="70"/>
      <c r="ESR3" s="70"/>
      <c r="ESS3" s="70"/>
      <c r="EST3" s="70"/>
      <c r="ESU3" s="70"/>
      <c r="ESV3" s="70"/>
      <c r="ESW3" s="70"/>
      <c r="ESX3" s="70"/>
      <c r="ESY3" s="70"/>
      <c r="ESZ3" s="70"/>
      <c r="ETA3" s="70"/>
      <c r="ETB3" s="70"/>
      <c r="ETC3" s="70"/>
      <c r="ETD3" s="70"/>
      <c r="ETE3" s="70"/>
      <c r="ETF3" s="70"/>
      <c r="ETG3" s="70"/>
      <c r="ETH3" s="70"/>
      <c r="ETI3" s="70"/>
      <c r="ETJ3" s="70"/>
      <c r="ETK3" s="70"/>
      <c r="ETL3" s="70"/>
      <c r="ETM3" s="70"/>
      <c r="ETN3" s="70"/>
      <c r="ETO3" s="70"/>
      <c r="ETP3" s="70"/>
      <c r="ETQ3" s="70"/>
      <c r="ETR3" s="70"/>
      <c r="ETS3" s="70"/>
      <c r="ETT3" s="70"/>
      <c r="ETU3" s="70"/>
      <c r="ETV3" s="70"/>
      <c r="ETW3" s="70"/>
      <c r="ETX3" s="70"/>
      <c r="ETY3" s="70"/>
      <c r="ETZ3" s="70"/>
      <c r="EUA3" s="70"/>
      <c r="EUB3" s="70"/>
      <c r="EUC3" s="70"/>
      <c r="EUD3" s="70"/>
      <c r="EUE3" s="70"/>
      <c r="EUF3" s="70"/>
      <c r="EUG3" s="70"/>
      <c r="EUH3" s="70"/>
      <c r="EUI3" s="70"/>
      <c r="EUJ3" s="70"/>
      <c r="EUK3" s="70"/>
      <c r="EUL3" s="70"/>
      <c r="EUM3" s="70"/>
      <c r="EUN3" s="70"/>
      <c r="EUO3" s="70"/>
      <c r="EUP3" s="70"/>
      <c r="EUQ3" s="70"/>
      <c r="EUR3" s="70"/>
      <c r="EUS3" s="70"/>
      <c r="EUT3" s="70"/>
      <c r="EUU3" s="70"/>
      <c r="EUV3" s="70"/>
      <c r="EUW3" s="70"/>
      <c r="EUX3" s="70"/>
      <c r="EUY3" s="70"/>
      <c r="EUZ3" s="70"/>
      <c r="EVA3" s="70"/>
      <c r="EVB3" s="70"/>
      <c r="EVC3" s="70"/>
      <c r="EVD3" s="70"/>
      <c r="EVE3" s="70"/>
      <c r="EVF3" s="70"/>
      <c r="EVG3" s="70"/>
      <c r="EVH3" s="70"/>
      <c r="EVI3" s="70"/>
      <c r="EVJ3" s="70"/>
      <c r="EVK3" s="70"/>
      <c r="EVL3" s="70"/>
      <c r="EVM3" s="70"/>
      <c r="EVN3" s="70"/>
      <c r="EVO3" s="70"/>
      <c r="EVP3" s="70"/>
      <c r="EVQ3" s="70"/>
      <c r="EVR3" s="70"/>
      <c r="EVS3" s="70"/>
      <c r="EVT3" s="70"/>
      <c r="EVU3" s="70"/>
      <c r="EVV3" s="70"/>
      <c r="EVW3" s="70"/>
      <c r="EVX3" s="70"/>
      <c r="EVY3" s="70"/>
      <c r="EVZ3" s="70"/>
      <c r="EWA3" s="70"/>
      <c r="EWB3" s="70"/>
      <c r="EWC3" s="70"/>
      <c r="EWD3" s="70"/>
      <c r="EWE3" s="70"/>
      <c r="EWF3" s="70"/>
      <c r="EWG3" s="70"/>
      <c r="EWH3" s="70"/>
      <c r="EWI3" s="70"/>
      <c r="EWJ3" s="70"/>
      <c r="EWK3" s="70"/>
      <c r="EWL3" s="70"/>
      <c r="EWM3" s="70"/>
      <c r="EWN3" s="70"/>
      <c r="EWO3" s="70"/>
      <c r="EWP3" s="70"/>
      <c r="EWQ3" s="70"/>
      <c r="EWR3" s="70"/>
      <c r="EWS3" s="70"/>
      <c r="EWT3" s="70"/>
      <c r="EWU3" s="70"/>
      <c r="EWV3" s="70"/>
      <c r="EWW3" s="70"/>
      <c r="EWX3" s="70"/>
      <c r="EWY3" s="70"/>
      <c r="EWZ3" s="70"/>
      <c r="EXA3" s="70"/>
      <c r="EXB3" s="70"/>
      <c r="EXC3" s="70"/>
      <c r="EXD3" s="70"/>
      <c r="EXE3" s="70"/>
      <c r="EXF3" s="70"/>
      <c r="EXG3" s="70"/>
      <c r="EXH3" s="70"/>
      <c r="EXI3" s="70"/>
      <c r="EXJ3" s="70"/>
      <c r="EXK3" s="70"/>
      <c r="EXL3" s="70"/>
      <c r="EXM3" s="70"/>
      <c r="EXN3" s="70"/>
      <c r="EXO3" s="70"/>
      <c r="EXP3" s="70"/>
      <c r="EXQ3" s="70"/>
      <c r="EXR3" s="70"/>
      <c r="EXS3" s="70"/>
      <c r="EXT3" s="70"/>
      <c r="EXU3" s="70"/>
      <c r="EXV3" s="70"/>
      <c r="EXW3" s="70"/>
      <c r="EXX3" s="70"/>
      <c r="EXY3" s="70"/>
      <c r="EXZ3" s="70"/>
      <c r="EYA3" s="70"/>
      <c r="EYB3" s="70"/>
      <c r="EYC3" s="70"/>
      <c r="EYD3" s="70"/>
      <c r="EYE3" s="70"/>
      <c r="EYF3" s="70"/>
      <c r="EYG3" s="70"/>
      <c r="EYH3" s="70"/>
      <c r="EYI3" s="70"/>
      <c r="EYJ3" s="70"/>
      <c r="EYK3" s="70"/>
      <c r="EYL3" s="70"/>
      <c r="EYM3" s="70"/>
      <c r="EYN3" s="70"/>
      <c r="EYO3" s="70"/>
      <c r="EYP3" s="70"/>
      <c r="EYQ3" s="70"/>
      <c r="EYR3" s="70"/>
      <c r="EYS3" s="70"/>
      <c r="EYT3" s="70"/>
      <c r="EYU3" s="70"/>
      <c r="EYV3" s="70"/>
      <c r="EYW3" s="70"/>
      <c r="EYX3" s="70"/>
      <c r="EYY3" s="70"/>
      <c r="EYZ3" s="70"/>
      <c r="EZA3" s="70"/>
      <c r="EZB3" s="70"/>
      <c r="EZC3" s="70"/>
      <c r="EZD3" s="70"/>
      <c r="EZE3" s="70"/>
      <c r="EZF3" s="70"/>
      <c r="EZG3" s="70"/>
      <c r="EZH3" s="70"/>
      <c r="EZI3" s="70"/>
      <c r="EZJ3" s="70"/>
      <c r="EZK3" s="70"/>
      <c r="EZL3" s="70"/>
      <c r="EZM3" s="70"/>
      <c r="EZN3" s="70"/>
      <c r="EZO3" s="70"/>
      <c r="EZP3" s="70"/>
      <c r="EZQ3" s="70"/>
      <c r="EZR3" s="70"/>
      <c r="EZS3" s="70"/>
      <c r="EZT3" s="70"/>
      <c r="EZU3" s="70"/>
      <c r="EZV3" s="70"/>
      <c r="EZW3" s="70"/>
      <c r="EZX3" s="70"/>
      <c r="EZY3" s="70"/>
      <c r="EZZ3" s="70"/>
      <c r="FAA3" s="70"/>
      <c r="FAB3" s="70"/>
      <c r="FAC3" s="70"/>
      <c r="FAD3" s="70"/>
      <c r="FAE3" s="70"/>
      <c r="FAF3" s="70"/>
      <c r="FAG3" s="70"/>
      <c r="FAH3" s="70"/>
      <c r="FAI3" s="70"/>
      <c r="FAJ3" s="70"/>
      <c r="FAK3" s="70"/>
      <c r="FAL3" s="70"/>
      <c r="FAM3" s="70"/>
      <c r="FAN3" s="70"/>
      <c r="FAO3" s="70"/>
      <c r="FAP3" s="70"/>
      <c r="FAQ3" s="70"/>
      <c r="FAR3" s="70"/>
      <c r="FAS3" s="70"/>
      <c r="FAT3" s="70"/>
      <c r="FAU3" s="70"/>
      <c r="FAV3" s="70"/>
      <c r="FAW3" s="70"/>
      <c r="FAX3" s="70"/>
      <c r="FAY3" s="70"/>
      <c r="FAZ3" s="70"/>
      <c r="FBA3" s="70"/>
      <c r="FBB3" s="70"/>
      <c r="FBC3" s="70"/>
      <c r="FBD3" s="70"/>
      <c r="FBE3" s="70"/>
      <c r="FBF3" s="70"/>
      <c r="FBG3" s="70"/>
      <c r="FBH3" s="70"/>
      <c r="FBI3" s="70"/>
      <c r="FBJ3" s="70"/>
      <c r="FBK3" s="70"/>
      <c r="FBL3" s="70"/>
      <c r="FBM3" s="70"/>
      <c r="FBN3" s="70"/>
      <c r="FBO3" s="70"/>
      <c r="FBP3" s="70"/>
      <c r="FBQ3" s="70"/>
      <c r="FBR3" s="70"/>
      <c r="FBS3" s="70"/>
      <c r="FBT3" s="70"/>
      <c r="FBU3" s="70"/>
      <c r="FBV3" s="70"/>
      <c r="FBW3" s="70"/>
      <c r="FBX3" s="70"/>
      <c r="FBY3" s="70"/>
      <c r="FBZ3" s="70"/>
      <c r="FCA3" s="70"/>
      <c r="FCB3" s="70"/>
      <c r="FCC3" s="70"/>
      <c r="FCD3" s="70"/>
      <c r="FCE3" s="70"/>
      <c r="FCF3" s="70"/>
      <c r="FCG3" s="70"/>
      <c r="FCH3" s="70"/>
      <c r="FCI3" s="70"/>
      <c r="FCJ3" s="70"/>
      <c r="FCK3" s="70"/>
      <c r="FCL3" s="70"/>
      <c r="FCM3" s="70"/>
      <c r="FCN3" s="70"/>
      <c r="FCO3" s="70"/>
      <c r="FCP3" s="70"/>
      <c r="FCQ3" s="70"/>
      <c r="FCR3" s="70"/>
      <c r="FCS3" s="70"/>
      <c r="FCT3" s="70"/>
      <c r="FCU3" s="70"/>
      <c r="FCV3" s="70"/>
      <c r="FCW3" s="70"/>
      <c r="FCX3" s="70"/>
      <c r="FCY3" s="70"/>
      <c r="FCZ3" s="70"/>
      <c r="FDA3" s="70"/>
      <c r="FDB3" s="70"/>
      <c r="FDC3" s="70"/>
      <c r="FDD3" s="70"/>
      <c r="FDE3" s="70"/>
      <c r="FDF3" s="70"/>
      <c r="FDG3" s="70"/>
      <c r="FDH3" s="70"/>
      <c r="FDI3" s="70"/>
      <c r="FDJ3" s="70"/>
      <c r="FDK3" s="70"/>
      <c r="FDL3" s="70"/>
      <c r="FDM3" s="70"/>
      <c r="FDN3" s="70"/>
      <c r="FDO3" s="70"/>
      <c r="FDP3" s="70"/>
      <c r="FDQ3" s="70"/>
      <c r="FDR3" s="70"/>
      <c r="FDS3" s="70"/>
      <c r="FDT3" s="70"/>
      <c r="FDU3" s="70"/>
      <c r="FDV3" s="70"/>
      <c r="FDW3" s="70"/>
      <c r="FDX3" s="70"/>
      <c r="FDY3" s="70"/>
      <c r="FDZ3" s="70"/>
      <c r="FEA3" s="70"/>
      <c r="FEB3" s="70"/>
      <c r="FEC3" s="70"/>
      <c r="FED3" s="70"/>
      <c r="FEE3" s="70"/>
      <c r="FEF3" s="70"/>
      <c r="FEG3" s="70"/>
      <c r="FEH3" s="70"/>
      <c r="FEI3" s="70"/>
      <c r="FEJ3" s="70"/>
      <c r="FEK3" s="70"/>
      <c r="FEL3" s="70"/>
      <c r="FEM3" s="70"/>
      <c r="FEN3" s="70"/>
      <c r="FEO3" s="70"/>
      <c r="FEP3" s="70"/>
      <c r="FEQ3" s="70"/>
      <c r="FER3" s="70"/>
      <c r="FES3" s="70"/>
      <c r="FET3" s="70"/>
      <c r="FEU3" s="70"/>
      <c r="FEV3" s="70"/>
      <c r="FEW3" s="70"/>
      <c r="FEX3" s="70"/>
      <c r="FEY3" s="70"/>
      <c r="FEZ3" s="70"/>
      <c r="FFA3" s="70"/>
      <c r="FFB3" s="70"/>
      <c r="FFC3" s="70"/>
      <c r="FFD3" s="70"/>
      <c r="FFE3" s="70"/>
      <c r="FFF3" s="70"/>
      <c r="FFG3" s="70"/>
      <c r="FFH3" s="70"/>
      <c r="FFI3" s="70"/>
      <c r="FFJ3" s="70"/>
      <c r="FFK3" s="70"/>
      <c r="FFL3" s="70"/>
      <c r="FFM3" s="70"/>
      <c r="FFN3" s="70"/>
      <c r="FFO3" s="70"/>
      <c r="FFP3" s="70"/>
      <c r="FFQ3" s="70"/>
      <c r="FFR3" s="70"/>
      <c r="FFS3" s="70"/>
      <c r="FFT3" s="70"/>
      <c r="FFU3" s="70"/>
      <c r="FFV3" s="70"/>
      <c r="FFW3" s="70"/>
      <c r="FFX3" s="70"/>
      <c r="FFY3" s="70"/>
      <c r="FFZ3" s="70"/>
      <c r="FGA3" s="70"/>
      <c r="FGB3" s="70"/>
      <c r="FGC3" s="70"/>
      <c r="FGD3" s="70"/>
      <c r="FGE3" s="70"/>
      <c r="FGF3" s="70"/>
      <c r="FGG3" s="70"/>
      <c r="FGH3" s="70"/>
      <c r="FGI3" s="70"/>
      <c r="FGJ3" s="70"/>
      <c r="FGK3" s="70"/>
      <c r="FGL3" s="70"/>
      <c r="FGM3" s="70"/>
      <c r="FGN3" s="70"/>
      <c r="FGO3" s="70"/>
      <c r="FGP3" s="70"/>
      <c r="FGQ3" s="70"/>
      <c r="FGR3" s="70"/>
      <c r="FGS3" s="70"/>
      <c r="FGT3" s="70"/>
      <c r="FGU3" s="70"/>
      <c r="FGV3" s="70"/>
      <c r="FGW3" s="70"/>
      <c r="FGX3" s="70"/>
      <c r="FGY3" s="70"/>
      <c r="FGZ3" s="70"/>
      <c r="FHA3" s="70"/>
      <c r="FHB3" s="70"/>
      <c r="FHC3" s="70"/>
      <c r="FHD3" s="70"/>
      <c r="FHE3" s="70"/>
      <c r="FHF3" s="70"/>
      <c r="FHG3" s="70"/>
      <c r="FHH3" s="70"/>
      <c r="FHI3" s="70"/>
      <c r="FHJ3" s="70"/>
      <c r="FHK3" s="70"/>
      <c r="FHL3" s="70"/>
      <c r="FHM3" s="70"/>
      <c r="FHN3" s="70"/>
      <c r="FHO3" s="70"/>
      <c r="FHP3" s="70"/>
      <c r="FHQ3" s="70"/>
      <c r="FHR3" s="70"/>
      <c r="FHS3" s="70"/>
      <c r="FHT3" s="70"/>
      <c r="FHU3" s="70"/>
      <c r="FHV3" s="70"/>
      <c r="FHW3" s="70"/>
      <c r="FHX3" s="70"/>
      <c r="FHY3" s="70"/>
      <c r="FHZ3" s="70"/>
      <c r="FIA3" s="70"/>
      <c r="FIB3" s="70"/>
      <c r="FIC3" s="70"/>
      <c r="FID3" s="70"/>
      <c r="FIE3" s="70"/>
      <c r="FIF3" s="70"/>
      <c r="FIG3" s="70"/>
      <c r="FIH3" s="70"/>
      <c r="FII3" s="70"/>
      <c r="FIJ3" s="70"/>
      <c r="FIK3" s="70"/>
      <c r="FIL3" s="70"/>
      <c r="FIM3" s="70"/>
      <c r="FIN3" s="70"/>
      <c r="FIO3" s="70"/>
      <c r="FIP3" s="70"/>
      <c r="FIQ3" s="70"/>
      <c r="FIR3" s="70"/>
      <c r="FIS3" s="70"/>
      <c r="FIT3" s="70"/>
      <c r="FIU3" s="70"/>
      <c r="FIV3" s="70"/>
      <c r="FIW3" s="70"/>
      <c r="FIX3" s="70"/>
      <c r="FIY3" s="70"/>
      <c r="FIZ3" s="70"/>
      <c r="FJA3" s="70"/>
      <c r="FJB3" s="70"/>
      <c r="FJC3" s="70"/>
      <c r="FJD3" s="70"/>
      <c r="FJE3" s="70"/>
      <c r="FJF3" s="70"/>
      <c r="FJG3" s="70"/>
      <c r="FJH3" s="70"/>
      <c r="FJI3" s="70"/>
      <c r="FJJ3" s="70"/>
      <c r="FJK3" s="70"/>
      <c r="FJL3" s="70"/>
      <c r="FJM3" s="70"/>
      <c r="FJN3" s="70"/>
      <c r="FJO3" s="70"/>
      <c r="FJP3" s="70"/>
      <c r="FJQ3" s="70"/>
      <c r="FJR3" s="70"/>
      <c r="FJS3" s="70"/>
      <c r="FJT3" s="70"/>
      <c r="FJU3" s="70"/>
      <c r="FJV3" s="70"/>
      <c r="FJW3" s="70"/>
      <c r="FJX3" s="70"/>
      <c r="FJY3" s="70"/>
      <c r="FJZ3" s="70"/>
      <c r="FKA3" s="70"/>
      <c r="FKB3" s="70"/>
      <c r="FKC3" s="70"/>
      <c r="FKD3" s="70"/>
      <c r="FKE3" s="70"/>
      <c r="FKF3" s="70"/>
      <c r="FKG3" s="70"/>
      <c r="FKH3" s="70"/>
      <c r="FKI3" s="70"/>
      <c r="FKJ3" s="70"/>
      <c r="FKK3" s="70"/>
      <c r="FKL3" s="70"/>
      <c r="FKM3" s="70"/>
      <c r="FKN3" s="70"/>
      <c r="FKO3" s="70"/>
      <c r="FKP3" s="70"/>
      <c r="FKQ3" s="70"/>
      <c r="FKR3" s="70"/>
      <c r="FKS3" s="70"/>
      <c r="FKT3" s="70"/>
      <c r="FKU3" s="70"/>
      <c r="FKV3" s="70"/>
      <c r="FKW3" s="70"/>
      <c r="FKX3" s="70"/>
      <c r="FKY3" s="70"/>
      <c r="FKZ3" s="70"/>
      <c r="FLA3" s="70"/>
      <c r="FLB3" s="70"/>
      <c r="FLC3" s="70"/>
      <c r="FLD3" s="70"/>
      <c r="FLE3" s="70"/>
      <c r="FLF3" s="70"/>
      <c r="FLG3" s="70"/>
      <c r="FLH3" s="70"/>
      <c r="FLI3" s="70"/>
      <c r="FLJ3" s="70"/>
      <c r="FLK3" s="70"/>
      <c r="FLL3" s="70"/>
      <c r="FLM3" s="70"/>
      <c r="FLN3" s="70"/>
      <c r="FLO3" s="70"/>
      <c r="FLP3" s="70"/>
      <c r="FLQ3" s="70"/>
      <c r="FLR3" s="70"/>
      <c r="FLS3" s="70"/>
      <c r="FLT3" s="70"/>
      <c r="FLU3" s="70"/>
      <c r="FLV3" s="70"/>
      <c r="FLW3" s="70"/>
      <c r="FLX3" s="70"/>
      <c r="FLY3" s="70"/>
      <c r="FLZ3" s="70"/>
      <c r="FMA3" s="70"/>
      <c r="FMB3" s="70"/>
      <c r="FMC3" s="70"/>
      <c r="FMD3" s="70"/>
      <c r="FME3" s="70"/>
      <c r="FMF3" s="70"/>
      <c r="FMG3" s="70"/>
      <c r="FMH3" s="70"/>
      <c r="FMI3" s="70"/>
      <c r="FMJ3" s="70"/>
      <c r="FMK3" s="70"/>
      <c r="FML3" s="70"/>
      <c r="FMM3" s="70"/>
      <c r="FMN3" s="70"/>
      <c r="FMO3" s="70"/>
      <c r="FMP3" s="70"/>
      <c r="FMQ3" s="70"/>
      <c r="FMR3" s="70"/>
      <c r="FMS3" s="70"/>
      <c r="FMT3" s="70"/>
      <c r="FMU3" s="70"/>
      <c r="FMV3" s="70"/>
      <c r="FMW3" s="70"/>
      <c r="FMX3" s="70"/>
      <c r="FMY3" s="70"/>
      <c r="FMZ3" s="70"/>
      <c r="FNA3" s="70"/>
      <c r="FNB3" s="70"/>
      <c r="FNC3" s="70"/>
      <c r="FND3" s="70"/>
      <c r="FNE3" s="70"/>
      <c r="FNF3" s="70"/>
      <c r="FNG3" s="70"/>
      <c r="FNH3" s="70"/>
      <c r="FNI3" s="70"/>
      <c r="FNJ3" s="70"/>
      <c r="FNK3" s="70"/>
      <c r="FNL3" s="70"/>
      <c r="FNM3" s="70"/>
      <c r="FNN3" s="70"/>
      <c r="FNO3" s="70"/>
      <c r="FNP3" s="70"/>
      <c r="FNQ3" s="70"/>
      <c r="FNR3" s="70"/>
      <c r="FNS3" s="70"/>
      <c r="FNT3" s="70"/>
      <c r="FNU3" s="70"/>
      <c r="FNV3" s="70"/>
      <c r="FNW3" s="70"/>
      <c r="FNX3" s="70"/>
      <c r="FNY3" s="70"/>
      <c r="FNZ3" s="70"/>
      <c r="FOA3" s="70"/>
      <c r="FOB3" s="70"/>
      <c r="FOC3" s="70"/>
      <c r="FOD3" s="70"/>
      <c r="FOE3" s="70"/>
      <c r="FOF3" s="70"/>
      <c r="FOG3" s="70"/>
      <c r="FOH3" s="70"/>
      <c r="FOI3" s="70"/>
      <c r="FOJ3" s="70"/>
      <c r="FOK3" s="70"/>
      <c r="FOL3" s="70"/>
      <c r="FOM3" s="70"/>
      <c r="FON3" s="70"/>
      <c r="FOO3" s="70"/>
      <c r="FOP3" s="70"/>
      <c r="FOQ3" s="70"/>
      <c r="FOR3" s="70"/>
      <c r="FOS3" s="70"/>
      <c r="FOT3" s="70"/>
      <c r="FOU3" s="70"/>
      <c r="FOV3" s="70"/>
      <c r="FOW3" s="70"/>
      <c r="FOX3" s="70"/>
      <c r="FOY3" s="70"/>
      <c r="FOZ3" s="70"/>
      <c r="FPA3" s="70"/>
      <c r="FPB3" s="70"/>
      <c r="FPC3" s="70"/>
      <c r="FPD3" s="70"/>
      <c r="FPE3" s="70"/>
      <c r="FPF3" s="70"/>
      <c r="FPG3" s="70"/>
      <c r="FPH3" s="70"/>
      <c r="FPI3" s="70"/>
      <c r="FPJ3" s="70"/>
      <c r="FPK3" s="70"/>
      <c r="FPL3" s="70"/>
      <c r="FPM3" s="70"/>
      <c r="FPN3" s="70"/>
      <c r="FPO3" s="70"/>
      <c r="FPP3" s="70"/>
      <c r="FPQ3" s="70"/>
      <c r="FPR3" s="70"/>
      <c r="FPS3" s="70"/>
      <c r="FPT3" s="70"/>
      <c r="FPU3" s="70"/>
      <c r="FPV3" s="70"/>
      <c r="FPW3" s="70"/>
      <c r="FPX3" s="70"/>
      <c r="FPY3" s="70"/>
      <c r="FPZ3" s="70"/>
      <c r="FQA3" s="70"/>
      <c r="FQB3" s="70"/>
      <c r="FQC3" s="70"/>
      <c r="FQD3" s="70"/>
      <c r="FQE3" s="70"/>
      <c r="FQF3" s="70"/>
      <c r="FQG3" s="70"/>
      <c r="FQH3" s="70"/>
      <c r="FQI3" s="70"/>
      <c r="FQJ3" s="70"/>
      <c r="FQK3" s="70"/>
      <c r="FQL3" s="70"/>
      <c r="FQM3" s="70"/>
      <c r="FQN3" s="70"/>
      <c r="FQO3" s="70"/>
      <c r="FQP3" s="70"/>
      <c r="FQQ3" s="70"/>
      <c r="FQR3" s="70"/>
      <c r="FQS3" s="70"/>
      <c r="FQT3" s="70"/>
      <c r="FQU3" s="70"/>
      <c r="FQV3" s="70"/>
      <c r="FQW3" s="70"/>
      <c r="FQX3" s="70"/>
      <c r="FQY3" s="70"/>
      <c r="FQZ3" s="70"/>
      <c r="FRA3" s="70"/>
      <c r="FRB3" s="70"/>
      <c r="FRC3" s="70"/>
      <c r="FRD3" s="70"/>
      <c r="FRE3" s="70"/>
      <c r="FRF3" s="70"/>
      <c r="FRG3" s="70"/>
      <c r="FRH3" s="70"/>
      <c r="FRI3" s="70"/>
      <c r="FRJ3" s="70"/>
      <c r="FRK3" s="70"/>
      <c r="FRL3" s="70"/>
      <c r="FRM3" s="70"/>
      <c r="FRN3" s="70"/>
      <c r="FRO3" s="70"/>
      <c r="FRP3" s="70"/>
      <c r="FRQ3" s="70"/>
      <c r="FRR3" s="70"/>
      <c r="FRS3" s="70"/>
      <c r="FRT3" s="70"/>
      <c r="FRU3" s="70"/>
      <c r="FRV3" s="70"/>
      <c r="FRW3" s="70"/>
      <c r="FRX3" s="70"/>
      <c r="FRY3" s="70"/>
      <c r="FRZ3" s="70"/>
      <c r="FSA3" s="70"/>
      <c r="FSB3" s="70"/>
      <c r="FSC3" s="70"/>
      <c r="FSD3" s="70"/>
      <c r="FSE3" s="70"/>
      <c r="FSF3" s="70"/>
      <c r="FSG3" s="70"/>
      <c r="FSH3" s="70"/>
      <c r="FSI3" s="70"/>
      <c r="FSJ3" s="70"/>
      <c r="FSK3" s="70"/>
      <c r="FSL3" s="70"/>
      <c r="FSM3" s="70"/>
      <c r="FSN3" s="70"/>
      <c r="FSO3" s="70"/>
      <c r="FSP3" s="70"/>
      <c r="FSQ3" s="70"/>
      <c r="FSR3" s="70"/>
      <c r="FSS3" s="70"/>
      <c r="FST3" s="70"/>
      <c r="FSU3" s="70"/>
      <c r="FSV3" s="70"/>
      <c r="FSW3" s="70"/>
      <c r="FSX3" s="70"/>
      <c r="FSY3" s="70"/>
      <c r="FSZ3" s="70"/>
      <c r="FTA3" s="70"/>
      <c r="FTB3" s="70"/>
      <c r="FTC3" s="70"/>
      <c r="FTD3" s="70"/>
      <c r="FTE3" s="70"/>
      <c r="FTF3" s="70"/>
      <c r="FTG3" s="70"/>
      <c r="FTH3" s="70"/>
      <c r="FTI3" s="70"/>
      <c r="FTJ3" s="70"/>
      <c r="FTK3" s="70"/>
      <c r="FTL3" s="70"/>
      <c r="FTM3" s="70"/>
      <c r="FTN3" s="70"/>
      <c r="FTO3" s="70"/>
      <c r="FTP3" s="70"/>
      <c r="FTQ3" s="70"/>
      <c r="FTR3" s="70"/>
      <c r="FTS3" s="70"/>
      <c r="FTT3" s="70"/>
      <c r="FTU3" s="70"/>
      <c r="FTV3" s="70"/>
      <c r="FTW3" s="70"/>
      <c r="FTX3" s="70"/>
      <c r="FTY3" s="70"/>
      <c r="FTZ3" s="70"/>
      <c r="FUA3" s="70"/>
      <c r="FUB3" s="70"/>
      <c r="FUC3" s="70"/>
      <c r="FUD3" s="70"/>
      <c r="FUE3" s="70"/>
      <c r="FUF3" s="70"/>
      <c r="FUG3" s="70"/>
      <c r="FUH3" s="70"/>
      <c r="FUI3" s="70"/>
      <c r="FUJ3" s="70"/>
      <c r="FUK3" s="70"/>
      <c r="FUL3" s="70"/>
      <c r="FUM3" s="70"/>
      <c r="FUN3" s="70"/>
      <c r="FUO3" s="70"/>
      <c r="FUP3" s="70"/>
      <c r="FUQ3" s="70"/>
      <c r="FUR3" s="70"/>
      <c r="FUS3" s="70"/>
      <c r="FUT3" s="70"/>
      <c r="FUU3" s="70"/>
      <c r="FUV3" s="70"/>
      <c r="FUW3" s="70"/>
      <c r="FUX3" s="70"/>
      <c r="FUY3" s="70"/>
      <c r="FUZ3" s="70"/>
      <c r="FVA3" s="70"/>
      <c r="FVB3" s="70"/>
      <c r="FVC3" s="70"/>
      <c r="FVD3" s="70"/>
      <c r="FVE3" s="70"/>
      <c r="FVF3" s="70"/>
      <c r="FVG3" s="70"/>
      <c r="FVH3" s="70"/>
      <c r="FVI3" s="70"/>
      <c r="FVJ3" s="70"/>
      <c r="FVK3" s="70"/>
      <c r="FVL3" s="70"/>
      <c r="FVM3" s="70"/>
      <c r="FVN3" s="70"/>
      <c r="FVO3" s="70"/>
      <c r="FVP3" s="70"/>
      <c r="FVQ3" s="70"/>
      <c r="FVR3" s="70"/>
      <c r="FVS3" s="70"/>
      <c r="FVT3" s="70"/>
      <c r="FVU3" s="70"/>
      <c r="FVV3" s="70"/>
      <c r="FVW3" s="70"/>
      <c r="FVX3" s="70"/>
      <c r="FVY3" s="70"/>
      <c r="FVZ3" s="70"/>
      <c r="FWA3" s="70"/>
      <c r="FWB3" s="70"/>
      <c r="FWC3" s="70"/>
      <c r="FWD3" s="70"/>
      <c r="FWE3" s="70"/>
      <c r="FWF3" s="70"/>
      <c r="FWG3" s="70"/>
      <c r="FWH3" s="70"/>
      <c r="FWI3" s="70"/>
      <c r="FWJ3" s="70"/>
      <c r="FWK3" s="70"/>
      <c r="FWL3" s="70"/>
      <c r="FWM3" s="70"/>
      <c r="FWN3" s="70"/>
      <c r="FWO3" s="70"/>
      <c r="FWP3" s="70"/>
      <c r="FWQ3" s="70"/>
      <c r="FWR3" s="70"/>
      <c r="FWS3" s="70"/>
      <c r="FWT3" s="70"/>
      <c r="FWU3" s="70"/>
      <c r="FWV3" s="70"/>
      <c r="FWW3" s="70"/>
      <c r="FWX3" s="70"/>
      <c r="FWY3" s="70"/>
      <c r="FWZ3" s="70"/>
      <c r="FXA3" s="70"/>
      <c r="FXB3" s="70"/>
      <c r="FXC3" s="70"/>
      <c r="FXD3" s="70"/>
      <c r="FXE3" s="70"/>
      <c r="FXF3" s="70"/>
      <c r="FXG3" s="70"/>
      <c r="FXH3" s="70"/>
      <c r="FXI3" s="70"/>
      <c r="FXJ3" s="70"/>
      <c r="FXK3" s="70"/>
      <c r="FXL3" s="70"/>
      <c r="FXM3" s="70"/>
      <c r="FXN3" s="70"/>
      <c r="FXO3" s="70"/>
      <c r="FXP3" s="70"/>
      <c r="FXQ3" s="70"/>
      <c r="FXR3" s="70"/>
      <c r="FXS3" s="70"/>
      <c r="FXT3" s="70"/>
      <c r="FXU3" s="70"/>
      <c r="FXV3" s="70"/>
      <c r="FXW3" s="70"/>
      <c r="FXX3" s="70"/>
      <c r="FXY3" s="70"/>
      <c r="FXZ3" s="70"/>
      <c r="FYA3" s="70"/>
      <c r="FYB3" s="70"/>
      <c r="FYC3" s="70"/>
      <c r="FYD3" s="70"/>
      <c r="FYE3" s="70"/>
      <c r="FYF3" s="70"/>
      <c r="FYG3" s="70"/>
      <c r="FYH3" s="70"/>
      <c r="FYI3" s="70"/>
      <c r="FYJ3" s="70"/>
      <c r="FYK3" s="70"/>
      <c r="FYL3" s="70"/>
      <c r="FYM3" s="70"/>
      <c r="FYN3" s="70"/>
      <c r="FYO3" s="70"/>
      <c r="FYP3" s="70"/>
      <c r="FYQ3" s="70"/>
      <c r="FYR3" s="70"/>
      <c r="FYS3" s="70"/>
      <c r="FYT3" s="70"/>
      <c r="FYU3" s="70"/>
      <c r="FYV3" s="70"/>
      <c r="FYW3" s="70"/>
      <c r="FYX3" s="70"/>
      <c r="FYY3" s="70"/>
      <c r="FYZ3" s="70"/>
      <c r="FZA3" s="70"/>
      <c r="FZB3" s="70"/>
      <c r="FZC3" s="70"/>
      <c r="FZD3" s="70"/>
      <c r="FZE3" s="70"/>
      <c r="FZF3" s="70"/>
      <c r="FZG3" s="70"/>
      <c r="FZH3" s="70"/>
      <c r="FZI3" s="70"/>
      <c r="FZJ3" s="70"/>
      <c r="FZK3" s="70"/>
      <c r="FZL3" s="70"/>
      <c r="FZM3" s="70"/>
      <c r="FZN3" s="70"/>
      <c r="FZO3" s="70"/>
      <c r="FZP3" s="70"/>
      <c r="FZQ3" s="70"/>
      <c r="FZR3" s="70"/>
      <c r="FZS3" s="70"/>
      <c r="FZT3" s="70"/>
      <c r="FZU3" s="70"/>
      <c r="FZV3" s="70"/>
      <c r="FZW3" s="70"/>
      <c r="FZX3" s="70"/>
      <c r="FZY3" s="70"/>
      <c r="FZZ3" s="70"/>
      <c r="GAA3" s="70"/>
      <c r="GAB3" s="70"/>
      <c r="GAC3" s="70"/>
      <c r="GAD3" s="70"/>
      <c r="GAE3" s="70"/>
      <c r="GAF3" s="70"/>
      <c r="GAG3" s="70"/>
      <c r="GAH3" s="70"/>
      <c r="GAI3" s="70"/>
      <c r="GAJ3" s="70"/>
      <c r="GAK3" s="70"/>
      <c r="GAL3" s="70"/>
      <c r="GAM3" s="70"/>
      <c r="GAN3" s="70"/>
      <c r="GAO3" s="70"/>
      <c r="GAP3" s="70"/>
      <c r="GAQ3" s="70"/>
      <c r="GAR3" s="70"/>
      <c r="GAS3" s="70"/>
      <c r="GAT3" s="70"/>
      <c r="GAU3" s="70"/>
      <c r="GAV3" s="70"/>
      <c r="GAW3" s="70"/>
      <c r="GAX3" s="70"/>
      <c r="GAY3" s="70"/>
      <c r="GAZ3" s="70"/>
      <c r="GBA3" s="70"/>
      <c r="GBB3" s="70"/>
      <c r="GBC3" s="70"/>
      <c r="GBD3" s="70"/>
      <c r="GBE3" s="70"/>
      <c r="GBF3" s="70"/>
      <c r="GBG3" s="70"/>
      <c r="GBH3" s="70"/>
      <c r="GBI3" s="70"/>
      <c r="GBJ3" s="70"/>
      <c r="GBK3" s="70"/>
      <c r="GBL3" s="70"/>
      <c r="GBM3" s="70"/>
      <c r="GBN3" s="70"/>
      <c r="GBO3" s="70"/>
      <c r="GBP3" s="70"/>
      <c r="GBQ3" s="70"/>
      <c r="GBR3" s="70"/>
      <c r="GBS3" s="70"/>
      <c r="GBT3" s="70"/>
      <c r="GBU3" s="70"/>
      <c r="GBV3" s="70"/>
      <c r="GBW3" s="70"/>
      <c r="GBX3" s="70"/>
      <c r="GBY3" s="70"/>
      <c r="GBZ3" s="70"/>
      <c r="GCA3" s="70"/>
      <c r="GCB3" s="70"/>
      <c r="GCC3" s="70"/>
      <c r="GCD3" s="70"/>
      <c r="GCE3" s="70"/>
      <c r="GCF3" s="70"/>
      <c r="GCG3" s="70"/>
      <c r="GCH3" s="70"/>
      <c r="GCI3" s="70"/>
      <c r="GCJ3" s="70"/>
      <c r="GCK3" s="70"/>
      <c r="GCL3" s="70"/>
      <c r="GCM3" s="70"/>
      <c r="GCN3" s="70"/>
      <c r="GCO3" s="70"/>
      <c r="GCP3" s="70"/>
      <c r="GCQ3" s="70"/>
      <c r="GCR3" s="70"/>
      <c r="GCS3" s="70"/>
      <c r="GCT3" s="70"/>
      <c r="GCU3" s="70"/>
      <c r="GCV3" s="70"/>
      <c r="GCW3" s="70"/>
      <c r="GCX3" s="70"/>
      <c r="GCY3" s="70"/>
      <c r="GCZ3" s="70"/>
      <c r="GDA3" s="70"/>
      <c r="GDB3" s="70"/>
      <c r="GDC3" s="70"/>
      <c r="GDD3" s="70"/>
      <c r="GDE3" s="70"/>
      <c r="GDF3" s="70"/>
      <c r="GDG3" s="70"/>
      <c r="GDH3" s="70"/>
      <c r="GDI3" s="70"/>
      <c r="GDJ3" s="70"/>
      <c r="GDK3" s="70"/>
      <c r="GDL3" s="70"/>
      <c r="GDM3" s="70"/>
      <c r="GDN3" s="70"/>
      <c r="GDO3" s="70"/>
      <c r="GDP3" s="70"/>
      <c r="GDQ3" s="70"/>
      <c r="GDR3" s="70"/>
      <c r="GDS3" s="70"/>
      <c r="GDT3" s="70"/>
      <c r="GDU3" s="70"/>
      <c r="GDV3" s="70"/>
      <c r="GDW3" s="70"/>
      <c r="GDX3" s="70"/>
      <c r="GDY3" s="70"/>
      <c r="GDZ3" s="70"/>
      <c r="GEA3" s="70"/>
      <c r="GEB3" s="70"/>
      <c r="GEC3" s="70"/>
      <c r="GED3" s="70"/>
      <c r="GEE3" s="70"/>
      <c r="GEF3" s="70"/>
      <c r="GEG3" s="70"/>
      <c r="GEH3" s="70"/>
      <c r="GEI3" s="70"/>
      <c r="GEJ3" s="70"/>
      <c r="GEK3" s="70"/>
      <c r="GEL3" s="70"/>
      <c r="GEM3" s="70"/>
      <c r="GEN3" s="70"/>
      <c r="GEO3" s="70"/>
      <c r="GEP3" s="70"/>
      <c r="GEQ3" s="70"/>
      <c r="GER3" s="70"/>
      <c r="GES3" s="70"/>
      <c r="GET3" s="70"/>
      <c r="GEU3" s="70"/>
      <c r="GEV3" s="70"/>
      <c r="GEW3" s="70"/>
      <c r="GEX3" s="70"/>
      <c r="GEY3" s="70"/>
      <c r="GEZ3" s="70"/>
      <c r="GFA3" s="70"/>
      <c r="GFB3" s="70"/>
      <c r="GFC3" s="70"/>
      <c r="GFD3" s="70"/>
      <c r="GFE3" s="70"/>
      <c r="GFF3" s="70"/>
      <c r="GFG3" s="70"/>
      <c r="GFH3" s="70"/>
      <c r="GFI3" s="70"/>
      <c r="GFJ3" s="70"/>
      <c r="GFK3" s="70"/>
      <c r="GFL3" s="70"/>
      <c r="GFM3" s="70"/>
      <c r="GFN3" s="70"/>
      <c r="GFO3" s="70"/>
      <c r="GFP3" s="70"/>
      <c r="GFQ3" s="70"/>
      <c r="GFR3" s="70"/>
      <c r="GFS3" s="70"/>
      <c r="GFT3" s="70"/>
      <c r="GFU3" s="70"/>
      <c r="GFV3" s="70"/>
      <c r="GFW3" s="70"/>
      <c r="GFX3" s="70"/>
      <c r="GFY3" s="70"/>
      <c r="GFZ3" s="70"/>
      <c r="GGA3" s="70"/>
      <c r="GGB3" s="70"/>
      <c r="GGC3" s="70"/>
      <c r="GGD3" s="70"/>
      <c r="GGE3" s="70"/>
      <c r="GGF3" s="70"/>
      <c r="GGG3" s="70"/>
      <c r="GGH3" s="70"/>
      <c r="GGI3" s="70"/>
      <c r="GGJ3" s="70"/>
      <c r="GGK3" s="70"/>
      <c r="GGL3" s="70"/>
      <c r="GGM3" s="70"/>
      <c r="GGN3" s="70"/>
      <c r="GGO3" s="70"/>
      <c r="GGP3" s="70"/>
      <c r="GGQ3" s="70"/>
      <c r="GGR3" s="70"/>
      <c r="GGS3" s="70"/>
      <c r="GGT3" s="70"/>
      <c r="GGU3" s="70"/>
      <c r="GGV3" s="70"/>
      <c r="GGW3" s="70"/>
      <c r="GGX3" s="70"/>
      <c r="GGY3" s="70"/>
      <c r="GGZ3" s="70"/>
      <c r="GHA3" s="70"/>
      <c r="GHB3" s="70"/>
      <c r="GHC3" s="70"/>
      <c r="GHD3" s="70"/>
      <c r="GHE3" s="70"/>
      <c r="GHF3" s="70"/>
      <c r="GHG3" s="70"/>
      <c r="GHH3" s="70"/>
      <c r="GHI3" s="70"/>
      <c r="GHJ3" s="70"/>
      <c r="GHK3" s="70"/>
      <c r="GHL3" s="70"/>
      <c r="GHM3" s="70"/>
      <c r="GHN3" s="70"/>
      <c r="GHO3" s="70"/>
      <c r="GHP3" s="70"/>
      <c r="GHQ3" s="70"/>
      <c r="GHR3" s="70"/>
      <c r="GHS3" s="70"/>
      <c r="GHT3" s="70"/>
      <c r="GHU3" s="70"/>
      <c r="GHV3" s="70"/>
      <c r="GHW3" s="70"/>
      <c r="GHX3" s="70"/>
      <c r="GHY3" s="70"/>
      <c r="GHZ3" s="70"/>
      <c r="GIA3" s="70"/>
      <c r="GIB3" s="70"/>
      <c r="GIC3" s="70"/>
      <c r="GID3" s="70"/>
      <c r="GIE3" s="70"/>
      <c r="GIF3" s="70"/>
      <c r="GIG3" s="70"/>
      <c r="GIH3" s="70"/>
      <c r="GII3" s="70"/>
      <c r="GIJ3" s="70"/>
      <c r="GIK3" s="70"/>
      <c r="GIL3" s="70"/>
      <c r="GIM3" s="70"/>
      <c r="GIN3" s="70"/>
      <c r="GIO3" s="70"/>
      <c r="GIP3" s="70"/>
      <c r="GIQ3" s="70"/>
      <c r="GIR3" s="70"/>
      <c r="GIS3" s="70"/>
      <c r="GIT3" s="70"/>
      <c r="GIU3" s="70"/>
      <c r="GIV3" s="70"/>
      <c r="GIW3" s="70"/>
      <c r="GIX3" s="70"/>
      <c r="GIY3" s="70"/>
      <c r="GIZ3" s="70"/>
      <c r="GJA3" s="70"/>
      <c r="GJB3" s="70"/>
      <c r="GJC3" s="70"/>
      <c r="GJD3" s="70"/>
      <c r="GJE3" s="70"/>
      <c r="GJF3" s="70"/>
      <c r="GJG3" s="70"/>
      <c r="GJH3" s="70"/>
      <c r="GJI3" s="70"/>
      <c r="GJJ3" s="70"/>
      <c r="GJK3" s="70"/>
      <c r="GJL3" s="70"/>
      <c r="GJM3" s="70"/>
      <c r="GJN3" s="70"/>
      <c r="GJO3" s="70"/>
      <c r="GJP3" s="70"/>
      <c r="GJQ3" s="70"/>
      <c r="GJR3" s="70"/>
      <c r="GJS3" s="70"/>
      <c r="GJT3" s="70"/>
      <c r="GJU3" s="70"/>
      <c r="GJV3" s="70"/>
      <c r="GJW3" s="70"/>
      <c r="GJX3" s="70"/>
      <c r="GJY3" s="70"/>
      <c r="GJZ3" s="70"/>
      <c r="GKA3" s="70"/>
      <c r="GKB3" s="70"/>
      <c r="GKC3" s="70"/>
      <c r="GKD3" s="70"/>
      <c r="GKE3" s="70"/>
      <c r="GKF3" s="70"/>
      <c r="GKG3" s="70"/>
      <c r="GKH3" s="70"/>
      <c r="GKI3" s="70"/>
      <c r="GKJ3" s="70"/>
      <c r="GKK3" s="70"/>
      <c r="GKL3" s="70"/>
      <c r="GKM3" s="70"/>
      <c r="GKN3" s="70"/>
      <c r="GKO3" s="70"/>
      <c r="GKP3" s="70"/>
      <c r="GKQ3" s="70"/>
      <c r="GKR3" s="70"/>
      <c r="GKS3" s="70"/>
      <c r="GKT3" s="70"/>
      <c r="GKU3" s="70"/>
      <c r="GKV3" s="70"/>
      <c r="GKW3" s="70"/>
      <c r="GKX3" s="70"/>
      <c r="GKY3" s="70"/>
      <c r="GKZ3" s="70"/>
      <c r="GLA3" s="70"/>
      <c r="GLB3" s="70"/>
      <c r="GLC3" s="70"/>
      <c r="GLD3" s="70"/>
      <c r="GLE3" s="70"/>
      <c r="GLF3" s="70"/>
      <c r="GLG3" s="70"/>
      <c r="GLH3" s="70"/>
      <c r="GLI3" s="70"/>
      <c r="GLJ3" s="70"/>
      <c r="GLK3" s="70"/>
      <c r="GLL3" s="70"/>
      <c r="GLM3" s="70"/>
      <c r="GLN3" s="70"/>
      <c r="GLO3" s="70"/>
      <c r="GLP3" s="70"/>
      <c r="GLQ3" s="70"/>
      <c r="GLR3" s="70"/>
      <c r="GLS3" s="70"/>
      <c r="GLT3" s="70"/>
      <c r="GLU3" s="70"/>
      <c r="GLV3" s="70"/>
      <c r="GLW3" s="70"/>
      <c r="GLX3" s="70"/>
      <c r="GLY3" s="70"/>
      <c r="GLZ3" s="70"/>
      <c r="GMA3" s="70"/>
      <c r="GMB3" s="70"/>
      <c r="GMC3" s="70"/>
      <c r="GMD3" s="70"/>
      <c r="GME3" s="70"/>
      <c r="GMF3" s="70"/>
      <c r="GMG3" s="70"/>
      <c r="GMH3" s="70"/>
      <c r="GMI3" s="70"/>
      <c r="GMJ3" s="70"/>
      <c r="GMK3" s="70"/>
      <c r="GML3" s="70"/>
      <c r="GMM3" s="70"/>
      <c r="GMN3" s="70"/>
      <c r="GMO3" s="70"/>
      <c r="GMP3" s="70"/>
      <c r="GMQ3" s="70"/>
      <c r="GMR3" s="70"/>
      <c r="GMS3" s="70"/>
      <c r="GMT3" s="70"/>
      <c r="GMU3" s="70"/>
      <c r="GMV3" s="70"/>
      <c r="GMW3" s="70"/>
      <c r="GMX3" s="70"/>
      <c r="GMY3" s="70"/>
      <c r="GMZ3" s="70"/>
      <c r="GNA3" s="70"/>
      <c r="GNB3" s="70"/>
      <c r="GNC3" s="70"/>
      <c r="GND3" s="70"/>
      <c r="GNE3" s="70"/>
      <c r="GNF3" s="70"/>
      <c r="GNG3" s="70"/>
      <c r="GNH3" s="70"/>
      <c r="GNI3" s="70"/>
      <c r="GNJ3" s="70"/>
      <c r="GNK3" s="70"/>
      <c r="GNL3" s="70"/>
      <c r="GNM3" s="70"/>
      <c r="GNN3" s="70"/>
      <c r="GNO3" s="70"/>
      <c r="GNP3" s="70"/>
      <c r="GNQ3" s="70"/>
      <c r="GNR3" s="70"/>
      <c r="GNS3" s="70"/>
      <c r="GNT3" s="70"/>
      <c r="GNU3" s="70"/>
      <c r="GNV3" s="70"/>
      <c r="GNW3" s="70"/>
      <c r="GNX3" s="70"/>
      <c r="GNY3" s="70"/>
      <c r="GNZ3" s="70"/>
      <c r="GOA3" s="70"/>
      <c r="GOB3" s="70"/>
      <c r="GOC3" s="70"/>
      <c r="GOD3" s="70"/>
      <c r="GOE3" s="70"/>
      <c r="GOF3" s="70"/>
      <c r="GOG3" s="70"/>
      <c r="GOH3" s="70"/>
      <c r="GOI3" s="70"/>
      <c r="GOJ3" s="70"/>
      <c r="GOK3" s="70"/>
      <c r="GOL3" s="70"/>
      <c r="GOM3" s="70"/>
      <c r="GON3" s="70"/>
      <c r="GOO3" s="70"/>
      <c r="GOP3" s="70"/>
      <c r="GOQ3" s="70"/>
      <c r="GOR3" s="70"/>
      <c r="GOS3" s="70"/>
      <c r="GOT3" s="70"/>
      <c r="GOU3" s="70"/>
      <c r="GOV3" s="70"/>
      <c r="GOW3" s="70"/>
      <c r="GOX3" s="70"/>
      <c r="GOY3" s="70"/>
      <c r="GOZ3" s="70"/>
      <c r="GPA3" s="70"/>
      <c r="GPB3" s="70"/>
      <c r="GPC3" s="70"/>
      <c r="GPD3" s="70"/>
      <c r="GPE3" s="70"/>
      <c r="GPF3" s="70"/>
      <c r="GPG3" s="70"/>
      <c r="GPH3" s="70"/>
      <c r="GPI3" s="70"/>
      <c r="GPJ3" s="70"/>
      <c r="GPK3" s="70"/>
      <c r="GPL3" s="70"/>
      <c r="GPM3" s="70"/>
      <c r="GPN3" s="70"/>
      <c r="GPO3" s="70"/>
      <c r="GPP3" s="70"/>
      <c r="GPQ3" s="70"/>
      <c r="GPR3" s="70"/>
      <c r="GPS3" s="70"/>
      <c r="GPT3" s="70"/>
      <c r="GPU3" s="70"/>
      <c r="GPV3" s="70"/>
      <c r="GPW3" s="70"/>
      <c r="GPX3" s="70"/>
      <c r="GPY3" s="70"/>
      <c r="GPZ3" s="70"/>
      <c r="GQA3" s="70"/>
      <c r="GQB3" s="70"/>
      <c r="GQC3" s="70"/>
      <c r="GQD3" s="70"/>
      <c r="GQE3" s="70"/>
      <c r="GQF3" s="70"/>
      <c r="GQG3" s="70"/>
      <c r="GQH3" s="70"/>
      <c r="GQI3" s="70"/>
      <c r="GQJ3" s="70"/>
      <c r="GQK3" s="70"/>
      <c r="GQL3" s="70"/>
      <c r="GQM3" s="70"/>
      <c r="GQN3" s="70"/>
      <c r="GQO3" s="70"/>
      <c r="GQP3" s="70"/>
      <c r="GQQ3" s="70"/>
      <c r="GQR3" s="70"/>
      <c r="GQS3" s="70"/>
      <c r="GQT3" s="70"/>
      <c r="GQU3" s="70"/>
      <c r="GQV3" s="70"/>
      <c r="GQW3" s="70"/>
      <c r="GQX3" s="70"/>
      <c r="GQY3" s="70"/>
      <c r="GQZ3" s="70"/>
      <c r="GRA3" s="70"/>
      <c r="GRB3" s="70"/>
      <c r="GRC3" s="70"/>
      <c r="GRD3" s="70"/>
      <c r="GRE3" s="70"/>
      <c r="GRF3" s="70"/>
      <c r="GRG3" s="70"/>
      <c r="GRH3" s="70"/>
      <c r="GRI3" s="70"/>
      <c r="GRJ3" s="70"/>
      <c r="GRK3" s="70"/>
      <c r="GRL3" s="70"/>
      <c r="GRM3" s="70"/>
      <c r="GRN3" s="70"/>
      <c r="GRO3" s="70"/>
      <c r="GRP3" s="70"/>
      <c r="GRQ3" s="70"/>
      <c r="GRR3" s="70"/>
      <c r="GRS3" s="70"/>
      <c r="GRT3" s="70"/>
      <c r="GRU3" s="70"/>
      <c r="GRV3" s="70"/>
      <c r="GRW3" s="70"/>
      <c r="GRX3" s="70"/>
      <c r="GRY3" s="70"/>
      <c r="GRZ3" s="70"/>
      <c r="GSA3" s="70"/>
      <c r="GSB3" s="70"/>
      <c r="GSC3" s="70"/>
      <c r="GSD3" s="70"/>
      <c r="GSE3" s="70"/>
      <c r="GSF3" s="70"/>
      <c r="GSG3" s="70"/>
      <c r="GSH3" s="70"/>
      <c r="GSI3" s="70"/>
      <c r="GSJ3" s="70"/>
      <c r="GSK3" s="70"/>
      <c r="GSL3" s="70"/>
      <c r="GSM3" s="70"/>
      <c r="GSN3" s="70"/>
      <c r="GSO3" s="70"/>
      <c r="GSP3" s="70"/>
      <c r="GSQ3" s="70"/>
      <c r="GSR3" s="70"/>
      <c r="GSS3" s="70"/>
      <c r="GST3" s="70"/>
      <c r="GSU3" s="70"/>
      <c r="GSV3" s="70"/>
      <c r="GSW3" s="70"/>
      <c r="GSX3" s="70"/>
      <c r="GSY3" s="70"/>
      <c r="GSZ3" s="70"/>
      <c r="GTA3" s="70"/>
      <c r="GTB3" s="70"/>
      <c r="GTC3" s="70"/>
      <c r="GTD3" s="70"/>
      <c r="GTE3" s="70"/>
      <c r="GTF3" s="70"/>
      <c r="GTG3" s="70"/>
      <c r="GTH3" s="70"/>
      <c r="GTI3" s="70"/>
      <c r="GTJ3" s="70"/>
      <c r="GTK3" s="70"/>
      <c r="GTL3" s="70"/>
      <c r="GTM3" s="70"/>
      <c r="GTN3" s="70"/>
      <c r="GTO3" s="70"/>
      <c r="GTP3" s="70"/>
      <c r="GTQ3" s="70"/>
      <c r="GTR3" s="70"/>
      <c r="GTS3" s="70"/>
      <c r="GTT3" s="70"/>
      <c r="GTU3" s="70"/>
      <c r="GTV3" s="70"/>
      <c r="GTW3" s="70"/>
      <c r="GTX3" s="70"/>
      <c r="GTY3" s="70"/>
      <c r="GTZ3" s="70"/>
      <c r="GUA3" s="70"/>
      <c r="GUB3" s="70"/>
      <c r="GUC3" s="70"/>
      <c r="GUD3" s="70"/>
      <c r="GUE3" s="70"/>
      <c r="GUF3" s="70"/>
      <c r="GUG3" s="70"/>
      <c r="GUH3" s="70"/>
      <c r="GUI3" s="70"/>
      <c r="GUJ3" s="70"/>
      <c r="GUK3" s="70"/>
      <c r="GUL3" s="70"/>
      <c r="GUM3" s="70"/>
      <c r="GUN3" s="70"/>
      <c r="GUO3" s="70"/>
      <c r="GUP3" s="70"/>
      <c r="GUQ3" s="70"/>
      <c r="GUR3" s="70"/>
      <c r="GUS3" s="70"/>
      <c r="GUT3" s="70"/>
      <c r="GUU3" s="70"/>
      <c r="GUV3" s="70"/>
      <c r="GUW3" s="70"/>
      <c r="GUX3" s="70"/>
      <c r="GUY3" s="70"/>
      <c r="GUZ3" s="70"/>
      <c r="GVA3" s="70"/>
      <c r="GVB3" s="70"/>
      <c r="GVC3" s="70"/>
      <c r="GVD3" s="70"/>
      <c r="GVE3" s="70"/>
      <c r="GVF3" s="70"/>
      <c r="GVG3" s="70"/>
      <c r="GVH3" s="70"/>
      <c r="GVI3" s="70"/>
      <c r="GVJ3" s="70"/>
      <c r="GVK3" s="70"/>
      <c r="GVL3" s="70"/>
      <c r="GVM3" s="70"/>
      <c r="GVN3" s="70"/>
      <c r="GVO3" s="70"/>
      <c r="GVP3" s="70"/>
      <c r="GVQ3" s="70"/>
      <c r="GVR3" s="70"/>
      <c r="GVS3" s="70"/>
      <c r="GVT3" s="70"/>
      <c r="GVU3" s="70"/>
      <c r="GVV3" s="70"/>
      <c r="GVW3" s="70"/>
      <c r="GVX3" s="70"/>
      <c r="GVY3" s="70"/>
      <c r="GVZ3" s="70"/>
      <c r="GWA3" s="70"/>
      <c r="GWB3" s="70"/>
      <c r="GWC3" s="70"/>
      <c r="GWD3" s="70"/>
      <c r="GWE3" s="70"/>
      <c r="GWF3" s="70"/>
      <c r="GWG3" s="70"/>
      <c r="GWH3" s="70"/>
      <c r="GWI3" s="70"/>
      <c r="GWJ3" s="70"/>
      <c r="GWK3" s="70"/>
      <c r="GWL3" s="70"/>
      <c r="GWM3" s="70"/>
      <c r="GWN3" s="70"/>
      <c r="GWO3" s="70"/>
      <c r="GWP3" s="70"/>
      <c r="GWQ3" s="70"/>
      <c r="GWR3" s="70"/>
      <c r="GWS3" s="70"/>
      <c r="GWT3" s="70"/>
      <c r="GWU3" s="70"/>
      <c r="GWV3" s="70"/>
      <c r="GWW3" s="70"/>
      <c r="GWX3" s="70"/>
      <c r="GWY3" s="70"/>
      <c r="GWZ3" s="70"/>
      <c r="GXA3" s="70"/>
      <c r="GXB3" s="70"/>
      <c r="GXC3" s="70"/>
      <c r="GXD3" s="70"/>
      <c r="GXE3" s="70"/>
      <c r="GXF3" s="70"/>
      <c r="GXG3" s="70"/>
      <c r="GXH3" s="70"/>
      <c r="GXI3" s="70"/>
      <c r="GXJ3" s="70"/>
      <c r="GXK3" s="70"/>
      <c r="GXL3" s="70"/>
      <c r="GXM3" s="70"/>
      <c r="GXN3" s="70"/>
      <c r="GXO3" s="70"/>
      <c r="GXP3" s="70"/>
      <c r="GXQ3" s="70"/>
      <c r="GXR3" s="70"/>
      <c r="GXS3" s="70"/>
      <c r="GXT3" s="70"/>
      <c r="GXU3" s="70"/>
      <c r="GXV3" s="70"/>
      <c r="GXW3" s="70"/>
      <c r="GXX3" s="70"/>
      <c r="GXY3" s="70"/>
      <c r="GXZ3" s="70"/>
      <c r="GYA3" s="70"/>
      <c r="GYB3" s="70"/>
      <c r="GYC3" s="70"/>
      <c r="GYD3" s="70"/>
      <c r="GYE3" s="70"/>
      <c r="GYF3" s="70"/>
      <c r="GYG3" s="70"/>
      <c r="GYH3" s="70"/>
      <c r="GYI3" s="70"/>
      <c r="GYJ3" s="70"/>
      <c r="GYK3" s="70"/>
      <c r="GYL3" s="70"/>
      <c r="GYM3" s="70"/>
      <c r="GYN3" s="70"/>
      <c r="GYO3" s="70"/>
      <c r="GYP3" s="70"/>
      <c r="GYQ3" s="70"/>
      <c r="GYR3" s="70"/>
      <c r="GYS3" s="70"/>
      <c r="GYT3" s="70"/>
      <c r="GYU3" s="70"/>
      <c r="GYV3" s="70"/>
      <c r="GYW3" s="70"/>
      <c r="GYX3" s="70"/>
      <c r="GYY3" s="70"/>
      <c r="GYZ3" s="70"/>
      <c r="GZA3" s="70"/>
      <c r="GZB3" s="70"/>
      <c r="GZC3" s="70"/>
      <c r="GZD3" s="70"/>
      <c r="GZE3" s="70"/>
      <c r="GZF3" s="70"/>
      <c r="GZG3" s="70"/>
      <c r="GZH3" s="70"/>
      <c r="GZI3" s="70"/>
      <c r="GZJ3" s="70"/>
      <c r="GZK3" s="70"/>
      <c r="GZL3" s="70"/>
      <c r="GZM3" s="70"/>
      <c r="GZN3" s="70"/>
      <c r="GZO3" s="70"/>
      <c r="GZP3" s="70"/>
      <c r="GZQ3" s="70"/>
      <c r="GZR3" s="70"/>
      <c r="GZS3" s="70"/>
      <c r="GZT3" s="70"/>
      <c r="GZU3" s="70"/>
      <c r="GZV3" s="70"/>
      <c r="GZW3" s="70"/>
      <c r="GZX3" s="70"/>
      <c r="GZY3" s="70"/>
      <c r="GZZ3" s="70"/>
      <c r="HAA3" s="70"/>
      <c r="HAB3" s="70"/>
      <c r="HAC3" s="70"/>
      <c r="HAD3" s="70"/>
      <c r="HAE3" s="70"/>
      <c r="HAF3" s="70"/>
      <c r="HAG3" s="70"/>
      <c r="HAH3" s="70"/>
      <c r="HAI3" s="70"/>
      <c r="HAJ3" s="70"/>
      <c r="HAK3" s="70"/>
      <c r="HAL3" s="70"/>
      <c r="HAM3" s="70"/>
      <c r="HAN3" s="70"/>
      <c r="HAO3" s="70"/>
      <c r="HAP3" s="70"/>
      <c r="HAQ3" s="70"/>
      <c r="HAR3" s="70"/>
      <c r="HAS3" s="70"/>
      <c r="HAT3" s="70"/>
      <c r="HAU3" s="70"/>
      <c r="HAV3" s="70"/>
      <c r="HAW3" s="70"/>
      <c r="HAX3" s="70"/>
      <c r="HAY3" s="70"/>
      <c r="HAZ3" s="70"/>
      <c r="HBA3" s="70"/>
      <c r="HBB3" s="70"/>
      <c r="HBC3" s="70"/>
      <c r="HBD3" s="70"/>
      <c r="HBE3" s="70"/>
      <c r="HBF3" s="70"/>
      <c r="HBG3" s="70"/>
      <c r="HBH3" s="70"/>
      <c r="HBI3" s="70"/>
      <c r="HBJ3" s="70"/>
      <c r="HBK3" s="70"/>
      <c r="HBL3" s="70"/>
      <c r="HBM3" s="70"/>
      <c r="HBN3" s="70"/>
      <c r="HBO3" s="70"/>
      <c r="HBP3" s="70"/>
      <c r="HBQ3" s="70"/>
      <c r="HBR3" s="70"/>
      <c r="HBS3" s="70"/>
      <c r="HBT3" s="70"/>
      <c r="HBU3" s="70"/>
      <c r="HBV3" s="70"/>
      <c r="HBW3" s="70"/>
      <c r="HBX3" s="70"/>
      <c r="HBY3" s="70"/>
      <c r="HBZ3" s="70"/>
      <c r="HCA3" s="70"/>
      <c r="HCB3" s="70"/>
      <c r="HCC3" s="70"/>
      <c r="HCD3" s="70"/>
      <c r="HCE3" s="70"/>
      <c r="HCF3" s="70"/>
      <c r="HCG3" s="70"/>
      <c r="HCH3" s="70"/>
      <c r="HCI3" s="70"/>
      <c r="HCJ3" s="70"/>
      <c r="HCK3" s="70"/>
      <c r="HCL3" s="70"/>
      <c r="HCM3" s="70"/>
      <c r="HCN3" s="70"/>
      <c r="HCO3" s="70"/>
      <c r="HCP3" s="70"/>
      <c r="HCQ3" s="70"/>
      <c r="HCR3" s="70"/>
      <c r="HCS3" s="70"/>
      <c r="HCT3" s="70"/>
      <c r="HCU3" s="70"/>
      <c r="HCV3" s="70"/>
      <c r="HCW3" s="70"/>
      <c r="HCX3" s="70"/>
      <c r="HCY3" s="70"/>
      <c r="HCZ3" s="70"/>
      <c r="HDA3" s="70"/>
      <c r="HDB3" s="70"/>
      <c r="HDC3" s="70"/>
      <c r="HDD3" s="70"/>
      <c r="HDE3" s="70"/>
      <c r="HDF3" s="70"/>
      <c r="HDG3" s="70"/>
      <c r="HDH3" s="70"/>
      <c r="HDI3" s="70"/>
      <c r="HDJ3" s="70"/>
      <c r="HDK3" s="70"/>
      <c r="HDL3" s="70"/>
      <c r="HDM3" s="70"/>
      <c r="HDN3" s="70"/>
      <c r="HDO3" s="70"/>
      <c r="HDP3" s="70"/>
      <c r="HDQ3" s="70"/>
      <c r="HDR3" s="70"/>
      <c r="HDS3" s="70"/>
      <c r="HDT3" s="70"/>
      <c r="HDU3" s="70"/>
      <c r="HDV3" s="70"/>
      <c r="HDW3" s="70"/>
      <c r="HDX3" s="70"/>
      <c r="HDY3" s="70"/>
      <c r="HDZ3" s="70"/>
      <c r="HEA3" s="70"/>
      <c r="HEB3" s="70"/>
      <c r="HEC3" s="70"/>
      <c r="HED3" s="70"/>
      <c r="HEE3" s="70"/>
      <c r="HEF3" s="70"/>
      <c r="HEG3" s="70"/>
      <c r="HEH3" s="70"/>
      <c r="HEI3" s="70"/>
      <c r="HEJ3" s="70"/>
      <c r="HEK3" s="70"/>
      <c r="HEL3" s="70"/>
      <c r="HEM3" s="70"/>
      <c r="HEN3" s="70"/>
      <c r="HEO3" s="70"/>
      <c r="HEP3" s="70"/>
      <c r="HEQ3" s="70"/>
      <c r="HER3" s="70"/>
      <c r="HES3" s="70"/>
      <c r="HET3" s="70"/>
      <c r="HEU3" s="70"/>
      <c r="HEV3" s="70"/>
      <c r="HEW3" s="70"/>
      <c r="HEX3" s="70"/>
      <c r="HEY3" s="70"/>
      <c r="HEZ3" s="70"/>
      <c r="HFA3" s="70"/>
      <c r="HFB3" s="70"/>
      <c r="HFC3" s="70"/>
      <c r="HFD3" s="70"/>
      <c r="HFE3" s="70"/>
      <c r="HFF3" s="70"/>
      <c r="HFG3" s="70"/>
      <c r="HFH3" s="70"/>
      <c r="HFI3" s="70"/>
      <c r="HFJ3" s="70"/>
      <c r="HFK3" s="70"/>
      <c r="HFL3" s="70"/>
      <c r="HFM3" s="70"/>
      <c r="HFN3" s="70"/>
      <c r="HFO3" s="70"/>
      <c r="HFP3" s="70"/>
      <c r="HFQ3" s="70"/>
      <c r="HFR3" s="70"/>
      <c r="HFS3" s="70"/>
      <c r="HFT3" s="70"/>
      <c r="HFU3" s="70"/>
      <c r="HFV3" s="70"/>
      <c r="HFW3" s="70"/>
      <c r="HFX3" s="70"/>
      <c r="HFY3" s="70"/>
      <c r="HFZ3" s="70"/>
      <c r="HGA3" s="70"/>
      <c r="HGB3" s="70"/>
      <c r="HGC3" s="70"/>
      <c r="HGD3" s="70"/>
      <c r="HGE3" s="70"/>
      <c r="HGF3" s="70"/>
      <c r="HGG3" s="70"/>
      <c r="HGH3" s="70"/>
      <c r="HGI3" s="70"/>
      <c r="HGJ3" s="70"/>
      <c r="HGK3" s="70"/>
      <c r="HGL3" s="70"/>
      <c r="HGM3" s="70"/>
      <c r="HGN3" s="70"/>
      <c r="HGO3" s="70"/>
      <c r="HGP3" s="70"/>
      <c r="HGQ3" s="70"/>
      <c r="HGR3" s="70"/>
      <c r="HGS3" s="70"/>
      <c r="HGT3" s="70"/>
      <c r="HGU3" s="70"/>
      <c r="HGV3" s="70"/>
      <c r="HGW3" s="70"/>
      <c r="HGX3" s="70"/>
      <c r="HGY3" s="70"/>
      <c r="HGZ3" s="70"/>
      <c r="HHA3" s="70"/>
      <c r="HHB3" s="70"/>
      <c r="HHC3" s="70"/>
      <c r="HHD3" s="70"/>
      <c r="HHE3" s="70"/>
      <c r="HHF3" s="70"/>
      <c r="HHG3" s="70"/>
      <c r="HHH3" s="70"/>
      <c r="HHI3" s="70"/>
      <c r="HHJ3" s="70"/>
      <c r="HHK3" s="70"/>
      <c r="HHL3" s="70"/>
      <c r="HHM3" s="70"/>
      <c r="HHN3" s="70"/>
      <c r="HHO3" s="70"/>
      <c r="HHP3" s="70"/>
      <c r="HHQ3" s="70"/>
      <c r="HHR3" s="70"/>
      <c r="HHS3" s="70"/>
      <c r="HHT3" s="70"/>
      <c r="HHU3" s="70"/>
      <c r="HHV3" s="70"/>
      <c r="HHW3" s="70"/>
      <c r="HHX3" s="70"/>
      <c r="HHY3" s="70"/>
      <c r="HHZ3" s="70"/>
      <c r="HIA3" s="70"/>
      <c r="HIB3" s="70"/>
      <c r="HIC3" s="70"/>
      <c r="HID3" s="70"/>
      <c r="HIE3" s="70"/>
      <c r="HIF3" s="70"/>
      <c r="HIG3" s="70"/>
      <c r="HIH3" s="70"/>
      <c r="HII3" s="70"/>
      <c r="HIJ3" s="70"/>
      <c r="HIK3" s="70"/>
      <c r="HIL3" s="70"/>
      <c r="HIM3" s="70"/>
      <c r="HIN3" s="70"/>
      <c r="HIO3" s="70"/>
      <c r="HIP3" s="70"/>
      <c r="HIQ3" s="70"/>
      <c r="HIR3" s="70"/>
      <c r="HIS3" s="70"/>
      <c r="HIT3" s="70"/>
      <c r="HIU3" s="70"/>
      <c r="HIV3" s="70"/>
      <c r="HIW3" s="70"/>
      <c r="HIX3" s="70"/>
      <c r="HIY3" s="70"/>
      <c r="HIZ3" s="70"/>
      <c r="HJA3" s="70"/>
      <c r="HJB3" s="70"/>
      <c r="HJC3" s="70"/>
      <c r="HJD3" s="70"/>
      <c r="HJE3" s="70"/>
      <c r="HJF3" s="70"/>
      <c r="HJG3" s="70"/>
      <c r="HJH3" s="70"/>
      <c r="HJI3" s="70"/>
      <c r="HJJ3" s="70"/>
      <c r="HJK3" s="70"/>
      <c r="HJL3" s="70"/>
      <c r="HJM3" s="70"/>
      <c r="HJN3" s="70"/>
      <c r="HJO3" s="70"/>
      <c r="HJP3" s="70"/>
      <c r="HJQ3" s="70"/>
      <c r="HJR3" s="70"/>
      <c r="HJS3" s="70"/>
      <c r="HJT3" s="70"/>
      <c r="HJU3" s="70"/>
      <c r="HJV3" s="70"/>
      <c r="HJW3" s="70"/>
      <c r="HJX3" s="70"/>
      <c r="HJY3" s="70"/>
      <c r="HJZ3" s="70"/>
      <c r="HKA3" s="70"/>
      <c r="HKB3" s="70"/>
      <c r="HKC3" s="70"/>
      <c r="HKD3" s="70"/>
      <c r="HKE3" s="70"/>
      <c r="HKF3" s="70"/>
      <c r="HKG3" s="70"/>
      <c r="HKH3" s="70"/>
      <c r="HKI3" s="70"/>
      <c r="HKJ3" s="70"/>
      <c r="HKK3" s="70"/>
      <c r="HKL3" s="70"/>
      <c r="HKM3" s="70"/>
      <c r="HKN3" s="70"/>
      <c r="HKO3" s="70"/>
      <c r="HKP3" s="70"/>
      <c r="HKQ3" s="70"/>
      <c r="HKR3" s="70"/>
      <c r="HKS3" s="70"/>
      <c r="HKT3" s="70"/>
      <c r="HKU3" s="70"/>
      <c r="HKV3" s="70"/>
      <c r="HKW3" s="70"/>
      <c r="HKX3" s="70"/>
      <c r="HKY3" s="70"/>
      <c r="HKZ3" s="70"/>
      <c r="HLA3" s="70"/>
      <c r="HLB3" s="70"/>
      <c r="HLC3" s="70"/>
      <c r="HLD3" s="70"/>
      <c r="HLE3" s="70"/>
      <c r="HLF3" s="70"/>
      <c r="HLG3" s="70"/>
      <c r="HLH3" s="70"/>
      <c r="HLI3" s="70"/>
      <c r="HLJ3" s="70"/>
      <c r="HLK3" s="70"/>
      <c r="HLL3" s="70"/>
      <c r="HLM3" s="70"/>
      <c r="HLN3" s="70"/>
      <c r="HLO3" s="70"/>
      <c r="HLP3" s="70"/>
      <c r="HLQ3" s="70"/>
      <c r="HLR3" s="70"/>
      <c r="HLS3" s="70"/>
      <c r="HLT3" s="70"/>
      <c r="HLU3" s="70"/>
      <c r="HLV3" s="70"/>
      <c r="HLW3" s="70"/>
      <c r="HLX3" s="70"/>
      <c r="HLY3" s="70"/>
      <c r="HLZ3" s="70"/>
      <c r="HMA3" s="70"/>
      <c r="HMB3" s="70"/>
      <c r="HMC3" s="70"/>
      <c r="HMD3" s="70"/>
      <c r="HME3" s="70"/>
      <c r="HMF3" s="70"/>
      <c r="HMG3" s="70"/>
      <c r="HMH3" s="70"/>
      <c r="HMI3" s="70"/>
      <c r="HMJ3" s="70"/>
      <c r="HMK3" s="70"/>
      <c r="HML3" s="70"/>
      <c r="HMM3" s="70"/>
      <c r="HMN3" s="70"/>
      <c r="HMO3" s="70"/>
      <c r="HMP3" s="70"/>
      <c r="HMQ3" s="70"/>
      <c r="HMR3" s="70"/>
      <c r="HMS3" s="70"/>
      <c r="HMT3" s="70"/>
      <c r="HMU3" s="70"/>
      <c r="HMV3" s="70"/>
      <c r="HMW3" s="70"/>
      <c r="HMX3" s="70"/>
      <c r="HMY3" s="70"/>
      <c r="HMZ3" s="70"/>
      <c r="HNA3" s="70"/>
      <c r="HNB3" s="70"/>
      <c r="HNC3" s="70"/>
      <c r="HND3" s="70"/>
      <c r="HNE3" s="70"/>
      <c r="HNF3" s="70"/>
      <c r="HNG3" s="70"/>
      <c r="HNH3" s="70"/>
      <c r="HNI3" s="70"/>
      <c r="HNJ3" s="70"/>
      <c r="HNK3" s="70"/>
      <c r="HNL3" s="70"/>
      <c r="HNM3" s="70"/>
      <c r="HNN3" s="70"/>
      <c r="HNO3" s="70"/>
      <c r="HNP3" s="70"/>
      <c r="HNQ3" s="70"/>
      <c r="HNR3" s="70"/>
      <c r="HNS3" s="70"/>
      <c r="HNT3" s="70"/>
      <c r="HNU3" s="70"/>
      <c r="HNV3" s="70"/>
      <c r="HNW3" s="70"/>
      <c r="HNX3" s="70"/>
      <c r="HNY3" s="70"/>
      <c r="HNZ3" s="70"/>
      <c r="HOA3" s="70"/>
      <c r="HOB3" s="70"/>
      <c r="HOC3" s="70"/>
      <c r="HOD3" s="70"/>
      <c r="HOE3" s="70"/>
      <c r="HOF3" s="70"/>
      <c r="HOG3" s="70"/>
      <c r="HOH3" s="70"/>
      <c r="HOI3" s="70"/>
      <c r="HOJ3" s="70"/>
      <c r="HOK3" s="70"/>
      <c r="HOL3" s="70"/>
      <c r="HOM3" s="70"/>
      <c r="HON3" s="70"/>
      <c r="HOO3" s="70"/>
      <c r="HOP3" s="70"/>
      <c r="HOQ3" s="70"/>
      <c r="HOR3" s="70"/>
      <c r="HOS3" s="70"/>
      <c r="HOT3" s="70"/>
      <c r="HOU3" s="70"/>
      <c r="HOV3" s="70"/>
      <c r="HOW3" s="70"/>
      <c r="HOX3" s="70"/>
      <c r="HOY3" s="70"/>
      <c r="HOZ3" s="70"/>
      <c r="HPA3" s="70"/>
      <c r="HPB3" s="70"/>
      <c r="HPC3" s="70"/>
      <c r="HPD3" s="70"/>
      <c r="HPE3" s="70"/>
      <c r="HPF3" s="70"/>
      <c r="HPG3" s="70"/>
      <c r="HPH3" s="70"/>
      <c r="HPI3" s="70"/>
      <c r="HPJ3" s="70"/>
      <c r="HPK3" s="70"/>
      <c r="HPL3" s="70"/>
      <c r="HPM3" s="70"/>
      <c r="HPN3" s="70"/>
      <c r="HPO3" s="70"/>
      <c r="HPP3" s="70"/>
      <c r="HPQ3" s="70"/>
      <c r="HPR3" s="70"/>
      <c r="HPS3" s="70"/>
      <c r="HPT3" s="70"/>
      <c r="HPU3" s="70"/>
      <c r="HPV3" s="70"/>
      <c r="HPW3" s="70"/>
      <c r="HPX3" s="70"/>
      <c r="HPY3" s="70"/>
      <c r="HPZ3" s="70"/>
      <c r="HQA3" s="70"/>
      <c r="HQB3" s="70"/>
      <c r="HQC3" s="70"/>
      <c r="HQD3" s="70"/>
      <c r="HQE3" s="70"/>
      <c r="HQF3" s="70"/>
      <c r="HQG3" s="70"/>
      <c r="HQH3" s="70"/>
      <c r="HQI3" s="70"/>
      <c r="HQJ3" s="70"/>
      <c r="HQK3" s="70"/>
      <c r="HQL3" s="70"/>
      <c r="HQM3" s="70"/>
      <c r="HQN3" s="70"/>
      <c r="HQO3" s="70"/>
      <c r="HQP3" s="70"/>
      <c r="HQQ3" s="70"/>
      <c r="HQR3" s="70"/>
      <c r="HQS3" s="70"/>
      <c r="HQT3" s="70"/>
      <c r="HQU3" s="70"/>
      <c r="HQV3" s="70"/>
      <c r="HQW3" s="70"/>
      <c r="HQX3" s="70"/>
      <c r="HQY3" s="70"/>
      <c r="HQZ3" s="70"/>
      <c r="HRA3" s="70"/>
      <c r="HRB3" s="70"/>
      <c r="HRC3" s="70"/>
      <c r="HRD3" s="70"/>
      <c r="HRE3" s="70"/>
      <c r="HRF3" s="70"/>
      <c r="HRG3" s="70"/>
      <c r="HRH3" s="70"/>
      <c r="HRI3" s="70"/>
      <c r="HRJ3" s="70"/>
      <c r="HRK3" s="70"/>
      <c r="HRL3" s="70"/>
      <c r="HRM3" s="70"/>
      <c r="HRN3" s="70"/>
      <c r="HRO3" s="70"/>
      <c r="HRP3" s="70"/>
      <c r="HRQ3" s="70"/>
      <c r="HRR3" s="70"/>
      <c r="HRS3" s="70"/>
      <c r="HRT3" s="70"/>
      <c r="HRU3" s="70"/>
      <c r="HRV3" s="70"/>
      <c r="HRW3" s="70"/>
      <c r="HRX3" s="70"/>
      <c r="HRY3" s="70"/>
      <c r="HRZ3" s="70"/>
      <c r="HSA3" s="70"/>
      <c r="HSB3" s="70"/>
      <c r="HSC3" s="70"/>
      <c r="HSD3" s="70"/>
      <c r="HSE3" s="70"/>
      <c r="HSF3" s="70"/>
      <c r="HSG3" s="70"/>
      <c r="HSH3" s="70"/>
      <c r="HSI3" s="70"/>
      <c r="HSJ3" s="70"/>
      <c r="HSK3" s="70"/>
      <c r="HSL3" s="70"/>
      <c r="HSM3" s="70"/>
      <c r="HSN3" s="70"/>
      <c r="HSO3" s="70"/>
      <c r="HSP3" s="70"/>
      <c r="HSQ3" s="70"/>
      <c r="HSR3" s="70"/>
      <c r="HSS3" s="70"/>
      <c r="HST3" s="70"/>
      <c r="HSU3" s="70"/>
      <c r="HSV3" s="70"/>
      <c r="HSW3" s="70"/>
      <c r="HSX3" s="70"/>
      <c r="HSY3" s="70"/>
      <c r="HSZ3" s="70"/>
      <c r="HTA3" s="70"/>
      <c r="HTB3" s="70"/>
      <c r="HTC3" s="70"/>
      <c r="HTD3" s="70"/>
      <c r="HTE3" s="70"/>
      <c r="HTF3" s="70"/>
      <c r="HTG3" s="70"/>
      <c r="HTH3" s="70"/>
      <c r="HTI3" s="70"/>
      <c r="HTJ3" s="70"/>
      <c r="HTK3" s="70"/>
      <c r="HTL3" s="70"/>
      <c r="HTM3" s="70"/>
      <c r="HTN3" s="70"/>
      <c r="HTO3" s="70"/>
      <c r="HTP3" s="70"/>
      <c r="HTQ3" s="70"/>
      <c r="HTR3" s="70"/>
      <c r="HTS3" s="70"/>
      <c r="HTT3" s="70"/>
      <c r="HTU3" s="70"/>
      <c r="HTV3" s="70"/>
      <c r="HTW3" s="70"/>
      <c r="HTX3" s="70"/>
      <c r="HTY3" s="70"/>
      <c r="HTZ3" s="70"/>
      <c r="HUA3" s="70"/>
      <c r="HUB3" s="70"/>
      <c r="HUC3" s="70"/>
      <c r="HUD3" s="70"/>
      <c r="HUE3" s="70"/>
      <c r="HUF3" s="70"/>
      <c r="HUG3" s="70"/>
      <c r="HUH3" s="70"/>
      <c r="HUI3" s="70"/>
      <c r="HUJ3" s="70"/>
      <c r="HUK3" s="70"/>
      <c r="HUL3" s="70"/>
      <c r="HUM3" s="70"/>
      <c r="HUN3" s="70"/>
      <c r="HUO3" s="70"/>
      <c r="HUP3" s="70"/>
      <c r="HUQ3" s="70"/>
      <c r="HUR3" s="70"/>
      <c r="HUS3" s="70"/>
      <c r="HUT3" s="70"/>
      <c r="HUU3" s="70"/>
      <c r="HUV3" s="70"/>
      <c r="HUW3" s="70"/>
      <c r="HUX3" s="70"/>
      <c r="HUY3" s="70"/>
      <c r="HUZ3" s="70"/>
      <c r="HVA3" s="70"/>
      <c r="HVB3" s="70"/>
      <c r="HVC3" s="70"/>
      <c r="HVD3" s="70"/>
      <c r="HVE3" s="70"/>
      <c r="HVF3" s="70"/>
      <c r="HVG3" s="70"/>
      <c r="HVH3" s="70"/>
      <c r="HVI3" s="70"/>
      <c r="HVJ3" s="70"/>
      <c r="HVK3" s="70"/>
      <c r="HVL3" s="70"/>
      <c r="HVM3" s="70"/>
      <c r="HVN3" s="70"/>
      <c r="HVO3" s="70"/>
      <c r="HVP3" s="70"/>
      <c r="HVQ3" s="70"/>
      <c r="HVR3" s="70"/>
      <c r="HVS3" s="70"/>
      <c r="HVT3" s="70"/>
      <c r="HVU3" s="70"/>
      <c r="HVV3" s="70"/>
      <c r="HVW3" s="70"/>
      <c r="HVX3" s="70"/>
      <c r="HVY3" s="70"/>
      <c r="HVZ3" s="70"/>
      <c r="HWA3" s="70"/>
      <c r="HWB3" s="70"/>
      <c r="HWC3" s="70"/>
      <c r="HWD3" s="70"/>
      <c r="HWE3" s="70"/>
      <c r="HWF3" s="70"/>
      <c r="HWG3" s="70"/>
      <c r="HWH3" s="70"/>
      <c r="HWI3" s="70"/>
      <c r="HWJ3" s="70"/>
      <c r="HWK3" s="70"/>
      <c r="HWL3" s="70"/>
      <c r="HWM3" s="70"/>
      <c r="HWN3" s="70"/>
      <c r="HWO3" s="70"/>
      <c r="HWP3" s="70"/>
      <c r="HWQ3" s="70"/>
      <c r="HWR3" s="70"/>
      <c r="HWS3" s="70"/>
      <c r="HWT3" s="70"/>
      <c r="HWU3" s="70"/>
      <c r="HWV3" s="70"/>
      <c r="HWW3" s="70"/>
      <c r="HWX3" s="70"/>
      <c r="HWY3" s="70"/>
      <c r="HWZ3" s="70"/>
      <c r="HXA3" s="70"/>
      <c r="HXB3" s="70"/>
      <c r="HXC3" s="70"/>
      <c r="HXD3" s="70"/>
      <c r="HXE3" s="70"/>
      <c r="HXF3" s="70"/>
      <c r="HXG3" s="70"/>
      <c r="HXH3" s="70"/>
      <c r="HXI3" s="70"/>
      <c r="HXJ3" s="70"/>
      <c r="HXK3" s="70"/>
      <c r="HXL3" s="70"/>
      <c r="HXM3" s="70"/>
      <c r="HXN3" s="70"/>
      <c r="HXO3" s="70"/>
      <c r="HXP3" s="70"/>
      <c r="HXQ3" s="70"/>
      <c r="HXR3" s="70"/>
      <c r="HXS3" s="70"/>
      <c r="HXT3" s="70"/>
      <c r="HXU3" s="70"/>
      <c r="HXV3" s="70"/>
      <c r="HXW3" s="70"/>
      <c r="HXX3" s="70"/>
      <c r="HXY3" s="70"/>
      <c r="HXZ3" s="70"/>
      <c r="HYA3" s="70"/>
      <c r="HYB3" s="70"/>
      <c r="HYC3" s="70"/>
      <c r="HYD3" s="70"/>
      <c r="HYE3" s="70"/>
      <c r="HYF3" s="70"/>
      <c r="HYG3" s="70"/>
      <c r="HYH3" s="70"/>
      <c r="HYI3" s="70"/>
      <c r="HYJ3" s="70"/>
      <c r="HYK3" s="70"/>
      <c r="HYL3" s="70"/>
      <c r="HYM3" s="70"/>
      <c r="HYN3" s="70"/>
      <c r="HYO3" s="70"/>
      <c r="HYP3" s="70"/>
      <c r="HYQ3" s="70"/>
      <c r="HYR3" s="70"/>
      <c r="HYS3" s="70"/>
      <c r="HYT3" s="70"/>
      <c r="HYU3" s="70"/>
      <c r="HYV3" s="70"/>
      <c r="HYW3" s="70"/>
      <c r="HYX3" s="70"/>
      <c r="HYY3" s="70"/>
      <c r="HYZ3" s="70"/>
      <c r="HZA3" s="70"/>
      <c r="HZB3" s="70"/>
      <c r="HZC3" s="70"/>
      <c r="HZD3" s="70"/>
      <c r="HZE3" s="70"/>
      <c r="HZF3" s="70"/>
      <c r="HZG3" s="70"/>
      <c r="HZH3" s="70"/>
      <c r="HZI3" s="70"/>
      <c r="HZJ3" s="70"/>
      <c r="HZK3" s="70"/>
      <c r="HZL3" s="70"/>
      <c r="HZM3" s="70"/>
      <c r="HZN3" s="70"/>
      <c r="HZO3" s="70"/>
      <c r="HZP3" s="70"/>
      <c r="HZQ3" s="70"/>
      <c r="HZR3" s="70"/>
      <c r="HZS3" s="70"/>
      <c r="HZT3" s="70"/>
      <c r="HZU3" s="70"/>
      <c r="HZV3" s="70"/>
      <c r="HZW3" s="70"/>
      <c r="HZX3" s="70"/>
      <c r="HZY3" s="70"/>
      <c r="HZZ3" s="70"/>
      <c r="IAA3" s="70"/>
      <c r="IAB3" s="70"/>
      <c r="IAC3" s="70"/>
      <c r="IAD3" s="70"/>
      <c r="IAE3" s="70"/>
      <c r="IAF3" s="70"/>
      <c r="IAG3" s="70"/>
      <c r="IAH3" s="70"/>
      <c r="IAI3" s="70"/>
      <c r="IAJ3" s="70"/>
      <c r="IAK3" s="70"/>
      <c r="IAL3" s="70"/>
      <c r="IAM3" s="70"/>
      <c r="IAN3" s="70"/>
      <c r="IAO3" s="70"/>
      <c r="IAP3" s="70"/>
      <c r="IAQ3" s="70"/>
      <c r="IAR3" s="70"/>
      <c r="IAS3" s="70"/>
      <c r="IAT3" s="70"/>
      <c r="IAU3" s="70"/>
      <c r="IAV3" s="70"/>
      <c r="IAW3" s="70"/>
      <c r="IAX3" s="70"/>
      <c r="IAY3" s="70"/>
      <c r="IAZ3" s="70"/>
      <c r="IBA3" s="70"/>
      <c r="IBB3" s="70"/>
      <c r="IBC3" s="70"/>
      <c r="IBD3" s="70"/>
      <c r="IBE3" s="70"/>
      <c r="IBF3" s="70"/>
      <c r="IBG3" s="70"/>
      <c r="IBH3" s="70"/>
      <c r="IBI3" s="70"/>
      <c r="IBJ3" s="70"/>
      <c r="IBK3" s="70"/>
      <c r="IBL3" s="70"/>
      <c r="IBM3" s="70"/>
      <c r="IBN3" s="70"/>
      <c r="IBO3" s="70"/>
      <c r="IBP3" s="70"/>
      <c r="IBQ3" s="70"/>
      <c r="IBR3" s="70"/>
      <c r="IBS3" s="70"/>
      <c r="IBT3" s="70"/>
      <c r="IBU3" s="70"/>
      <c r="IBV3" s="70"/>
      <c r="IBW3" s="70"/>
      <c r="IBX3" s="70"/>
      <c r="IBY3" s="70"/>
      <c r="IBZ3" s="70"/>
      <c r="ICA3" s="70"/>
      <c r="ICB3" s="70"/>
      <c r="ICC3" s="70"/>
      <c r="ICD3" s="70"/>
      <c r="ICE3" s="70"/>
      <c r="ICF3" s="70"/>
      <c r="ICG3" s="70"/>
      <c r="ICH3" s="70"/>
      <c r="ICI3" s="70"/>
      <c r="ICJ3" s="70"/>
      <c r="ICK3" s="70"/>
      <c r="ICL3" s="70"/>
      <c r="ICM3" s="70"/>
      <c r="ICN3" s="70"/>
      <c r="ICO3" s="70"/>
      <c r="ICP3" s="70"/>
      <c r="ICQ3" s="70"/>
      <c r="ICR3" s="70"/>
      <c r="ICS3" s="70"/>
      <c r="ICT3" s="70"/>
      <c r="ICU3" s="70"/>
      <c r="ICV3" s="70"/>
      <c r="ICW3" s="70"/>
      <c r="ICX3" s="70"/>
      <c r="ICY3" s="70"/>
      <c r="ICZ3" s="70"/>
      <c r="IDA3" s="70"/>
      <c r="IDB3" s="70"/>
      <c r="IDC3" s="70"/>
      <c r="IDD3" s="70"/>
      <c r="IDE3" s="70"/>
      <c r="IDF3" s="70"/>
      <c r="IDG3" s="70"/>
      <c r="IDH3" s="70"/>
      <c r="IDI3" s="70"/>
      <c r="IDJ3" s="70"/>
      <c r="IDK3" s="70"/>
      <c r="IDL3" s="70"/>
      <c r="IDM3" s="70"/>
      <c r="IDN3" s="70"/>
      <c r="IDO3" s="70"/>
      <c r="IDP3" s="70"/>
      <c r="IDQ3" s="70"/>
      <c r="IDR3" s="70"/>
      <c r="IDS3" s="70"/>
      <c r="IDT3" s="70"/>
      <c r="IDU3" s="70"/>
      <c r="IDV3" s="70"/>
      <c r="IDW3" s="70"/>
      <c r="IDX3" s="70"/>
      <c r="IDY3" s="70"/>
      <c r="IDZ3" s="70"/>
      <c r="IEA3" s="70"/>
      <c r="IEB3" s="70"/>
      <c r="IEC3" s="70"/>
      <c r="IED3" s="70"/>
      <c r="IEE3" s="70"/>
      <c r="IEF3" s="70"/>
      <c r="IEG3" s="70"/>
      <c r="IEH3" s="70"/>
      <c r="IEI3" s="70"/>
      <c r="IEJ3" s="70"/>
      <c r="IEK3" s="70"/>
      <c r="IEL3" s="70"/>
      <c r="IEM3" s="70"/>
      <c r="IEN3" s="70"/>
      <c r="IEO3" s="70"/>
      <c r="IEP3" s="70"/>
      <c r="IEQ3" s="70"/>
      <c r="IER3" s="70"/>
      <c r="IES3" s="70"/>
      <c r="IET3" s="70"/>
      <c r="IEU3" s="70"/>
      <c r="IEV3" s="70"/>
      <c r="IEW3" s="70"/>
      <c r="IEX3" s="70"/>
      <c r="IEY3" s="70"/>
      <c r="IEZ3" s="70"/>
      <c r="IFA3" s="70"/>
      <c r="IFB3" s="70"/>
      <c r="IFC3" s="70"/>
      <c r="IFD3" s="70"/>
      <c r="IFE3" s="70"/>
      <c r="IFF3" s="70"/>
      <c r="IFG3" s="70"/>
      <c r="IFH3" s="70"/>
      <c r="IFI3" s="70"/>
      <c r="IFJ3" s="70"/>
      <c r="IFK3" s="70"/>
      <c r="IFL3" s="70"/>
      <c r="IFM3" s="70"/>
      <c r="IFN3" s="70"/>
      <c r="IFO3" s="70"/>
      <c r="IFP3" s="70"/>
      <c r="IFQ3" s="70"/>
      <c r="IFR3" s="70"/>
      <c r="IFS3" s="70"/>
      <c r="IFT3" s="70"/>
      <c r="IFU3" s="70"/>
      <c r="IFV3" s="70"/>
      <c r="IFW3" s="70"/>
      <c r="IFX3" s="70"/>
      <c r="IFY3" s="70"/>
      <c r="IFZ3" s="70"/>
      <c r="IGA3" s="70"/>
      <c r="IGB3" s="70"/>
      <c r="IGC3" s="70"/>
      <c r="IGD3" s="70"/>
      <c r="IGE3" s="70"/>
      <c r="IGF3" s="70"/>
      <c r="IGG3" s="70"/>
      <c r="IGH3" s="70"/>
      <c r="IGI3" s="70"/>
      <c r="IGJ3" s="70"/>
      <c r="IGK3" s="70"/>
      <c r="IGL3" s="70"/>
      <c r="IGM3" s="70"/>
      <c r="IGN3" s="70"/>
      <c r="IGO3" s="70"/>
      <c r="IGP3" s="70"/>
      <c r="IGQ3" s="70"/>
      <c r="IGR3" s="70"/>
      <c r="IGS3" s="70"/>
      <c r="IGT3" s="70"/>
      <c r="IGU3" s="70"/>
      <c r="IGV3" s="70"/>
      <c r="IGW3" s="70"/>
      <c r="IGX3" s="70"/>
      <c r="IGY3" s="70"/>
      <c r="IGZ3" s="70"/>
      <c r="IHA3" s="70"/>
      <c r="IHB3" s="70"/>
      <c r="IHC3" s="70"/>
      <c r="IHD3" s="70"/>
      <c r="IHE3" s="70"/>
      <c r="IHF3" s="70"/>
      <c r="IHG3" s="70"/>
      <c r="IHH3" s="70"/>
      <c r="IHI3" s="70"/>
      <c r="IHJ3" s="70"/>
      <c r="IHK3" s="70"/>
      <c r="IHL3" s="70"/>
      <c r="IHM3" s="70"/>
      <c r="IHN3" s="70"/>
      <c r="IHO3" s="70"/>
      <c r="IHP3" s="70"/>
      <c r="IHQ3" s="70"/>
      <c r="IHR3" s="70"/>
      <c r="IHS3" s="70"/>
      <c r="IHT3" s="70"/>
      <c r="IHU3" s="70"/>
      <c r="IHV3" s="70"/>
      <c r="IHW3" s="70"/>
      <c r="IHX3" s="70"/>
      <c r="IHY3" s="70"/>
      <c r="IHZ3" s="70"/>
      <c r="IIA3" s="70"/>
      <c r="IIB3" s="70"/>
      <c r="IIC3" s="70"/>
      <c r="IID3" s="70"/>
      <c r="IIE3" s="70"/>
      <c r="IIF3" s="70"/>
      <c r="IIG3" s="70"/>
      <c r="IIH3" s="70"/>
      <c r="III3" s="70"/>
      <c r="IIJ3" s="70"/>
      <c r="IIK3" s="70"/>
      <c r="IIL3" s="70"/>
      <c r="IIM3" s="70"/>
      <c r="IIN3" s="70"/>
      <c r="IIO3" s="70"/>
      <c r="IIP3" s="70"/>
      <c r="IIQ3" s="70"/>
      <c r="IIR3" s="70"/>
      <c r="IIS3" s="70"/>
      <c r="IIT3" s="70"/>
      <c r="IIU3" s="70"/>
      <c r="IIV3" s="70"/>
      <c r="IIW3" s="70"/>
      <c r="IIX3" s="70"/>
      <c r="IIY3" s="70"/>
      <c r="IIZ3" s="70"/>
      <c r="IJA3" s="70"/>
      <c r="IJB3" s="70"/>
      <c r="IJC3" s="70"/>
      <c r="IJD3" s="70"/>
      <c r="IJE3" s="70"/>
      <c r="IJF3" s="70"/>
      <c r="IJG3" s="70"/>
      <c r="IJH3" s="70"/>
      <c r="IJI3" s="70"/>
      <c r="IJJ3" s="70"/>
      <c r="IJK3" s="70"/>
      <c r="IJL3" s="70"/>
      <c r="IJM3" s="70"/>
      <c r="IJN3" s="70"/>
      <c r="IJO3" s="70"/>
      <c r="IJP3" s="70"/>
      <c r="IJQ3" s="70"/>
      <c r="IJR3" s="70"/>
      <c r="IJS3" s="70"/>
      <c r="IJT3" s="70"/>
      <c r="IJU3" s="70"/>
      <c r="IJV3" s="70"/>
      <c r="IJW3" s="70"/>
      <c r="IJX3" s="70"/>
      <c r="IJY3" s="70"/>
      <c r="IJZ3" s="70"/>
      <c r="IKA3" s="70"/>
      <c r="IKB3" s="70"/>
      <c r="IKC3" s="70"/>
      <c r="IKD3" s="70"/>
      <c r="IKE3" s="70"/>
      <c r="IKF3" s="70"/>
      <c r="IKG3" s="70"/>
      <c r="IKH3" s="70"/>
      <c r="IKI3" s="70"/>
      <c r="IKJ3" s="70"/>
      <c r="IKK3" s="70"/>
      <c r="IKL3" s="70"/>
      <c r="IKM3" s="70"/>
      <c r="IKN3" s="70"/>
      <c r="IKO3" s="70"/>
      <c r="IKP3" s="70"/>
      <c r="IKQ3" s="70"/>
      <c r="IKR3" s="70"/>
      <c r="IKS3" s="70"/>
      <c r="IKT3" s="70"/>
      <c r="IKU3" s="70"/>
      <c r="IKV3" s="70"/>
      <c r="IKW3" s="70"/>
      <c r="IKX3" s="70"/>
      <c r="IKY3" s="70"/>
      <c r="IKZ3" s="70"/>
      <c r="ILA3" s="70"/>
      <c r="ILB3" s="70"/>
      <c r="ILC3" s="70"/>
      <c r="ILD3" s="70"/>
      <c r="ILE3" s="70"/>
      <c r="ILF3" s="70"/>
      <c r="ILG3" s="70"/>
      <c r="ILH3" s="70"/>
      <c r="ILI3" s="70"/>
      <c r="ILJ3" s="70"/>
      <c r="ILK3" s="70"/>
      <c r="ILL3" s="70"/>
      <c r="ILM3" s="70"/>
      <c r="ILN3" s="70"/>
      <c r="ILO3" s="70"/>
      <c r="ILP3" s="70"/>
      <c r="ILQ3" s="70"/>
      <c r="ILR3" s="70"/>
      <c r="ILS3" s="70"/>
      <c r="ILT3" s="70"/>
      <c r="ILU3" s="70"/>
      <c r="ILV3" s="70"/>
      <c r="ILW3" s="70"/>
      <c r="ILX3" s="70"/>
      <c r="ILY3" s="70"/>
      <c r="ILZ3" s="70"/>
      <c r="IMA3" s="70"/>
      <c r="IMB3" s="70"/>
      <c r="IMC3" s="70"/>
      <c r="IMD3" s="70"/>
      <c r="IME3" s="70"/>
      <c r="IMF3" s="70"/>
      <c r="IMG3" s="70"/>
      <c r="IMH3" s="70"/>
      <c r="IMI3" s="70"/>
      <c r="IMJ3" s="70"/>
      <c r="IMK3" s="70"/>
      <c r="IML3" s="70"/>
      <c r="IMM3" s="70"/>
      <c r="IMN3" s="70"/>
      <c r="IMO3" s="70"/>
      <c r="IMP3" s="70"/>
      <c r="IMQ3" s="70"/>
      <c r="IMR3" s="70"/>
      <c r="IMS3" s="70"/>
      <c r="IMT3" s="70"/>
      <c r="IMU3" s="70"/>
      <c r="IMV3" s="70"/>
      <c r="IMW3" s="70"/>
      <c r="IMX3" s="70"/>
      <c r="IMY3" s="70"/>
      <c r="IMZ3" s="70"/>
      <c r="INA3" s="70"/>
      <c r="INB3" s="70"/>
      <c r="INC3" s="70"/>
      <c r="IND3" s="70"/>
      <c r="INE3" s="70"/>
      <c r="INF3" s="70"/>
      <c r="ING3" s="70"/>
      <c r="INH3" s="70"/>
      <c r="INI3" s="70"/>
      <c r="INJ3" s="70"/>
      <c r="INK3" s="70"/>
      <c r="INL3" s="70"/>
      <c r="INM3" s="70"/>
      <c r="INN3" s="70"/>
      <c r="INO3" s="70"/>
      <c r="INP3" s="70"/>
      <c r="INQ3" s="70"/>
      <c r="INR3" s="70"/>
      <c r="INS3" s="70"/>
      <c r="INT3" s="70"/>
      <c r="INU3" s="70"/>
      <c r="INV3" s="70"/>
      <c r="INW3" s="70"/>
      <c r="INX3" s="70"/>
      <c r="INY3" s="70"/>
      <c r="INZ3" s="70"/>
      <c r="IOA3" s="70"/>
      <c r="IOB3" s="70"/>
      <c r="IOC3" s="70"/>
      <c r="IOD3" s="70"/>
      <c r="IOE3" s="70"/>
      <c r="IOF3" s="70"/>
      <c r="IOG3" s="70"/>
      <c r="IOH3" s="70"/>
      <c r="IOI3" s="70"/>
      <c r="IOJ3" s="70"/>
      <c r="IOK3" s="70"/>
      <c r="IOL3" s="70"/>
      <c r="IOM3" s="70"/>
      <c r="ION3" s="70"/>
      <c r="IOO3" s="70"/>
      <c r="IOP3" s="70"/>
      <c r="IOQ3" s="70"/>
      <c r="IOR3" s="70"/>
      <c r="IOS3" s="70"/>
      <c r="IOT3" s="70"/>
      <c r="IOU3" s="70"/>
      <c r="IOV3" s="70"/>
      <c r="IOW3" s="70"/>
      <c r="IOX3" s="70"/>
      <c r="IOY3" s="70"/>
      <c r="IOZ3" s="70"/>
      <c r="IPA3" s="70"/>
      <c r="IPB3" s="70"/>
      <c r="IPC3" s="70"/>
      <c r="IPD3" s="70"/>
      <c r="IPE3" s="70"/>
      <c r="IPF3" s="70"/>
      <c r="IPG3" s="70"/>
      <c r="IPH3" s="70"/>
      <c r="IPI3" s="70"/>
      <c r="IPJ3" s="70"/>
      <c r="IPK3" s="70"/>
      <c r="IPL3" s="70"/>
      <c r="IPM3" s="70"/>
      <c r="IPN3" s="70"/>
      <c r="IPO3" s="70"/>
      <c r="IPP3" s="70"/>
      <c r="IPQ3" s="70"/>
      <c r="IPR3" s="70"/>
      <c r="IPS3" s="70"/>
      <c r="IPT3" s="70"/>
      <c r="IPU3" s="70"/>
      <c r="IPV3" s="70"/>
      <c r="IPW3" s="70"/>
      <c r="IPX3" s="70"/>
      <c r="IPY3" s="70"/>
      <c r="IPZ3" s="70"/>
      <c r="IQA3" s="70"/>
      <c r="IQB3" s="70"/>
      <c r="IQC3" s="70"/>
      <c r="IQD3" s="70"/>
      <c r="IQE3" s="70"/>
      <c r="IQF3" s="70"/>
      <c r="IQG3" s="70"/>
      <c r="IQH3" s="70"/>
      <c r="IQI3" s="70"/>
      <c r="IQJ3" s="70"/>
      <c r="IQK3" s="70"/>
      <c r="IQL3" s="70"/>
      <c r="IQM3" s="70"/>
      <c r="IQN3" s="70"/>
      <c r="IQO3" s="70"/>
      <c r="IQP3" s="70"/>
      <c r="IQQ3" s="70"/>
      <c r="IQR3" s="70"/>
      <c r="IQS3" s="70"/>
      <c r="IQT3" s="70"/>
      <c r="IQU3" s="70"/>
      <c r="IQV3" s="70"/>
      <c r="IQW3" s="70"/>
      <c r="IQX3" s="70"/>
      <c r="IQY3" s="70"/>
      <c r="IQZ3" s="70"/>
      <c r="IRA3" s="70"/>
      <c r="IRB3" s="70"/>
      <c r="IRC3" s="70"/>
      <c r="IRD3" s="70"/>
      <c r="IRE3" s="70"/>
      <c r="IRF3" s="70"/>
      <c r="IRG3" s="70"/>
      <c r="IRH3" s="70"/>
      <c r="IRI3" s="70"/>
      <c r="IRJ3" s="70"/>
      <c r="IRK3" s="70"/>
      <c r="IRL3" s="70"/>
      <c r="IRM3" s="70"/>
      <c r="IRN3" s="70"/>
      <c r="IRO3" s="70"/>
      <c r="IRP3" s="70"/>
      <c r="IRQ3" s="70"/>
      <c r="IRR3" s="70"/>
      <c r="IRS3" s="70"/>
      <c r="IRT3" s="70"/>
      <c r="IRU3" s="70"/>
      <c r="IRV3" s="70"/>
      <c r="IRW3" s="70"/>
      <c r="IRX3" s="70"/>
      <c r="IRY3" s="70"/>
      <c r="IRZ3" s="70"/>
      <c r="ISA3" s="70"/>
      <c r="ISB3" s="70"/>
      <c r="ISC3" s="70"/>
      <c r="ISD3" s="70"/>
      <c r="ISE3" s="70"/>
      <c r="ISF3" s="70"/>
      <c r="ISG3" s="70"/>
      <c r="ISH3" s="70"/>
      <c r="ISI3" s="70"/>
      <c r="ISJ3" s="70"/>
      <c r="ISK3" s="70"/>
      <c r="ISL3" s="70"/>
      <c r="ISM3" s="70"/>
      <c r="ISN3" s="70"/>
      <c r="ISO3" s="70"/>
      <c r="ISP3" s="70"/>
      <c r="ISQ3" s="70"/>
      <c r="ISR3" s="70"/>
      <c r="ISS3" s="70"/>
      <c r="IST3" s="70"/>
      <c r="ISU3" s="70"/>
      <c r="ISV3" s="70"/>
      <c r="ISW3" s="70"/>
      <c r="ISX3" s="70"/>
      <c r="ISY3" s="70"/>
      <c r="ISZ3" s="70"/>
      <c r="ITA3" s="70"/>
      <c r="ITB3" s="70"/>
      <c r="ITC3" s="70"/>
      <c r="ITD3" s="70"/>
      <c r="ITE3" s="70"/>
      <c r="ITF3" s="70"/>
      <c r="ITG3" s="70"/>
      <c r="ITH3" s="70"/>
      <c r="ITI3" s="70"/>
      <c r="ITJ3" s="70"/>
      <c r="ITK3" s="70"/>
      <c r="ITL3" s="70"/>
      <c r="ITM3" s="70"/>
      <c r="ITN3" s="70"/>
      <c r="ITO3" s="70"/>
      <c r="ITP3" s="70"/>
      <c r="ITQ3" s="70"/>
      <c r="ITR3" s="70"/>
      <c r="ITS3" s="70"/>
      <c r="ITT3" s="70"/>
      <c r="ITU3" s="70"/>
      <c r="ITV3" s="70"/>
      <c r="ITW3" s="70"/>
      <c r="ITX3" s="70"/>
      <c r="ITY3" s="70"/>
      <c r="ITZ3" s="70"/>
      <c r="IUA3" s="70"/>
      <c r="IUB3" s="70"/>
      <c r="IUC3" s="70"/>
      <c r="IUD3" s="70"/>
      <c r="IUE3" s="70"/>
      <c r="IUF3" s="70"/>
      <c r="IUG3" s="70"/>
      <c r="IUH3" s="70"/>
      <c r="IUI3" s="70"/>
      <c r="IUJ3" s="70"/>
      <c r="IUK3" s="70"/>
      <c r="IUL3" s="70"/>
      <c r="IUM3" s="70"/>
      <c r="IUN3" s="70"/>
      <c r="IUO3" s="70"/>
      <c r="IUP3" s="70"/>
      <c r="IUQ3" s="70"/>
      <c r="IUR3" s="70"/>
      <c r="IUS3" s="70"/>
      <c r="IUT3" s="70"/>
      <c r="IUU3" s="70"/>
      <c r="IUV3" s="70"/>
      <c r="IUW3" s="70"/>
      <c r="IUX3" s="70"/>
      <c r="IUY3" s="70"/>
      <c r="IUZ3" s="70"/>
      <c r="IVA3" s="70"/>
      <c r="IVB3" s="70"/>
      <c r="IVC3" s="70"/>
      <c r="IVD3" s="70"/>
      <c r="IVE3" s="70"/>
      <c r="IVF3" s="70"/>
      <c r="IVG3" s="70"/>
      <c r="IVH3" s="70"/>
      <c r="IVI3" s="70"/>
      <c r="IVJ3" s="70"/>
      <c r="IVK3" s="70"/>
      <c r="IVL3" s="70"/>
      <c r="IVM3" s="70"/>
      <c r="IVN3" s="70"/>
      <c r="IVO3" s="70"/>
      <c r="IVP3" s="70"/>
      <c r="IVQ3" s="70"/>
      <c r="IVR3" s="70"/>
      <c r="IVS3" s="70"/>
      <c r="IVT3" s="70"/>
      <c r="IVU3" s="70"/>
      <c r="IVV3" s="70"/>
      <c r="IVW3" s="70"/>
      <c r="IVX3" s="70"/>
      <c r="IVY3" s="70"/>
      <c r="IVZ3" s="70"/>
      <c r="IWA3" s="70"/>
      <c r="IWB3" s="70"/>
      <c r="IWC3" s="70"/>
      <c r="IWD3" s="70"/>
      <c r="IWE3" s="70"/>
      <c r="IWF3" s="70"/>
      <c r="IWG3" s="70"/>
      <c r="IWH3" s="70"/>
      <c r="IWI3" s="70"/>
      <c r="IWJ3" s="70"/>
      <c r="IWK3" s="70"/>
      <c r="IWL3" s="70"/>
      <c r="IWM3" s="70"/>
      <c r="IWN3" s="70"/>
      <c r="IWO3" s="70"/>
      <c r="IWP3" s="70"/>
      <c r="IWQ3" s="70"/>
      <c r="IWR3" s="70"/>
      <c r="IWS3" s="70"/>
      <c r="IWT3" s="70"/>
      <c r="IWU3" s="70"/>
      <c r="IWV3" s="70"/>
      <c r="IWW3" s="70"/>
      <c r="IWX3" s="70"/>
      <c r="IWY3" s="70"/>
      <c r="IWZ3" s="70"/>
      <c r="IXA3" s="70"/>
      <c r="IXB3" s="70"/>
      <c r="IXC3" s="70"/>
      <c r="IXD3" s="70"/>
      <c r="IXE3" s="70"/>
      <c r="IXF3" s="70"/>
      <c r="IXG3" s="70"/>
      <c r="IXH3" s="70"/>
      <c r="IXI3" s="70"/>
      <c r="IXJ3" s="70"/>
      <c r="IXK3" s="70"/>
      <c r="IXL3" s="70"/>
      <c r="IXM3" s="70"/>
      <c r="IXN3" s="70"/>
      <c r="IXO3" s="70"/>
      <c r="IXP3" s="70"/>
      <c r="IXQ3" s="70"/>
      <c r="IXR3" s="70"/>
      <c r="IXS3" s="70"/>
      <c r="IXT3" s="70"/>
      <c r="IXU3" s="70"/>
      <c r="IXV3" s="70"/>
      <c r="IXW3" s="70"/>
      <c r="IXX3" s="70"/>
      <c r="IXY3" s="70"/>
      <c r="IXZ3" s="70"/>
      <c r="IYA3" s="70"/>
      <c r="IYB3" s="70"/>
      <c r="IYC3" s="70"/>
      <c r="IYD3" s="70"/>
      <c r="IYE3" s="70"/>
      <c r="IYF3" s="70"/>
      <c r="IYG3" s="70"/>
      <c r="IYH3" s="70"/>
      <c r="IYI3" s="70"/>
      <c r="IYJ3" s="70"/>
      <c r="IYK3" s="70"/>
      <c r="IYL3" s="70"/>
      <c r="IYM3" s="70"/>
      <c r="IYN3" s="70"/>
      <c r="IYO3" s="70"/>
      <c r="IYP3" s="70"/>
      <c r="IYQ3" s="70"/>
      <c r="IYR3" s="70"/>
      <c r="IYS3" s="70"/>
      <c r="IYT3" s="70"/>
      <c r="IYU3" s="70"/>
      <c r="IYV3" s="70"/>
      <c r="IYW3" s="70"/>
      <c r="IYX3" s="70"/>
      <c r="IYY3" s="70"/>
      <c r="IYZ3" s="70"/>
      <c r="IZA3" s="70"/>
      <c r="IZB3" s="70"/>
      <c r="IZC3" s="70"/>
      <c r="IZD3" s="70"/>
      <c r="IZE3" s="70"/>
      <c r="IZF3" s="70"/>
      <c r="IZG3" s="70"/>
      <c r="IZH3" s="70"/>
      <c r="IZI3" s="70"/>
      <c r="IZJ3" s="70"/>
      <c r="IZK3" s="70"/>
      <c r="IZL3" s="70"/>
      <c r="IZM3" s="70"/>
      <c r="IZN3" s="70"/>
      <c r="IZO3" s="70"/>
      <c r="IZP3" s="70"/>
      <c r="IZQ3" s="70"/>
      <c r="IZR3" s="70"/>
      <c r="IZS3" s="70"/>
      <c r="IZT3" s="70"/>
      <c r="IZU3" s="70"/>
      <c r="IZV3" s="70"/>
      <c r="IZW3" s="70"/>
      <c r="IZX3" s="70"/>
      <c r="IZY3" s="70"/>
      <c r="IZZ3" s="70"/>
      <c r="JAA3" s="70"/>
      <c r="JAB3" s="70"/>
      <c r="JAC3" s="70"/>
      <c r="JAD3" s="70"/>
      <c r="JAE3" s="70"/>
      <c r="JAF3" s="70"/>
      <c r="JAG3" s="70"/>
      <c r="JAH3" s="70"/>
      <c r="JAI3" s="70"/>
      <c r="JAJ3" s="70"/>
      <c r="JAK3" s="70"/>
      <c r="JAL3" s="70"/>
      <c r="JAM3" s="70"/>
      <c r="JAN3" s="70"/>
      <c r="JAO3" s="70"/>
      <c r="JAP3" s="70"/>
      <c r="JAQ3" s="70"/>
      <c r="JAR3" s="70"/>
      <c r="JAS3" s="70"/>
      <c r="JAT3" s="70"/>
      <c r="JAU3" s="70"/>
      <c r="JAV3" s="70"/>
      <c r="JAW3" s="70"/>
      <c r="JAX3" s="70"/>
      <c r="JAY3" s="70"/>
      <c r="JAZ3" s="70"/>
      <c r="JBA3" s="70"/>
      <c r="JBB3" s="70"/>
      <c r="JBC3" s="70"/>
      <c r="JBD3" s="70"/>
      <c r="JBE3" s="70"/>
      <c r="JBF3" s="70"/>
      <c r="JBG3" s="70"/>
      <c r="JBH3" s="70"/>
      <c r="JBI3" s="70"/>
      <c r="JBJ3" s="70"/>
      <c r="JBK3" s="70"/>
      <c r="JBL3" s="70"/>
      <c r="JBM3" s="70"/>
      <c r="JBN3" s="70"/>
      <c r="JBO3" s="70"/>
      <c r="JBP3" s="70"/>
      <c r="JBQ3" s="70"/>
      <c r="JBR3" s="70"/>
      <c r="JBS3" s="70"/>
      <c r="JBT3" s="70"/>
      <c r="JBU3" s="70"/>
      <c r="JBV3" s="70"/>
      <c r="JBW3" s="70"/>
      <c r="JBX3" s="70"/>
      <c r="JBY3" s="70"/>
      <c r="JBZ3" s="70"/>
      <c r="JCA3" s="70"/>
      <c r="JCB3" s="70"/>
      <c r="JCC3" s="70"/>
      <c r="JCD3" s="70"/>
      <c r="JCE3" s="70"/>
      <c r="JCF3" s="70"/>
      <c r="JCG3" s="70"/>
      <c r="JCH3" s="70"/>
      <c r="JCI3" s="70"/>
      <c r="JCJ3" s="70"/>
      <c r="JCK3" s="70"/>
      <c r="JCL3" s="70"/>
      <c r="JCM3" s="70"/>
      <c r="JCN3" s="70"/>
      <c r="JCO3" s="70"/>
      <c r="JCP3" s="70"/>
      <c r="JCQ3" s="70"/>
      <c r="JCR3" s="70"/>
      <c r="JCS3" s="70"/>
      <c r="JCT3" s="70"/>
      <c r="JCU3" s="70"/>
      <c r="JCV3" s="70"/>
      <c r="JCW3" s="70"/>
      <c r="JCX3" s="70"/>
      <c r="JCY3" s="70"/>
      <c r="JCZ3" s="70"/>
      <c r="JDA3" s="70"/>
      <c r="JDB3" s="70"/>
      <c r="JDC3" s="70"/>
      <c r="JDD3" s="70"/>
      <c r="JDE3" s="70"/>
      <c r="JDF3" s="70"/>
      <c r="JDG3" s="70"/>
      <c r="JDH3" s="70"/>
      <c r="JDI3" s="70"/>
      <c r="JDJ3" s="70"/>
      <c r="JDK3" s="70"/>
      <c r="JDL3" s="70"/>
      <c r="JDM3" s="70"/>
      <c r="JDN3" s="70"/>
      <c r="JDO3" s="70"/>
      <c r="JDP3" s="70"/>
      <c r="JDQ3" s="70"/>
      <c r="JDR3" s="70"/>
      <c r="JDS3" s="70"/>
      <c r="JDT3" s="70"/>
      <c r="JDU3" s="70"/>
      <c r="JDV3" s="70"/>
      <c r="JDW3" s="70"/>
      <c r="JDX3" s="70"/>
      <c r="JDY3" s="70"/>
      <c r="JDZ3" s="70"/>
      <c r="JEA3" s="70"/>
      <c r="JEB3" s="70"/>
      <c r="JEC3" s="70"/>
      <c r="JED3" s="70"/>
      <c r="JEE3" s="70"/>
      <c r="JEF3" s="70"/>
      <c r="JEG3" s="70"/>
      <c r="JEH3" s="70"/>
      <c r="JEI3" s="70"/>
      <c r="JEJ3" s="70"/>
      <c r="JEK3" s="70"/>
      <c r="JEL3" s="70"/>
      <c r="JEM3" s="70"/>
      <c r="JEN3" s="70"/>
      <c r="JEO3" s="70"/>
      <c r="JEP3" s="70"/>
      <c r="JEQ3" s="70"/>
      <c r="JER3" s="70"/>
      <c r="JES3" s="70"/>
      <c r="JET3" s="70"/>
      <c r="JEU3" s="70"/>
      <c r="JEV3" s="70"/>
      <c r="JEW3" s="70"/>
      <c r="JEX3" s="70"/>
      <c r="JEY3" s="70"/>
      <c r="JEZ3" s="70"/>
      <c r="JFA3" s="70"/>
      <c r="JFB3" s="70"/>
      <c r="JFC3" s="70"/>
      <c r="JFD3" s="70"/>
      <c r="JFE3" s="70"/>
      <c r="JFF3" s="70"/>
      <c r="JFG3" s="70"/>
      <c r="JFH3" s="70"/>
      <c r="JFI3" s="70"/>
      <c r="JFJ3" s="70"/>
      <c r="JFK3" s="70"/>
      <c r="JFL3" s="70"/>
      <c r="JFM3" s="70"/>
      <c r="JFN3" s="70"/>
      <c r="JFO3" s="70"/>
      <c r="JFP3" s="70"/>
      <c r="JFQ3" s="70"/>
      <c r="JFR3" s="70"/>
      <c r="JFS3" s="70"/>
      <c r="JFT3" s="70"/>
      <c r="JFU3" s="70"/>
      <c r="JFV3" s="70"/>
      <c r="JFW3" s="70"/>
      <c r="JFX3" s="70"/>
      <c r="JFY3" s="70"/>
      <c r="JFZ3" s="70"/>
      <c r="JGA3" s="70"/>
      <c r="JGB3" s="70"/>
      <c r="JGC3" s="70"/>
      <c r="JGD3" s="70"/>
      <c r="JGE3" s="70"/>
      <c r="JGF3" s="70"/>
      <c r="JGG3" s="70"/>
      <c r="JGH3" s="70"/>
      <c r="JGI3" s="70"/>
      <c r="JGJ3" s="70"/>
      <c r="JGK3" s="70"/>
      <c r="JGL3" s="70"/>
      <c r="JGM3" s="70"/>
      <c r="JGN3" s="70"/>
      <c r="JGO3" s="70"/>
      <c r="JGP3" s="70"/>
      <c r="JGQ3" s="70"/>
      <c r="JGR3" s="70"/>
      <c r="JGS3" s="70"/>
      <c r="JGT3" s="70"/>
      <c r="JGU3" s="70"/>
      <c r="JGV3" s="70"/>
      <c r="JGW3" s="70"/>
      <c r="JGX3" s="70"/>
      <c r="JGY3" s="70"/>
      <c r="JGZ3" s="70"/>
      <c r="JHA3" s="70"/>
      <c r="JHB3" s="70"/>
      <c r="JHC3" s="70"/>
      <c r="JHD3" s="70"/>
      <c r="JHE3" s="70"/>
      <c r="JHF3" s="70"/>
      <c r="JHG3" s="70"/>
      <c r="JHH3" s="70"/>
      <c r="JHI3" s="70"/>
      <c r="JHJ3" s="70"/>
      <c r="JHK3" s="70"/>
      <c r="JHL3" s="70"/>
      <c r="JHM3" s="70"/>
      <c r="JHN3" s="70"/>
      <c r="JHO3" s="70"/>
      <c r="JHP3" s="70"/>
      <c r="JHQ3" s="70"/>
      <c r="JHR3" s="70"/>
      <c r="JHS3" s="70"/>
      <c r="JHT3" s="70"/>
      <c r="JHU3" s="70"/>
      <c r="JHV3" s="70"/>
      <c r="JHW3" s="70"/>
      <c r="JHX3" s="70"/>
      <c r="JHY3" s="70"/>
      <c r="JHZ3" s="70"/>
      <c r="JIA3" s="70"/>
      <c r="JIB3" s="70"/>
      <c r="JIC3" s="70"/>
      <c r="JID3" s="70"/>
      <c r="JIE3" s="70"/>
      <c r="JIF3" s="70"/>
      <c r="JIG3" s="70"/>
      <c r="JIH3" s="70"/>
      <c r="JII3" s="70"/>
      <c r="JIJ3" s="70"/>
      <c r="JIK3" s="70"/>
      <c r="JIL3" s="70"/>
      <c r="JIM3" s="70"/>
      <c r="JIN3" s="70"/>
      <c r="JIO3" s="70"/>
      <c r="JIP3" s="70"/>
      <c r="JIQ3" s="70"/>
      <c r="JIR3" s="70"/>
      <c r="JIS3" s="70"/>
      <c r="JIT3" s="70"/>
      <c r="JIU3" s="70"/>
      <c r="JIV3" s="70"/>
      <c r="JIW3" s="70"/>
      <c r="JIX3" s="70"/>
      <c r="JIY3" s="70"/>
      <c r="JIZ3" s="70"/>
      <c r="JJA3" s="70"/>
      <c r="JJB3" s="70"/>
      <c r="JJC3" s="70"/>
      <c r="JJD3" s="70"/>
      <c r="JJE3" s="70"/>
      <c r="JJF3" s="70"/>
      <c r="JJG3" s="70"/>
      <c r="JJH3" s="70"/>
      <c r="JJI3" s="70"/>
      <c r="JJJ3" s="70"/>
      <c r="JJK3" s="70"/>
      <c r="JJL3" s="70"/>
      <c r="JJM3" s="70"/>
      <c r="JJN3" s="70"/>
      <c r="JJO3" s="70"/>
      <c r="JJP3" s="70"/>
      <c r="JJQ3" s="70"/>
      <c r="JJR3" s="70"/>
      <c r="JJS3" s="70"/>
      <c r="JJT3" s="70"/>
      <c r="JJU3" s="70"/>
      <c r="JJV3" s="70"/>
      <c r="JJW3" s="70"/>
      <c r="JJX3" s="70"/>
      <c r="JJY3" s="70"/>
      <c r="JJZ3" s="70"/>
      <c r="JKA3" s="70"/>
      <c r="JKB3" s="70"/>
      <c r="JKC3" s="70"/>
      <c r="JKD3" s="70"/>
      <c r="JKE3" s="70"/>
      <c r="JKF3" s="70"/>
      <c r="JKG3" s="70"/>
      <c r="JKH3" s="70"/>
      <c r="JKI3" s="70"/>
      <c r="JKJ3" s="70"/>
      <c r="JKK3" s="70"/>
      <c r="JKL3" s="70"/>
      <c r="JKM3" s="70"/>
      <c r="JKN3" s="70"/>
      <c r="JKO3" s="70"/>
      <c r="JKP3" s="70"/>
      <c r="JKQ3" s="70"/>
      <c r="JKR3" s="70"/>
      <c r="JKS3" s="70"/>
      <c r="JKT3" s="70"/>
      <c r="JKU3" s="70"/>
      <c r="JKV3" s="70"/>
      <c r="JKW3" s="70"/>
      <c r="JKX3" s="70"/>
      <c r="JKY3" s="70"/>
      <c r="JKZ3" s="70"/>
      <c r="JLA3" s="70"/>
      <c r="JLB3" s="70"/>
      <c r="JLC3" s="70"/>
      <c r="JLD3" s="70"/>
      <c r="JLE3" s="70"/>
      <c r="JLF3" s="70"/>
      <c r="JLG3" s="70"/>
      <c r="JLH3" s="70"/>
      <c r="JLI3" s="70"/>
      <c r="JLJ3" s="70"/>
      <c r="JLK3" s="70"/>
      <c r="JLL3" s="70"/>
      <c r="JLM3" s="70"/>
      <c r="JLN3" s="70"/>
      <c r="JLO3" s="70"/>
      <c r="JLP3" s="70"/>
      <c r="JLQ3" s="70"/>
      <c r="JLR3" s="70"/>
      <c r="JLS3" s="70"/>
      <c r="JLT3" s="70"/>
      <c r="JLU3" s="70"/>
      <c r="JLV3" s="70"/>
      <c r="JLW3" s="70"/>
      <c r="JLX3" s="70"/>
      <c r="JLY3" s="70"/>
      <c r="JLZ3" s="70"/>
      <c r="JMA3" s="70"/>
      <c r="JMB3" s="70"/>
      <c r="JMC3" s="70"/>
      <c r="JMD3" s="70"/>
      <c r="JME3" s="70"/>
      <c r="JMF3" s="70"/>
      <c r="JMG3" s="70"/>
      <c r="JMH3" s="70"/>
      <c r="JMI3" s="70"/>
      <c r="JMJ3" s="70"/>
      <c r="JMK3" s="70"/>
      <c r="JML3" s="70"/>
      <c r="JMM3" s="70"/>
      <c r="JMN3" s="70"/>
      <c r="JMO3" s="70"/>
      <c r="JMP3" s="70"/>
      <c r="JMQ3" s="70"/>
      <c r="JMR3" s="70"/>
      <c r="JMS3" s="70"/>
      <c r="JMT3" s="70"/>
      <c r="JMU3" s="70"/>
      <c r="JMV3" s="70"/>
      <c r="JMW3" s="70"/>
      <c r="JMX3" s="70"/>
      <c r="JMY3" s="70"/>
      <c r="JMZ3" s="70"/>
      <c r="JNA3" s="70"/>
      <c r="JNB3" s="70"/>
      <c r="JNC3" s="70"/>
      <c r="JND3" s="70"/>
      <c r="JNE3" s="70"/>
      <c r="JNF3" s="70"/>
      <c r="JNG3" s="70"/>
      <c r="JNH3" s="70"/>
      <c r="JNI3" s="70"/>
      <c r="JNJ3" s="70"/>
      <c r="JNK3" s="70"/>
      <c r="JNL3" s="70"/>
      <c r="JNM3" s="70"/>
      <c r="JNN3" s="70"/>
      <c r="JNO3" s="70"/>
      <c r="JNP3" s="70"/>
      <c r="JNQ3" s="70"/>
      <c r="JNR3" s="70"/>
      <c r="JNS3" s="70"/>
      <c r="JNT3" s="70"/>
      <c r="JNU3" s="70"/>
      <c r="JNV3" s="70"/>
      <c r="JNW3" s="70"/>
      <c r="JNX3" s="70"/>
      <c r="JNY3" s="70"/>
      <c r="JNZ3" s="70"/>
      <c r="JOA3" s="70"/>
      <c r="JOB3" s="70"/>
      <c r="JOC3" s="70"/>
      <c r="JOD3" s="70"/>
      <c r="JOE3" s="70"/>
      <c r="JOF3" s="70"/>
      <c r="JOG3" s="70"/>
      <c r="JOH3" s="70"/>
      <c r="JOI3" s="70"/>
      <c r="JOJ3" s="70"/>
      <c r="JOK3" s="70"/>
      <c r="JOL3" s="70"/>
      <c r="JOM3" s="70"/>
      <c r="JON3" s="70"/>
      <c r="JOO3" s="70"/>
      <c r="JOP3" s="70"/>
      <c r="JOQ3" s="70"/>
      <c r="JOR3" s="70"/>
      <c r="JOS3" s="70"/>
      <c r="JOT3" s="70"/>
      <c r="JOU3" s="70"/>
      <c r="JOV3" s="70"/>
      <c r="JOW3" s="70"/>
      <c r="JOX3" s="70"/>
      <c r="JOY3" s="70"/>
      <c r="JOZ3" s="70"/>
      <c r="JPA3" s="70"/>
      <c r="JPB3" s="70"/>
      <c r="JPC3" s="70"/>
      <c r="JPD3" s="70"/>
      <c r="JPE3" s="70"/>
      <c r="JPF3" s="70"/>
      <c r="JPG3" s="70"/>
      <c r="JPH3" s="70"/>
      <c r="JPI3" s="70"/>
      <c r="JPJ3" s="70"/>
      <c r="JPK3" s="70"/>
      <c r="JPL3" s="70"/>
      <c r="JPM3" s="70"/>
      <c r="JPN3" s="70"/>
      <c r="JPO3" s="70"/>
      <c r="JPP3" s="70"/>
      <c r="JPQ3" s="70"/>
      <c r="JPR3" s="70"/>
      <c r="JPS3" s="70"/>
      <c r="JPT3" s="70"/>
      <c r="JPU3" s="70"/>
      <c r="JPV3" s="70"/>
      <c r="JPW3" s="70"/>
      <c r="JPX3" s="70"/>
      <c r="JPY3" s="70"/>
      <c r="JPZ3" s="70"/>
      <c r="JQA3" s="70"/>
      <c r="JQB3" s="70"/>
      <c r="JQC3" s="70"/>
      <c r="JQD3" s="70"/>
      <c r="JQE3" s="70"/>
      <c r="JQF3" s="70"/>
      <c r="JQG3" s="70"/>
      <c r="JQH3" s="70"/>
      <c r="JQI3" s="70"/>
      <c r="JQJ3" s="70"/>
      <c r="JQK3" s="70"/>
      <c r="JQL3" s="70"/>
      <c r="JQM3" s="70"/>
      <c r="JQN3" s="70"/>
      <c r="JQO3" s="70"/>
      <c r="JQP3" s="70"/>
      <c r="JQQ3" s="70"/>
      <c r="JQR3" s="70"/>
      <c r="JQS3" s="70"/>
      <c r="JQT3" s="70"/>
      <c r="JQU3" s="70"/>
      <c r="JQV3" s="70"/>
      <c r="JQW3" s="70"/>
      <c r="JQX3" s="70"/>
      <c r="JQY3" s="70"/>
      <c r="JQZ3" s="70"/>
      <c r="JRA3" s="70"/>
      <c r="JRB3" s="70"/>
      <c r="JRC3" s="70"/>
      <c r="JRD3" s="70"/>
      <c r="JRE3" s="70"/>
      <c r="JRF3" s="70"/>
      <c r="JRG3" s="70"/>
      <c r="JRH3" s="70"/>
      <c r="JRI3" s="70"/>
      <c r="JRJ3" s="70"/>
      <c r="JRK3" s="70"/>
      <c r="JRL3" s="70"/>
      <c r="JRM3" s="70"/>
      <c r="JRN3" s="70"/>
      <c r="JRO3" s="70"/>
      <c r="JRP3" s="70"/>
      <c r="JRQ3" s="70"/>
      <c r="JRR3" s="70"/>
      <c r="JRS3" s="70"/>
      <c r="JRT3" s="70"/>
      <c r="JRU3" s="70"/>
      <c r="JRV3" s="70"/>
      <c r="JRW3" s="70"/>
      <c r="JRX3" s="70"/>
      <c r="JRY3" s="70"/>
      <c r="JRZ3" s="70"/>
      <c r="JSA3" s="70"/>
      <c r="JSB3" s="70"/>
      <c r="JSC3" s="70"/>
      <c r="JSD3" s="70"/>
      <c r="JSE3" s="70"/>
      <c r="JSF3" s="70"/>
      <c r="JSG3" s="70"/>
      <c r="JSH3" s="70"/>
      <c r="JSI3" s="70"/>
      <c r="JSJ3" s="70"/>
      <c r="JSK3" s="70"/>
      <c r="JSL3" s="70"/>
      <c r="JSM3" s="70"/>
      <c r="JSN3" s="70"/>
      <c r="JSO3" s="70"/>
      <c r="JSP3" s="70"/>
      <c r="JSQ3" s="70"/>
      <c r="JSR3" s="70"/>
      <c r="JSS3" s="70"/>
      <c r="JST3" s="70"/>
      <c r="JSU3" s="70"/>
      <c r="JSV3" s="70"/>
      <c r="JSW3" s="70"/>
      <c r="JSX3" s="70"/>
      <c r="JSY3" s="70"/>
      <c r="JSZ3" s="70"/>
      <c r="JTA3" s="70"/>
      <c r="JTB3" s="70"/>
      <c r="JTC3" s="70"/>
      <c r="JTD3" s="70"/>
      <c r="JTE3" s="70"/>
      <c r="JTF3" s="70"/>
      <c r="JTG3" s="70"/>
      <c r="JTH3" s="70"/>
      <c r="JTI3" s="70"/>
      <c r="JTJ3" s="70"/>
      <c r="JTK3" s="70"/>
      <c r="JTL3" s="70"/>
      <c r="JTM3" s="70"/>
      <c r="JTN3" s="70"/>
      <c r="JTO3" s="70"/>
      <c r="JTP3" s="70"/>
      <c r="JTQ3" s="70"/>
      <c r="JTR3" s="70"/>
      <c r="JTS3" s="70"/>
      <c r="JTT3" s="70"/>
      <c r="JTU3" s="70"/>
      <c r="JTV3" s="70"/>
      <c r="JTW3" s="70"/>
      <c r="JTX3" s="70"/>
      <c r="JTY3" s="70"/>
      <c r="JTZ3" s="70"/>
      <c r="JUA3" s="70"/>
      <c r="JUB3" s="70"/>
      <c r="JUC3" s="70"/>
      <c r="JUD3" s="70"/>
      <c r="JUE3" s="70"/>
      <c r="JUF3" s="70"/>
      <c r="JUG3" s="70"/>
      <c r="JUH3" s="70"/>
      <c r="JUI3" s="70"/>
      <c r="JUJ3" s="70"/>
      <c r="JUK3" s="70"/>
      <c r="JUL3" s="70"/>
      <c r="JUM3" s="70"/>
      <c r="JUN3" s="70"/>
      <c r="JUO3" s="70"/>
      <c r="JUP3" s="70"/>
      <c r="JUQ3" s="70"/>
      <c r="JUR3" s="70"/>
      <c r="JUS3" s="70"/>
      <c r="JUT3" s="70"/>
      <c r="JUU3" s="70"/>
      <c r="JUV3" s="70"/>
      <c r="JUW3" s="70"/>
      <c r="JUX3" s="70"/>
      <c r="JUY3" s="70"/>
      <c r="JUZ3" s="70"/>
      <c r="JVA3" s="70"/>
      <c r="JVB3" s="70"/>
      <c r="JVC3" s="70"/>
      <c r="JVD3" s="70"/>
      <c r="JVE3" s="70"/>
      <c r="JVF3" s="70"/>
      <c r="JVG3" s="70"/>
      <c r="JVH3" s="70"/>
      <c r="JVI3" s="70"/>
      <c r="JVJ3" s="70"/>
      <c r="JVK3" s="70"/>
      <c r="JVL3" s="70"/>
      <c r="JVM3" s="70"/>
      <c r="JVN3" s="70"/>
      <c r="JVO3" s="70"/>
      <c r="JVP3" s="70"/>
      <c r="JVQ3" s="70"/>
      <c r="JVR3" s="70"/>
      <c r="JVS3" s="70"/>
      <c r="JVT3" s="70"/>
      <c r="JVU3" s="70"/>
      <c r="JVV3" s="70"/>
      <c r="JVW3" s="70"/>
      <c r="JVX3" s="70"/>
      <c r="JVY3" s="70"/>
      <c r="JVZ3" s="70"/>
      <c r="JWA3" s="70"/>
      <c r="JWB3" s="70"/>
      <c r="JWC3" s="70"/>
      <c r="JWD3" s="70"/>
      <c r="JWE3" s="70"/>
      <c r="JWF3" s="70"/>
      <c r="JWG3" s="70"/>
      <c r="JWH3" s="70"/>
      <c r="JWI3" s="70"/>
      <c r="JWJ3" s="70"/>
      <c r="JWK3" s="70"/>
      <c r="JWL3" s="70"/>
      <c r="JWM3" s="70"/>
      <c r="JWN3" s="70"/>
      <c r="JWO3" s="70"/>
      <c r="JWP3" s="70"/>
      <c r="JWQ3" s="70"/>
      <c r="JWR3" s="70"/>
      <c r="JWS3" s="70"/>
      <c r="JWT3" s="70"/>
      <c r="JWU3" s="70"/>
      <c r="JWV3" s="70"/>
      <c r="JWW3" s="70"/>
      <c r="JWX3" s="70"/>
      <c r="JWY3" s="70"/>
      <c r="JWZ3" s="70"/>
      <c r="JXA3" s="70"/>
      <c r="JXB3" s="70"/>
      <c r="JXC3" s="70"/>
      <c r="JXD3" s="70"/>
      <c r="JXE3" s="70"/>
      <c r="JXF3" s="70"/>
      <c r="JXG3" s="70"/>
      <c r="JXH3" s="70"/>
      <c r="JXI3" s="70"/>
      <c r="JXJ3" s="70"/>
      <c r="JXK3" s="70"/>
      <c r="JXL3" s="70"/>
      <c r="JXM3" s="70"/>
      <c r="JXN3" s="70"/>
      <c r="JXO3" s="70"/>
      <c r="JXP3" s="70"/>
      <c r="JXQ3" s="70"/>
      <c r="JXR3" s="70"/>
      <c r="JXS3" s="70"/>
      <c r="JXT3" s="70"/>
      <c r="JXU3" s="70"/>
      <c r="JXV3" s="70"/>
      <c r="JXW3" s="70"/>
      <c r="JXX3" s="70"/>
      <c r="JXY3" s="70"/>
      <c r="JXZ3" s="70"/>
      <c r="JYA3" s="70"/>
      <c r="JYB3" s="70"/>
      <c r="JYC3" s="70"/>
      <c r="JYD3" s="70"/>
      <c r="JYE3" s="70"/>
      <c r="JYF3" s="70"/>
      <c r="JYG3" s="70"/>
      <c r="JYH3" s="70"/>
      <c r="JYI3" s="70"/>
      <c r="JYJ3" s="70"/>
      <c r="JYK3" s="70"/>
      <c r="JYL3" s="70"/>
      <c r="JYM3" s="70"/>
      <c r="JYN3" s="70"/>
      <c r="JYO3" s="70"/>
      <c r="JYP3" s="70"/>
      <c r="JYQ3" s="70"/>
      <c r="JYR3" s="70"/>
      <c r="JYS3" s="70"/>
      <c r="JYT3" s="70"/>
      <c r="JYU3" s="70"/>
      <c r="JYV3" s="70"/>
      <c r="JYW3" s="70"/>
      <c r="JYX3" s="70"/>
      <c r="JYY3" s="70"/>
      <c r="JYZ3" s="70"/>
      <c r="JZA3" s="70"/>
      <c r="JZB3" s="70"/>
      <c r="JZC3" s="70"/>
      <c r="JZD3" s="70"/>
      <c r="JZE3" s="70"/>
      <c r="JZF3" s="70"/>
      <c r="JZG3" s="70"/>
      <c r="JZH3" s="70"/>
      <c r="JZI3" s="70"/>
      <c r="JZJ3" s="70"/>
      <c r="JZK3" s="70"/>
      <c r="JZL3" s="70"/>
      <c r="JZM3" s="70"/>
      <c r="JZN3" s="70"/>
      <c r="JZO3" s="70"/>
      <c r="JZP3" s="70"/>
      <c r="JZQ3" s="70"/>
      <c r="JZR3" s="70"/>
      <c r="JZS3" s="70"/>
      <c r="JZT3" s="70"/>
      <c r="JZU3" s="70"/>
      <c r="JZV3" s="70"/>
      <c r="JZW3" s="70"/>
      <c r="JZX3" s="70"/>
      <c r="JZY3" s="70"/>
      <c r="JZZ3" s="70"/>
      <c r="KAA3" s="70"/>
      <c r="KAB3" s="70"/>
      <c r="KAC3" s="70"/>
      <c r="KAD3" s="70"/>
      <c r="KAE3" s="70"/>
      <c r="KAF3" s="70"/>
      <c r="KAG3" s="70"/>
      <c r="KAH3" s="70"/>
      <c r="KAI3" s="70"/>
      <c r="KAJ3" s="70"/>
      <c r="KAK3" s="70"/>
      <c r="KAL3" s="70"/>
      <c r="KAM3" s="70"/>
      <c r="KAN3" s="70"/>
      <c r="KAO3" s="70"/>
      <c r="KAP3" s="70"/>
      <c r="KAQ3" s="70"/>
      <c r="KAR3" s="70"/>
      <c r="KAS3" s="70"/>
      <c r="KAT3" s="70"/>
      <c r="KAU3" s="70"/>
      <c r="KAV3" s="70"/>
      <c r="KAW3" s="70"/>
      <c r="KAX3" s="70"/>
      <c r="KAY3" s="70"/>
      <c r="KAZ3" s="70"/>
      <c r="KBA3" s="70"/>
      <c r="KBB3" s="70"/>
      <c r="KBC3" s="70"/>
      <c r="KBD3" s="70"/>
      <c r="KBE3" s="70"/>
      <c r="KBF3" s="70"/>
      <c r="KBG3" s="70"/>
      <c r="KBH3" s="70"/>
      <c r="KBI3" s="70"/>
      <c r="KBJ3" s="70"/>
      <c r="KBK3" s="70"/>
      <c r="KBL3" s="70"/>
      <c r="KBM3" s="70"/>
      <c r="KBN3" s="70"/>
      <c r="KBO3" s="70"/>
      <c r="KBP3" s="70"/>
      <c r="KBQ3" s="70"/>
      <c r="KBR3" s="70"/>
      <c r="KBS3" s="70"/>
      <c r="KBT3" s="70"/>
      <c r="KBU3" s="70"/>
      <c r="KBV3" s="70"/>
      <c r="KBW3" s="70"/>
      <c r="KBX3" s="70"/>
      <c r="KBY3" s="70"/>
      <c r="KBZ3" s="70"/>
      <c r="KCA3" s="70"/>
      <c r="KCB3" s="70"/>
      <c r="KCC3" s="70"/>
      <c r="KCD3" s="70"/>
      <c r="KCE3" s="70"/>
      <c r="KCF3" s="70"/>
      <c r="KCG3" s="70"/>
      <c r="KCH3" s="70"/>
      <c r="KCI3" s="70"/>
      <c r="KCJ3" s="70"/>
      <c r="KCK3" s="70"/>
      <c r="KCL3" s="70"/>
      <c r="KCM3" s="70"/>
      <c r="KCN3" s="70"/>
      <c r="KCO3" s="70"/>
      <c r="KCP3" s="70"/>
      <c r="KCQ3" s="70"/>
      <c r="KCR3" s="70"/>
      <c r="KCS3" s="70"/>
      <c r="KCT3" s="70"/>
      <c r="KCU3" s="70"/>
      <c r="KCV3" s="70"/>
      <c r="KCW3" s="70"/>
      <c r="KCX3" s="70"/>
      <c r="KCY3" s="70"/>
      <c r="KCZ3" s="70"/>
      <c r="KDA3" s="70"/>
      <c r="KDB3" s="70"/>
      <c r="KDC3" s="70"/>
      <c r="KDD3" s="70"/>
      <c r="KDE3" s="70"/>
      <c r="KDF3" s="70"/>
      <c r="KDG3" s="70"/>
      <c r="KDH3" s="70"/>
      <c r="KDI3" s="70"/>
      <c r="KDJ3" s="70"/>
      <c r="KDK3" s="70"/>
      <c r="KDL3" s="70"/>
      <c r="KDM3" s="70"/>
      <c r="KDN3" s="70"/>
      <c r="KDO3" s="70"/>
      <c r="KDP3" s="70"/>
      <c r="KDQ3" s="70"/>
      <c r="KDR3" s="70"/>
      <c r="KDS3" s="70"/>
      <c r="KDT3" s="70"/>
      <c r="KDU3" s="70"/>
      <c r="KDV3" s="70"/>
      <c r="KDW3" s="70"/>
      <c r="KDX3" s="70"/>
      <c r="KDY3" s="70"/>
      <c r="KDZ3" s="70"/>
      <c r="KEA3" s="70"/>
      <c r="KEB3" s="70"/>
      <c r="KEC3" s="70"/>
      <c r="KED3" s="70"/>
      <c r="KEE3" s="70"/>
      <c r="KEF3" s="70"/>
      <c r="KEG3" s="70"/>
      <c r="KEH3" s="70"/>
      <c r="KEI3" s="70"/>
      <c r="KEJ3" s="70"/>
      <c r="KEK3" s="70"/>
      <c r="KEL3" s="70"/>
      <c r="KEM3" s="70"/>
      <c r="KEN3" s="70"/>
      <c r="KEO3" s="70"/>
      <c r="KEP3" s="70"/>
      <c r="KEQ3" s="70"/>
      <c r="KER3" s="70"/>
      <c r="KES3" s="70"/>
      <c r="KET3" s="70"/>
      <c r="KEU3" s="70"/>
      <c r="KEV3" s="70"/>
      <c r="KEW3" s="70"/>
      <c r="KEX3" s="70"/>
      <c r="KEY3" s="70"/>
      <c r="KEZ3" s="70"/>
      <c r="KFA3" s="70"/>
      <c r="KFB3" s="70"/>
      <c r="KFC3" s="70"/>
      <c r="KFD3" s="70"/>
      <c r="KFE3" s="70"/>
      <c r="KFF3" s="70"/>
      <c r="KFG3" s="70"/>
      <c r="KFH3" s="70"/>
      <c r="KFI3" s="70"/>
      <c r="KFJ3" s="70"/>
      <c r="KFK3" s="70"/>
      <c r="KFL3" s="70"/>
      <c r="KFM3" s="70"/>
      <c r="KFN3" s="70"/>
      <c r="KFO3" s="70"/>
      <c r="KFP3" s="70"/>
      <c r="KFQ3" s="70"/>
      <c r="KFR3" s="70"/>
      <c r="KFS3" s="70"/>
      <c r="KFT3" s="70"/>
      <c r="KFU3" s="70"/>
      <c r="KFV3" s="70"/>
      <c r="KFW3" s="70"/>
      <c r="KFX3" s="70"/>
      <c r="KFY3" s="70"/>
      <c r="KFZ3" s="70"/>
      <c r="KGA3" s="70"/>
      <c r="KGB3" s="70"/>
      <c r="KGC3" s="70"/>
      <c r="KGD3" s="70"/>
      <c r="KGE3" s="70"/>
      <c r="KGF3" s="70"/>
      <c r="KGG3" s="70"/>
      <c r="KGH3" s="70"/>
      <c r="KGI3" s="70"/>
      <c r="KGJ3" s="70"/>
      <c r="KGK3" s="70"/>
      <c r="KGL3" s="70"/>
      <c r="KGM3" s="70"/>
      <c r="KGN3" s="70"/>
      <c r="KGO3" s="70"/>
      <c r="KGP3" s="70"/>
      <c r="KGQ3" s="70"/>
      <c r="KGR3" s="70"/>
      <c r="KGS3" s="70"/>
      <c r="KGT3" s="70"/>
      <c r="KGU3" s="70"/>
      <c r="KGV3" s="70"/>
      <c r="KGW3" s="70"/>
      <c r="KGX3" s="70"/>
      <c r="KGY3" s="70"/>
      <c r="KGZ3" s="70"/>
      <c r="KHA3" s="70"/>
      <c r="KHB3" s="70"/>
      <c r="KHC3" s="70"/>
      <c r="KHD3" s="70"/>
      <c r="KHE3" s="70"/>
      <c r="KHF3" s="70"/>
      <c r="KHG3" s="70"/>
      <c r="KHH3" s="70"/>
      <c r="KHI3" s="70"/>
      <c r="KHJ3" s="70"/>
      <c r="KHK3" s="70"/>
      <c r="KHL3" s="70"/>
      <c r="KHM3" s="70"/>
      <c r="KHN3" s="70"/>
      <c r="KHO3" s="70"/>
      <c r="KHP3" s="70"/>
      <c r="KHQ3" s="70"/>
      <c r="KHR3" s="70"/>
      <c r="KHS3" s="70"/>
      <c r="KHT3" s="70"/>
      <c r="KHU3" s="70"/>
      <c r="KHV3" s="70"/>
      <c r="KHW3" s="70"/>
      <c r="KHX3" s="70"/>
      <c r="KHY3" s="70"/>
      <c r="KHZ3" s="70"/>
      <c r="KIA3" s="70"/>
      <c r="KIB3" s="70"/>
      <c r="KIC3" s="70"/>
      <c r="KID3" s="70"/>
      <c r="KIE3" s="70"/>
      <c r="KIF3" s="70"/>
      <c r="KIG3" s="70"/>
      <c r="KIH3" s="70"/>
      <c r="KII3" s="70"/>
      <c r="KIJ3" s="70"/>
      <c r="KIK3" s="70"/>
      <c r="KIL3" s="70"/>
      <c r="KIM3" s="70"/>
      <c r="KIN3" s="70"/>
      <c r="KIO3" s="70"/>
      <c r="KIP3" s="70"/>
      <c r="KIQ3" s="70"/>
      <c r="KIR3" s="70"/>
      <c r="KIS3" s="70"/>
      <c r="KIT3" s="70"/>
      <c r="KIU3" s="70"/>
      <c r="KIV3" s="70"/>
      <c r="KIW3" s="70"/>
      <c r="KIX3" s="70"/>
      <c r="KIY3" s="70"/>
      <c r="KIZ3" s="70"/>
      <c r="KJA3" s="70"/>
      <c r="KJB3" s="70"/>
      <c r="KJC3" s="70"/>
      <c r="KJD3" s="70"/>
      <c r="KJE3" s="70"/>
      <c r="KJF3" s="70"/>
      <c r="KJG3" s="70"/>
      <c r="KJH3" s="70"/>
      <c r="KJI3" s="70"/>
      <c r="KJJ3" s="70"/>
      <c r="KJK3" s="70"/>
      <c r="KJL3" s="70"/>
      <c r="KJM3" s="70"/>
      <c r="KJN3" s="70"/>
      <c r="KJO3" s="70"/>
      <c r="KJP3" s="70"/>
      <c r="KJQ3" s="70"/>
      <c r="KJR3" s="70"/>
      <c r="KJS3" s="70"/>
      <c r="KJT3" s="70"/>
      <c r="KJU3" s="70"/>
      <c r="KJV3" s="70"/>
      <c r="KJW3" s="70"/>
      <c r="KJX3" s="70"/>
      <c r="KJY3" s="70"/>
      <c r="KJZ3" s="70"/>
      <c r="KKA3" s="70"/>
      <c r="KKB3" s="70"/>
      <c r="KKC3" s="70"/>
      <c r="KKD3" s="70"/>
      <c r="KKE3" s="70"/>
      <c r="KKF3" s="70"/>
      <c r="KKG3" s="70"/>
      <c r="KKH3" s="70"/>
      <c r="KKI3" s="70"/>
      <c r="KKJ3" s="70"/>
      <c r="KKK3" s="70"/>
      <c r="KKL3" s="70"/>
      <c r="KKM3" s="70"/>
      <c r="KKN3" s="70"/>
      <c r="KKO3" s="70"/>
      <c r="KKP3" s="70"/>
      <c r="KKQ3" s="70"/>
      <c r="KKR3" s="70"/>
      <c r="KKS3" s="70"/>
      <c r="KKT3" s="70"/>
      <c r="KKU3" s="70"/>
      <c r="KKV3" s="70"/>
      <c r="KKW3" s="70"/>
      <c r="KKX3" s="70"/>
      <c r="KKY3" s="70"/>
      <c r="KKZ3" s="70"/>
      <c r="KLA3" s="70"/>
      <c r="KLB3" s="70"/>
      <c r="KLC3" s="70"/>
      <c r="KLD3" s="70"/>
      <c r="KLE3" s="70"/>
      <c r="KLF3" s="70"/>
      <c r="KLG3" s="70"/>
      <c r="KLH3" s="70"/>
      <c r="KLI3" s="70"/>
      <c r="KLJ3" s="70"/>
      <c r="KLK3" s="70"/>
      <c r="KLL3" s="70"/>
      <c r="KLM3" s="70"/>
      <c r="KLN3" s="70"/>
      <c r="KLO3" s="70"/>
      <c r="KLP3" s="70"/>
      <c r="KLQ3" s="70"/>
      <c r="KLR3" s="70"/>
      <c r="KLS3" s="70"/>
      <c r="KLT3" s="70"/>
      <c r="KLU3" s="70"/>
      <c r="KLV3" s="70"/>
      <c r="KLW3" s="70"/>
      <c r="KLX3" s="70"/>
      <c r="KLY3" s="70"/>
      <c r="KLZ3" s="70"/>
      <c r="KMA3" s="70"/>
      <c r="KMB3" s="70"/>
      <c r="KMC3" s="70"/>
      <c r="KMD3" s="70"/>
      <c r="KME3" s="70"/>
      <c r="KMF3" s="70"/>
      <c r="KMG3" s="70"/>
      <c r="KMH3" s="70"/>
      <c r="KMI3" s="70"/>
      <c r="KMJ3" s="70"/>
      <c r="KMK3" s="70"/>
      <c r="KML3" s="70"/>
      <c r="KMM3" s="70"/>
      <c r="KMN3" s="70"/>
      <c r="KMO3" s="70"/>
      <c r="KMP3" s="70"/>
      <c r="KMQ3" s="70"/>
      <c r="KMR3" s="70"/>
      <c r="KMS3" s="70"/>
      <c r="KMT3" s="70"/>
      <c r="KMU3" s="70"/>
      <c r="KMV3" s="70"/>
      <c r="KMW3" s="70"/>
      <c r="KMX3" s="70"/>
      <c r="KMY3" s="70"/>
      <c r="KMZ3" s="70"/>
      <c r="KNA3" s="70"/>
      <c r="KNB3" s="70"/>
      <c r="KNC3" s="70"/>
      <c r="KND3" s="70"/>
      <c r="KNE3" s="70"/>
      <c r="KNF3" s="70"/>
      <c r="KNG3" s="70"/>
      <c r="KNH3" s="70"/>
      <c r="KNI3" s="70"/>
      <c r="KNJ3" s="70"/>
      <c r="KNK3" s="70"/>
      <c r="KNL3" s="70"/>
      <c r="KNM3" s="70"/>
      <c r="KNN3" s="70"/>
      <c r="KNO3" s="70"/>
      <c r="KNP3" s="70"/>
      <c r="KNQ3" s="70"/>
      <c r="KNR3" s="70"/>
      <c r="KNS3" s="70"/>
      <c r="KNT3" s="70"/>
      <c r="KNU3" s="70"/>
      <c r="KNV3" s="70"/>
      <c r="KNW3" s="70"/>
      <c r="KNX3" s="70"/>
      <c r="KNY3" s="70"/>
      <c r="KNZ3" s="70"/>
      <c r="KOA3" s="70"/>
      <c r="KOB3" s="70"/>
      <c r="KOC3" s="70"/>
      <c r="KOD3" s="70"/>
      <c r="KOE3" s="70"/>
      <c r="KOF3" s="70"/>
      <c r="KOG3" s="70"/>
      <c r="KOH3" s="70"/>
      <c r="KOI3" s="70"/>
      <c r="KOJ3" s="70"/>
      <c r="KOK3" s="70"/>
      <c r="KOL3" s="70"/>
      <c r="KOM3" s="70"/>
      <c r="KON3" s="70"/>
      <c r="KOO3" s="70"/>
      <c r="KOP3" s="70"/>
      <c r="KOQ3" s="70"/>
      <c r="KOR3" s="70"/>
      <c r="KOS3" s="70"/>
      <c r="KOT3" s="70"/>
      <c r="KOU3" s="70"/>
      <c r="KOV3" s="70"/>
      <c r="KOW3" s="70"/>
      <c r="KOX3" s="70"/>
      <c r="KOY3" s="70"/>
      <c r="KOZ3" s="70"/>
      <c r="KPA3" s="70"/>
      <c r="KPB3" s="70"/>
      <c r="KPC3" s="70"/>
      <c r="KPD3" s="70"/>
      <c r="KPE3" s="70"/>
      <c r="KPF3" s="70"/>
      <c r="KPG3" s="70"/>
      <c r="KPH3" s="70"/>
      <c r="KPI3" s="70"/>
      <c r="KPJ3" s="70"/>
      <c r="KPK3" s="70"/>
      <c r="KPL3" s="70"/>
      <c r="KPM3" s="70"/>
      <c r="KPN3" s="70"/>
      <c r="KPO3" s="70"/>
      <c r="KPP3" s="70"/>
      <c r="KPQ3" s="70"/>
      <c r="KPR3" s="70"/>
      <c r="KPS3" s="70"/>
      <c r="KPT3" s="70"/>
      <c r="KPU3" s="70"/>
      <c r="KPV3" s="70"/>
      <c r="KPW3" s="70"/>
      <c r="KPX3" s="70"/>
      <c r="KPY3" s="70"/>
      <c r="KPZ3" s="70"/>
      <c r="KQA3" s="70"/>
      <c r="KQB3" s="70"/>
      <c r="KQC3" s="70"/>
      <c r="KQD3" s="70"/>
      <c r="KQE3" s="70"/>
      <c r="KQF3" s="70"/>
      <c r="KQG3" s="70"/>
      <c r="KQH3" s="70"/>
      <c r="KQI3" s="70"/>
      <c r="KQJ3" s="70"/>
      <c r="KQK3" s="70"/>
      <c r="KQL3" s="70"/>
      <c r="KQM3" s="70"/>
      <c r="KQN3" s="70"/>
      <c r="KQO3" s="70"/>
      <c r="KQP3" s="70"/>
      <c r="KQQ3" s="70"/>
      <c r="KQR3" s="70"/>
      <c r="KQS3" s="70"/>
      <c r="KQT3" s="70"/>
      <c r="KQU3" s="70"/>
      <c r="KQV3" s="70"/>
      <c r="KQW3" s="70"/>
      <c r="KQX3" s="70"/>
      <c r="KQY3" s="70"/>
      <c r="KQZ3" s="70"/>
      <c r="KRA3" s="70"/>
      <c r="KRB3" s="70"/>
      <c r="KRC3" s="70"/>
      <c r="KRD3" s="70"/>
      <c r="KRE3" s="70"/>
      <c r="KRF3" s="70"/>
      <c r="KRG3" s="70"/>
      <c r="KRH3" s="70"/>
      <c r="KRI3" s="70"/>
      <c r="KRJ3" s="70"/>
      <c r="KRK3" s="70"/>
      <c r="KRL3" s="70"/>
      <c r="KRM3" s="70"/>
      <c r="KRN3" s="70"/>
      <c r="KRO3" s="70"/>
      <c r="KRP3" s="70"/>
      <c r="KRQ3" s="70"/>
      <c r="KRR3" s="70"/>
      <c r="KRS3" s="70"/>
      <c r="KRT3" s="70"/>
      <c r="KRU3" s="70"/>
      <c r="KRV3" s="70"/>
      <c r="KRW3" s="70"/>
      <c r="KRX3" s="70"/>
      <c r="KRY3" s="70"/>
      <c r="KRZ3" s="70"/>
      <c r="KSA3" s="70"/>
      <c r="KSB3" s="70"/>
      <c r="KSC3" s="70"/>
      <c r="KSD3" s="70"/>
      <c r="KSE3" s="70"/>
      <c r="KSF3" s="70"/>
      <c r="KSG3" s="70"/>
      <c r="KSH3" s="70"/>
      <c r="KSI3" s="70"/>
      <c r="KSJ3" s="70"/>
      <c r="KSK3" s="70"/>
      <c r="KSL3" s="70"/>
      <c r="KSM3" s="70"/>
      <c r="KSN3" s="70"/>
      <c r="KSO3" s="70"/>
      <c r="KSP3" s="70"/>
      <c r="KSQ3" s="70"/>
      <c r="KSR3" s="70"/>
      <c r="KSS3" s="70"/>
      <c r="KST3" s="70"/>
      <c r="KSU3" s="70"/>
      <c r="KSV3" s="70"/>
      <c r="KSW3" s="70"/>
      <c r="KSX3" s="70"/>
      <c r="KSY3" s="70"/>
      <c r="KSZ3" s="70"/>
      <c r="KTA3" s="70"/>
      <c r="KTB3" s="70"/>
      <c r="KTC3" s="70"/>
      <c r="KTD3" s="70"/>
      <c r="KTE3" s="70"/>
      <c r="KTF3" s="70"/>
      <c r="KTG3" s="70"/>
      <c r="KTH3" s="70"/>
      <c r="KTI3" s="70"/>
      <c r="KTJ3" s="70"/>
      <c r="KTK3" s="70"/>
      <c r="KTL3" s="70"/>
      <c r="KTM3" s="70"/>
      <c r="KTN3" s="70"/>
      <c r="KTO3" s="70"/>
      <c r="KTP3" s="70"/>
      <c r="KTQ3" s="70"/>
      <c r="KTR3" s="70"/>
      <c r="KTS3" s="70"/>
      <c r="KTT3" s="70"/>
      <c r="KTU3" s="70"/>
      <c r="KTV3" s="70"/>
      <c r="KTW3" s="70"/>
      <c r="KTX3" s="70"/>
      <c r="KTY3" s="70"/>
      <c r="KTZ3" s="70"/>
      <c r="KUA3" s="70"/>
      <c r="KUB3" s="70"/>
      <c r="KUC3" s="70"/>
      <c r="KUD3" s="70"/>
      <c r="KUE3" s="70"/>
      <c r="KUF3" s="70"/>
      <c r="KUG3" s="70"/>
      <c r="KUH3" s="70"/>
      <c r="KUI3" s="70"/>
      <c r="KUJ3" s="70"/>
      <c r="KUK3" s="70"/>
      <c r="KUL3" s="70"/>
      <c r="KUM3" s="70"/>
      <c r="KUN3" s="70"/>
      <c r="KUO3" s="70"/>
      <c r="KUP3" s="70"/>
      <c r="KUQ3" s="70"/>
      <c r="KUR3" s="70"/>
      <c r="KUS3" s="70"/>
      <c r="KUT3" s="70"/>
      <c r="KUU3" s="70"/>
      <c r="KUV3" s="70"/>
      <c r="KUW3" s="70"/>
      <c r="KUX3" s="70"/>
      <c r="KUY3" s="70"/>
      <c r="KUZ3" s="70"/>
      <c r="KVA3" s="70"/>
      <c r="KVB3" s="70"/>
      <c r="KVC3" s="70"/>
      <c r="KVD3" s="70"/>
      <c r="KVE3" s="70"/>
      <c r="KVF3" s="70"/>
      <c r="KVG3" s="70"/>
      <c r="KVH3" s="70"/>
      <c r="KVI3" s="70"/>
      <c r="KVJ3" s="70"/>
      <c r="KVK3" s="70"/>
      <c r="KVL3" s="70"/>
      <c r="KVM3" s="70"/>
      <c r="KVN3" s="70"/>
      <c r="KVO3" s="70"/>
      <c r="KVP3" s="70"/>
      <c r="KVQ3" s="70"/>
      <c r="KVR3" s="70"/>
      <c r="KVS3" s="70"/>
      <c r="KVT3" s="70"/>
      <c r="KVU3" s="70"/>
      <c r="KVV3" s="70"/>
      <c r="KVW3" s="70"/>
      <c r="KVX3" s="70"/>
      <c r="KVY3" s="70"/>
      <c r="KVZ3" s="70"/>
      <c r="KWA3" s="70"/>
      <c r="KWB3" s="70"/>
      <c r="KWC3" s="70"/>
      <c r="KWD3" s="70"/>
      <c r="KWE3" s="70"/>
      <c r="KWF3" s="70"/>
      <c r="KWG3" s="70"/>
      <c r="KWH3" s="70"/>
      <c r="KWI3" s="70"/>
      <c r="KWJ3" s="70"/>
      <c r="KWK3" s="70"/>
      <c r="KWL3" s="70"/>
      <c r="KWM3" s="70"/>
      <c r="KWN3" s="70"/>
      <c r="KWO3" s="70"/>
      <c r="KWP3" s="70"/>
      <c r="KWQ3" s="70"/>
      <c r="KWR3" s="70"/>
      <c r="KWS3" s="70"/>
      <c r="KWT3" s="70"/>
      <c r="KWU3" s="70"/>
      <c r="KWV3" s="70"/>
      <c r="KWW3" s="70"/>
      <c r="KWX3" s="70"/>
      <c r="KWY3" s="70"/>
      <c r="KWZ3" s="70"/>
      <c r="KXA3" s="70"/>
      <c r="KXB3" s="70"/>
      <c r="KXC3" s="70"/>
      <c r="KXD3" s="70"/>
      <c r="KXE3" s="70"/>
      <c r="KXF3" s="70"/>
      <c r="KXG3" s="70"/>
      <c r="KXH3" s="70"/>
      <c r="KXI3" s="70"/>
      <c r="KXJ3" s="70"/>
      <c r="KXK3" s="70"/>
      <c r="KXL3" s="70"/>
      <c r="KXM3" s="70"/>
      <c r="KXN3" s="70"/>
      <c r="KXO3" s="70"/>
      <c r="KXP3" s="70"/>
      <c r="KXQ3" s="70"/>
      <c r="KXR3" s="70"/>
      <c r="KXS3" s="70"/>
      <c r="KXT3" s="70"/>
      <c r="KXU3" s="70"/>
      <c r="KXV3" s="70"/>
      <c r="KXW3" s="70"/>
      <c r="KXX3" s="70"/>
      <c r="KXY3" s="70"/>
      <c r="KXZ3" s="70"/>
      <c r="KYA3" s="70"/>
      <c r="KYB3" s="70"/>
      <c r="KYC3" s="70"/>
      <c r="KYD3" s="70"/>
      <c r="KYE3" s="70"/>
      <c r="KYF3" s="70"/>
      <c r="KYG3" s="70"/>
      <c r="KYH3" s="70"/>
      <c r="KYI3" s="70"/>
      <c r="KYJ3" s="70"/>
      <c r="KYK3" s="70"/>
      <c r="KYL3" s="70"/>
      <c r="KYM3" s="70"/>
      <c r="KYN3" s="70"/>
      <c r="KYO3" s="70"/>
      <c r="KYP3" s="70"/>
      <c r="KYQ3" s="70"/>
      <c r="KYR3" s="70"/>
      <c r="KYS3" s="70"/>
      <c r="KYT3" s="70"/>
      <c r="KYU3" s="70"/>
      <c r="KYV3" s="70"/>
      <c r="KYW3" s="70"/>
      <c r="KYX3" s="70"/>
      <c r="KYY3" s="70"/>
      <c r="KYZ3" s="70"/>
      <c r="KZA3" s="70"/>
      <c r="KZB3" s="70"/>
      <c r="KZC3" s="70"/>
      <c r="KZD3" s="70"/>
      <c r="KZE3" s="70"/>
      <c r="KZF3" s="70"/>
      <c r="KZG3" s="70"/>
      <c r="KZH3" s="70"/>
      <c r="KZI3" s="70"/>
      <c r="KZJ3" s="70"/>
      <c r="KZK3" s="70"/>
      <c r="KZL3" s="70"/>
      <c r="KZM3" s="70"/>
      <c r="KZN3" s="70"/>
      <c r="KZO3" s="70"/>
      <c r="KZP3" s="70"/>
      <c r="KZQ3" s="70"/>
      <c r="KZR3" s="70"/>
      <c r="KZS3" s="70"/>
      <c r="KZT3" s="70"/>
      <c r="KZU3" s="70"/>
      <c r="KZV3" s="70"/>
      <c r="KZW3" s="70"/>
      <c r="KZX3" s="70"/>
      <c r="KZY3" s="70"/>
      <c r="KZZ3" s="70"/>
      <c r="LAA3" s="70"/>
      <c r="LAB3" s="70"/>
      <c r="LAC3" s="70"/>
      <c r="LAD3" s="70"/>
      <c r="LAE3" s="70"/>
      <c r="LAF3" s="70"/>
      <c r="LAG3" s="70"/>
      <c r="LAH3" s="70"/>
      <c r="LAI3" s="70"/>
      <c r="LAJ3" s="70"/>
      <c r="LAK3" s="70"/>
      <c r="LAL3" s="70"/>
      <c r="LAM3" s="70"/>
      <c r="LAN3" s="70"/>
      <c r="LAO3" s="70"/>
      <c r="LAP3" s="70"/>
      <c r="LAQ3" s="70"/>
      <c r="LAR3" s="70"/>
      <c r="LAS3" s="70"/>
      <c r="LAT3" s="70"/>
      <c r="LAU3" s="70"/>
      <c r="LAV3" s="70"/>
      <c r="LAW3" s="70"/>
      <c r="LAX3" s="70"/>
      <c r="LAY3" s="70"/>
      <c r="LAZ3" s="70"/>
      <c r="LBA3" s="70"/>
      <c r="LBB3" s="70"/>
      <c r="LBC3" s="70"/>
      <c r="LBD3" s="70"/>
      <c r="LBE3" s="70"/>
      <c r="LBF3" s="70"/>
      <c r="LBG3" s="70"/>
      <c r="LBH3" s="70"/>
      <c r="LBI3" s="70"/>
      <c r="LBJ3" s="70"/>
      <c r="LBK3" s="70"/>
      <c r="LBL3" s="70"/>
      <c r="LBM3" s="70"/>
      <c r="LBN3" s="70"/>
      <c r="LBO3" s="70"/>
      <c r="LBP3" s="70"/>
      <c r="LBQ3" s="70"/>
      <c r="LBR3" s="70"/>
      <c r="LBS3" s="70"/>
      <c r="LBT3" s="70"/>
      <c r="LBU3" s="70"/>
      <c r="LBV3" s="70"/>
      <c r="LBW3" s="70"/>
      <c r="LBX3" s="70"/>
      <c r="LBY3" s="70"/>
      <c r="LBZ3" s="70"/>
      <c r="LCA3" s="70"/>
      <c r="LCB3" s="70"/>
      <c r="LCC3" s="70"/>
      <c r="LCD3" s="70"/>
      <c r="LCE3" s="70"/>
      <c r="LCF3" s="70"/>
      <c r="LCG3" s="70"/>
      <c r="LCH3" s="70"/>
      <c r="LCI3" s="70"/>
      <c r="LCJ3" s="70"/>
      <c r="LCK3" s="70"/>
      <c r="LCL3" s="70"/>
      <c r="LCM3" s="70"/>
      <c r="LCN3" s="70"/>
      <c r="LCO3" s="70"/>
      <c r="LCP3" s="70"/>
      <c r="LCQ3" s="70"/>
      <c r="LCR3" s="70"/>
      <c r="LCS3" s="70"/>
      <c r="LCT3" s="70"/>
      <c r="LCU3" s="70"/>
      <c r="LCV3" s="70"/>
      <c r="LCW3" s="70"/>
      <c r="LCX3" s="70"/>
      <c r="LCY3" s="70"/>
      <c r="LCZ3" s="70"/>
      <c r="LDA3" s="70"/>
      <c r="LDB3" s="70"/>
      <c r="LDC3" s="70"/>
      <c r="LDD3" s="70"/>
      <c r="LDE3" s="70"/>
      <c r="LDF3" s="70"/>
      <c r="LDG3" s="70"/>
      <c r="LDH3" s="70"/>
      <c r="LDI3" s="70"/>
      <c r="LDJ3" s="70"/>
      <c r="LDK3" s="70"/>
      <c r="LDL3" s="70"/>
      <c r="LDM3" s="70"/>
      <c r="LDN3" s="70"/>
      <c r="LDO3" s="70"/>
      <c r="LDP3" s="70"/>
      <c r="LDQ3" s="70"/>
      <c r="LDR3" s="70"/>
      <c r="LDS3" s="70"/>
      <c r="LDT3" s="70"/>
      <c r="LDU3" s="70"/>
      <c r="LDV3" s="70"/>
      <c r="LDW3" s="70"/>
      <c r="LDX3" s="70"/>
      <c r="LDY3" s="70"/>
      <c r="LDZ3" s="70"/>
      <c r="LEA3" s="70"/>
      <c r="LEB3" s="70"/>
      <c r="LEC3" s="70"/>
      <c r="LED3" s="70"/>
      <c r="LEE3" s="70"/>
      <c r="LEF3" s="70"/>
      <c r="LEG3" s="70"/>
      <c r="LEH3" s="70"/>
      <c r="LEI3" s="70"/>
      <c r="LEJ3" s="70"/>
      <c r="LEK3" s="70"/>
      <c r="LEL3" s="70"/>
      <c r="LEM3" s="70"/>
      <c r="LEN3" s="70"/>
      <c r="LEO3" s="70"/>
      <c r="LEP3" s="70"/>
      <c r="LEQ3" s="70"/>
      <c r="LER3" s="70"/>
      <c r="LES3" s="70"/>
      <c r="LET3" s="70"/>
      <c r="LEU3" s="70"/>
      <c r="LEV3" s="70"/>
      <c r="LEW3" s="70"/>
      <c r="LEX3" s="70"/>
      <c r="LEY3" s="70"/>
      <c r="LEZ3" s="70"/>
      <c r="LFA3" s="70"/>
      <c r="LFB3" s="70"/>
      <c r="LFC3" s="70"/>
      <c r="LFD3" s="70"/>
      <c r="LFE3" s="70"/>
      <c r="LFF3" s="70"/>
      <c r="LFG3" s="70"/>
      <c r="LFH3" s="70"/>
      <c r="LFI3" s="70"/>
      <c r="LFJ3" s="70"/>
      <c r="LFK3" s="70"/>
      <c r="LFL3" s="70"/>
      <c r="LFM3" s="70"/>
      <c r="LFN3" s="70"/>
      <c r="LFO3" s="70"/>
      <c r="LFP3" s="70"/>
      <c r="LFQ3" s="70"/>
      <c r="LFR3" s="70"/>
      <c r="LFS3" s="70"/>
      <c r="LFT3" s="70"/>
      <c r="LFU3" s="70"/>
      <c r="LFV3" s="70"/>
      <c r="LFW3" s="70"/>
      <c r="LFX3" s="70"/>
      <c r="LFY3" s="70"/>
      <c r="LFZ3" s="70"/>
      <c r="LGA3" s="70"/>
      <c r="LGB3" s="70"/>
      <c r="LGC3" s="70"/>
      <c r="LGD3" s="70"/>
      <c r="LGE3" s="70"/>
      <c r="LGF3" s="70"/>
      <c r="LGG3" s="70"/>
      <c r="LGH3" s="70"/>
      <c r="LGI3" s="70"/>
      <c r="LGJ3" s="70"/>
      <c r="LGK3" s="70"/>
      <c r="LGL3" s="70"/>
      <c r="LGM3" s="70"/>
      <c r="LGN3" s="70"/>
      <c r="LGO3" s="70"/>
      <c r="LGP3" s="70"/>
      <c r="LGQ3" s="70"/>
      <c r="LGR3" s="70"/>
      <c r="LGS3" s="70"/>
      <c r="LGT3" s="70"/>
      <c r="LGU3" s="70"/>
      <c r="LGV3" s="70"/>
      <c r="LGW3" s="70"/>
      <c r="LGX3" s="70"/>
      <c r="LGY3" s="70"/>
      <c r="LGZ3" s="70"/>
      <c r="LHA3" s="70"/>
      <c r="LHB3" s="70"/>
      <c r="LHC3" s="70"/>
      <c r="LHD3" s="70"/>
      <c r="LHE3" s="70"/>
      <c r="LHF3" s="70"/>
      <c r="LHG3" s="70"/>
      <c r="LHH3" s="70"/>
      <c r="LHI3" s="70"/>
      <c r="LHJ3" s="70"/>
      <c r="LHK3" s="70"/>
      <c r="LHL3" s="70"/>
      <c r="LHM3" s="70"/>
      <c r="LHN3" s="70"/>
      <c r="LHO3" s="70"/>
      <c r="LHP3" s="70"/>
      <c r="LHQ3" s="70"/>
      <c r="LHR3" s="70"/>
      <c r="LHS3" s="70"/>
      <c r="LHT3" s="70"/>
      <c r="LHU3" s="70"/>
      <c r="LHV3" s="70"/>
      <c r="LHW3" s="70"/>
      <c r="LHX3" s="70"/>
      <c r="LHY3" s="70"/>
      <c r="LHZ3" s="70"/>
      <c r="LIA3" s="70"/>
      <c r="LIB3" s="70"/>
      <c r="LIC3" s="70"/>
      <c r="LID3" s="70"/>
      <c r="LIE3" s="70"/>
      <c r="LIF3" s="70"/>
      <c r="LIG3" s="70"/>
      <c r="LIH3" s="70"/>
      <c r="LII3" s="70"/>
      <c r="LIJ3" s="70"/>
      <c r="LIK3" s="70"/>
      <c r="LIL3" s="70"/>
      <c r="LIM3" s="70"/>
      <c r="LIN3" s="70"/>
      <c r="LIO3" s="70"/>
      <c r="LIP3" s="70"/>
      <c r="LIQ3" s="70"/>
      <c r="LIR3" s="70"/>
      <c r="LIS3" s="70"/>
      <c r="LIT3" s="70"/>
      <c r="LIU3" s="70"/>
      <c r="LIV3" s="70"/>
      <c r="LIW3" s="70"/>
      <c r="LIX3" s="70"/>
      <c r="LIY3" s="70"/>
      <c r="LIZ3" s="70"/>
      <c r="LJA3" s="70"/>
      <c r="LJB3" s="70"/>
      <c r="LJC3" s="70"/>
      <c r="LJD3" s="70"/>
      <c r="LJE3" s="70"/>
      <c r="LJF3" s="70"/>
      <c r="LJG3" s="70"/>
      <c r="LJH3" s="70"/>
      <c r="LJI3" s="70"/>
      <c r="LJJ3" s="70"/>
      <c r="LJK3" s="70"/>
      <c r="LJL3" s="70"/>
      <c r="LJM3" s="70"/>
      <c r="LJN3" s="70"/>
      <c r="LJO3" s="70"/>
      <c r="LJP3" s="70"/>
      <c r="LJQ3" s="70"/>
      <c r="LJR3" s="70"/>
      <c r="LJS3" s="70"/>
      <c r="LJT3" s="70"/>
      <c r="LJU3" s="70"/>
      <c r="LJV3" s="70"/>
      <c r="LJW3" s="70"/>
      <c r="LJX3" s="70"/>
      <c r="LJY3" s="70"/>
      <c r="LJZ3" s="70"/>
      <c r="LKA3" s="70"/>
      <c r="LKB3" s="70"/>
      <c r="LKC3" s="70"/>
      <c r="LKD3" s="70"/>
      <c r="LKE3" s="70"/>
      <c r="LKF3" s="70"/>
      <c r="LKG3" s="70"/>
      <c r="LKH3" s="70"/>
      <c r="LKI3" s="70"/>
      <c r="LKJ3" s="70"/>
      <c r="LKK3" s="70"/>
      <c r="LKL3" s="70"/>
      <c r="LKM3" s="70"/>
      <c r="LKN3" s="70"/>
      <c r="LKO3" s="70"/>
      <c r="LKP3" s="70"/>
      <c r="LKQ3" s="70"/>
      <c r="LKR3" s="70"/>
      <c r="LKS3" s="70"/>
      <c r="LKT3" s="70"/>
      <c r="LKU3" s="70"/>
      <c r="LKV3" s="70"/>
      <c r="LKW3" s="70"/>
      <c r="LKX3" s="70"/>
      <c r="LKY3" s="70"/>
      <c r="LKZ3" s="70"/>
      <c r="LLA3" s="70"/>
      <c r="LLB3" s="70"/>
      <c r="LLC3" s="70"/>
      <c r="LLD3" s="70"/>
      <c r="LLE3" s="70"/>
      <c r="LLF3" s="70"/>
      <c r="LLG3" s="70"/>
      <c r="LLH3" s="70"/>
      <c r="LLI3" s="70"/>
      <c r="LLJ3" s="70"/>
      <c r="LLK3" s="70"/>
      <c r="LLL3" s="70"/>
      <c r="LLM3" s="70"/>
      <c r="LLN3" s="70"/>
      <c r="LLO3" s="70"/>
      <c r="LLP3" s="70"/>
      <c r="LLQ3" s="70"/>
      <c r="LLR3" s="70"/>
      <c r="LLS3" s="70"/>
      <c r="LLT3" s="70"/>
      <c r="LLU3" s="70"/>
      <c r="LLV3" s="70"/>
      <c r="LLW3" s="70"/>
      <c r="LLX3" s="70"/>
      <c r="LLY3" s="70"/>
      <c r="LLZ3" s="70"/>
      <c r="LMA3" s="70"/>
      <c r="LMB3" s="70"/>
      <c r="LMC3" s="70"/>
      <c r="LMD3" s="70"/>
      <c r="LME3" s="70"/>
      <c r="LMF3" s="70"/>
      <c r="LMG3" s="70"/>
      <c r="LMH3" s="70"/>
      <c r="LMI3" s="70"/>
      <c r="LMJ3" s="70"/>
      <c r="LMK3" s="70"/>
      <c r="LML3" s="70"/>
      <c r="LMM3" s="70"/>
      <c r="LMN3" s="70"/>
      <c r="LMO3" s="70"/>
      <c r="LMP3" s="70"/>
      <c r="LMQ3" s="70"/>
      <c r="LMR3" s="70"/>
      <c r="LMS3" s="70"/>
      <c r="LMT3" s="70"/>
      <c r="LMU3" s="70"/>
      <c r="LMV3" s="70"/>
      <c r="LMW3" s="70"/>
      <c r="LMX3" s="70"/>
      <c r="LMY3" s="70"/>
      <c r="LMZ3" s="70"/>
      <c r="LNA3" s="70"/>
      <c r="LNB3" s="70"/>
      <c r="LNC3" s="70"/>
      <c r="LND3" s="70"/>
      <c r="LNE3" s="70"/>
      <c r="LNF3" s="70"/>
      <c r="LNG3" s="70"/>
      <c r="LNH3" s="70"/>
      <c r="LNI3" s="70"/>
      <c r="LNJ3" s="70"/>
      <c r="LNK3" s="70"/>
      <c r="LNL3" s="70"/>
      <c r="LNM3" s="70"/>
      <c r="LNN3" s="70"/>
      <c r="LNO3" s="70"/>
      <c r="LNP3" s="70"/>
      <c r="LNQ3" s="70"/>
      <c r="LNR3" s="70"/>
      <c r="LNS3" s="70"/>
      <c r="LNT3" s="70"/>
      <c r="LNU3" s="70"/>
      <c r="LNV3" s="70"/>
      <c r="LNW3" s="70"/>
      <c r="LNX3" s="70"/>
      <c r="LNY3" s="70"/>
      <c r="LNZ3" s="70"/>
      <c r="LOA3" s="70"/>
      <c r="LOB3" s="70"/>
      <c r="LOC3" s="70"/>
      <c r="LOD3" s="70"/>
      <c r="LOE3" s="70"/>
      <c r="LOF3" s="70"/>
      <c r="LOG3" s="70"/>
      <c r="LOH3" s="70"/>
      <c r="LOI3" s="70"/>
      <c r="LOJ3" s="70"/>
      <c r="LOK3" s="70"/>
      <c r="LOL3" s="70"/>
      <c r="LOM3" s="70"/>
      <c r="LON3" s="70"/>
      <c r="LOO3" s="70"/>
      <c r="LOP3" s="70"/>
      <c r="LOQ3" s="70"/>
      <c r="LOR3" s="70"/>
      <c r="LOS3" s="70"/>
      <c r="LOT3" s="70"/>
      <c r="LOU3" s="70"/>
      <c r="LOV3" s="70"/>
      <c r="LOW3" s="70"/>
      <c r="LOX3" s="70"/>
      <c r="LOY3" s="70"/>
      <c r="LOZ3" s="70"/>
      <c r="LPA3" s="70"/>
      <c r="LPB3" s="70"/>
      <c r="LPC3" s="70"/>
      <c r="LPD3" s="70"/>
      <c r="LPE3" s="70"/>
      <c r="LPF3" s="70"/>
      <c r="LPG3" s="70"/>
      <c r="LPH3" s="70"/>
      <c r="LPI3" s="70"/>
      <c r="LPJ3" s="70"/>
      <c r="LPK3" s="70"/>
      <c r="LPL3" s="70"/>
      <c r="LPM3" s="70"/>
      <c r="LPN3" s="70"/>
      <c r="LPO3" s="70"/>
      <c r="LPP3" s="70"/>
      <c r="LPQ3" s="70"/>
      <c r="LPR3" s="70"/>
      <c r="LPS3" s="70"/>
      <c r="LPT3" s="70"/>
      <c r="LPU3" s="70"/>
      <c r="LPV3" s="70"/>
      <c r="LPW3" s="70"/>
      <c r="LPX3" s="70"/>
      <c r="LPY3" s="70"/>
      <c r="LPZ3" s="70"/>
      <c r="LQA3" s="70"/>
      <c r="LQB3" s="70"/>
      <c r="LQC3" s="70"/>
      <c r="LQD3" s="70"/>
      <c r="LQE3" s="70"/>
      <c r="LQF3" s="70"/>
      <c r="LQG3" s="70"/>
      <c r="LQH3" s="70"/>
      <c r="LQI3" s="70"/>
      <c r="LQJ3" s="70"/>
      <c r="LQK3" s="70"/>
      <c r="LQL3" s="70"/>
      <c r="LQM3" s="70"/>
      <c r="LQN3" s="70"/>
      <c r="LQO3" s="70"/>
      <c r="LQP3" s="70"/>
      <c r="LQQ3" s="70"/>
      <c r="LQR3" s="70"/>
      <c r="LQS3" s="70"/>
      <c r="LQT3" s="70"/>
      <c r="LQU3" s="70"/>
      <c r="LQV3" s="70"/>
      <c r="LQW3" s="70"/>
      <c r="LQX3" s="70"/>
      <c r="LQY3" s="70"/>
      <c r="LQZ3" s="70"/>
      <c r="LRA3" s="70"/>
      <c r="LRB3" s="70"/>
      <c r="LRC3" s="70"/>
      <c r="LRD3" s="70"/>
      <c r="LRE3" s="70"/>
      <c r="LRF3" s="70"/>
      <c r="LRG3" s="70"/>
      <c r="LRH3" s="70"/>
      <c r="LRI3" s="70"/>
      <c r="LRJ3" s="70"/>
      <c r="LRK3" s="70"/>
      <c r="LRL3" s="70"/>
      <c r="LRM3" s="70"/>
      <c r="LRN3" s="70"/>
      <c r="LRO3" s="70"/>
      <c r="LRP3" s="70"/>
      <c r="LRQ3" s="70"/>
      <c r="LRR3" s="70"/>
      <c r="LRS3" s="70"/>
      <c r="LRT3" s="70"/>
      <c r="LRU3" s="70"/>
      <c r="LRV3" s="70"/>
      <c r="LRW3" s="70"/>
      <c r="LRX3" s="70"/>
      <c r="LRY3" s="70"/>
      <c r="LRZ3" s="70"/>
      <c r="LSA3" s="70"/>
      <c r="LSB3" s="70"/>
      <c r="LSC3" s="70"/>
      <c r="LSD3" s="70"/>
      <c r="LSE3" s="70"/>
      <c r="LSF3" s="70"/>
      <c r="LSG3" s="70"/>
      <c r="LSH3" s="70"/>
      <c r="LSI3" s="70"/>
      <c r="LSJ3" s="70"/>
      <c r="LSK3" s="70"/>
      <c r="LSL3" s="70"/>
      <c r="LSM3" s="70"/>
      <c r="LSN3" s="70"/>
      <c r="LSO3" s="70"/>
      <c r="LSP3" s="70"/>
      <c r="LSQ3" s="70"/>
      <c r="LSR3" s="70"/>
      <c r="LSS3" s="70"/>
      <c r="LST3" s="70"/>
      <c r="LSU3" s="70"/>
      <c r="LSV3" s="70"/>
      <c r="LSW3" s="70"/>
      <c r="LSX3" s="70"/>
      <c r="LSY3" s="70"/>
      <c r="LSZ3" s="70"/>
      <c r="LTA3" s="70"/>
      <c r="LTB3" s="70"/>
      <c r="LTC3" s="70"/>
      <c r="LTD3" s="70"/>
      <c r="LTE3" s="70"/>
      <c r="LTF3" s="70"/>
      <c r="LTG3" s="70"/>
      <c r="LTH3" s="70"/>
      <c r="LTI3" s="70"/>
      <c r="LTJ3" s="70"/>
      <c r="LTK3" s="70"/>
      <c r="LTL3" s="70"/>
      <c r="LTM3" s="70"/>
      <c r="LTN3" s="70"/>
      <c r="LTO3" s="70"/>
      <c r="LTP3" s="70"/>
      <c r="LTQ3" s="70"/>
      <c r="LTR3" s="70"/>
      <c r="LTS3" s="70"/>
      <c r="LTT3" s="70"/>
      <c r="LTU3" s="70"/>
      <c r="LTV3" s="70"/>
      <c r="LTW3" s="70"/>
      <c r="LTX3" s="70"/>
      <c r="LTY3" s="70"/>
      <c r="LTZ3" s="70"/>
      <c r="LUA3" s="70"/>
      <c r="LUB3" s="70"/>
      <c r="LUC3" s="70"/>
      <c r="LUD3" s="70"/>
      <c r="LUE3" s="70"/>
      <c r="LUF3" s="70"/>
      <c r="LUG3" s="70"/>
      <c r="LUH3" s="70"/>
      <c r="LUI3" s="70"/>
      <c r="LUJ3" s="70"/>
      <c r="LUK3" s="70"/>
      <c r="LUL3" s="70"/>
      <c r="LUM3" s="70"/>
      <c r="LUN3" s="70"/>
      <c r="LUO3" s="70"/>
      <c r="LUP3" s="70"/>
      <c r="LUQ3" s="70"/>
      <c r="LUR3" s="70"/>
      <c r="LUS3" s="70"/>
      <c r="LUT3" s="70"/>
      <c r="LUU3" s="70"/>
      <c r="LUV3" s="70"/>
      <c r="LUW3" s="70"/>
      <c r="LUX3" s="70"/>
      <c r="LUY3" s="70"/>
      <c r="LUZ3" s="70"/>
      <c r="LVA3" s="70"/>
      <c r="LVB3" s="70"/>
      <c r="LVC3" s="70"/>
      <c r="LVD3" s="70"/>
      <c r="LVE3" s="70"/>
      <c r="LVF3" s="70"/>
      <c r="LVG3" s="70"/>
      <c r="LVH3" s="70"/>
      <c r="LVI3" s="70"/>
      <c r="LVJ3" s="70"/>
      <c r="LVK3" s="70"/>
      <c r="LVL3" s="70"/>
      <c r="LVM3" s="70"/>
      <c r="LVN3" s="70"/>
      <c r="LVO3" s="70"/>
      <c r="LVP3" s="70"/>
      <c r="LVQ3" s="70"/>
      <c r="LVR3" s="70"/>
      <c r="LVS3" s="70"/>
      <c r="LVT3" s="70"/>
      <c r="LVU3" s="70"/>
      <c r="LVV3" s="70"/>
      <c r="LVW3" s="70"/>
      <c r="LVX3" s="70"/>
      <c r="LVY3" s="70"/>
      <c r="LVZ3" s="70"/>
      <c r="LWA3" s="70"/>
      <c r="LWB3" s="70"/>
      <c r="LWC3" s="70"/>
      <c r="LWD3" s="70"/>
      <c r="LWE3" s="70"/>
      <c r="LWF3" s="70"/>
      <c r="LWG3" s="70"/>
      <c r="LWH3" s="70"/>
      <c r="LWI3" s="70"/>
      <c r="LWJ3" s="70"/>
      <c r="LWK3" s="70"/>
      <c r="LWL3" s="70"/>
      <c r="LWM3" s="70"/>
      <c r="LWN3" s="70"/>
      <c r="LWO3" s="70"/>
      <c r="LWP3" s="70"/>
      <c r="LWQ3" s="70"/>
      <c r="LWR3" s="70"/>
      <c r="LWS3" s="70"/>
      <c r="LWT3" s="70"/>
      <c r="LWU3" s="70"/>
      <c r="LWV3" s="70"/>
      <c r="LWW3" s="70"/>
      <c r="LWX3" s="70"/>
      <c r="LWY3" s="70"/>
      <c r="LWZ3" s="70"/>
      <c r="LXA3" s="70"/>
      <c r="LXB3" s="70"/>
      <c r="LXC3" s="70"/>
      <c r="LXD3" s="70"/>
      <c r="LXE3" s="70"/>
      <c r="LXF3" s="70"/>
      <c r="LXG3" s="70"/>
      <c r="LXH3" s="70"/>
      <c r="LXI3" s="70"/>
      <c r="LXJ3" s="70"/>
      <c r="LXK3" s="70"/>
      <c r="LXL3" s="70"/>
      <c r="LXM3" s="70"/>
      <c r="LXN3" s="70"/>
      <c r="LXO3" s="70"/>
      <c r="LXP3" s="70"/>
      <c r="LXQ3" s="70"/>
      <c r="LXR3" s="70"/>
      <c r="LXS3" s="70"/>
      <c r="LXT3" s="70"/>
      <c r="LXU3" s="70"/>
      <c r="LXV3" s="70"/>
      <c r="LXW3" s="70"/>
      <c r="LXX3" s="70"/>
      <c r="LXY3" s="70"/>
      <c r="LXZ3" s="70"/>
      <c r="LYA3" s="70"/>
      <c r="LYB3" s="70"/>
      <c r="LYC3" s="70"/>
      <c r="LYD3" s="70"/>
      <c r="LYE3" s="70"/>
      <c r="LYF3" s="70"/>
      <c r="LYG3" s="70"/>
      <c r="LYH3" s="70"/>
      <c r="LYI3" s="70"/>
      <c r="LYJ3" s="70"/>
      <c r="LYK3" s="70"/>
      <c r="LYL3" s="70"/>
      <c r="LYM3" s="70"/>
      <c r="LYN3" s="70"/>
      <c r="LYO3" s="70"/>
      <c r="LYP3" s="70"/>
      <c r="LYQ3" s="70"/>
      <c r="LYR3" s="70"/>
      <c r="LYS3" s="70"/>
      <c r="LYT3" s="70"/>
      <c r="LYU3" s="70"/>
      <c r="LYV3" s="70"/>
      <c r="LYW3" s="70"/>
      <c r="LYX3" s="70"/>
      <c r="LYY3" s="70"/>
      <c r="LYZ3" s="70"/>
      <c r="LZA3" s="70"/>
      <c r="LZB3" s="70"/>
      <c r="LZC3" s="70"/>
      <c r="LZD3" s="70"/>
      <c r="LZE3" s="70"/>
      <c r="LZF3" s="70"/>
      <c r="LZG3" s="70"/>
      <c r="LZH3" s="70"/>
      <c r="LZI3" s="70"/>
      <c r="LZJ3" s="70"/>
      <c r="LZK3" s="70"/>
      <c r="LZL3" s="70"/>
      <c r="LZM3" s="70"/>
      <c r="LZN3" s="70"/>
      <c r="LZO3" s="70"/>
      <c r="LZP3" s="70"/>
      <c r="LZQ3" s="70"/>
      <c r="LZR3" s="70"/>
      <c r="LZS3" s="70"/>
      <c r="LZT3" s="70"/>
      <c r="LZU3" s="70"/>
      <c r="LZV3" s="70"/>
      <c r="LZW3" s="70"/>
      <c r="LZX3" s="70"/>
      <c r="LZY3" s="70"/>
      <c r="LZZ3" s="70"/>
      <c r="MAA3" s="70"/>
      <c r="MAB3" s="70"/>
      <c r="MAC3" s="70"/>
      <c r="MAD3" s="70"/>
      <c r="MAE3" s="70"/>
      <c r="MAF3" s="70"/>
      <c r="MAG3" s="70"/>
      <c r="MAH3" s="70"/>
      <c r="MAI3" s="70"/>
      <c r="MAJ3" s="70"/>
      <c r="MAK3" s="70"/>
      <c r="MAL3" s="70"/>
      <c r="MAM3" s="70"/>
      <c r="MAN3" s="70"/>
      <c r="MAO3" s="70"/>
      <c r="MAP3" s="70"/>
      <c r="MAQ3" s="70"/>
      <c r="MAR3" s="70"/>
      <c r="MAS3" s="70"/>
      <c r="MAT3" s="70"/>
      <c r="MAU3" s="70"/>
      <c r="MAV3" s="70"/>
      <c r="MAW3" s="70"/>
      <c r="MAX3" s="70"/>
      <c r="MAY3" s="70"/>
      <c r="MAZ3" s="70"/>
      <c r="MBA3" s="70"/>
      <c r="MBB3" s="70"/>
      <c r="MBC3" s="70"/>
      <c r="MBD3" s="70"/>
      <c r="MBE3" s="70"/>
      <c r="MBF3" s="70"/>
      <c r="MBG3" s="70"/>
      <c r="MBH3" s="70"/>
      <c r="MBI3" s="70"/>
      <c r="MBJ3" s="70"/>
      <c r="MBK3" s="70"/>
      <c r="MBL3" s="70"/>
      <c r="MBM3" s="70"/>
      <c r="MBN3" s="70"/>
      <c r="MBO3" s="70"/>
      <c r="MBP3" s="70"/>
      <c r="MBQ3" s="70"/>
      <c r="MBR3" s="70"/>
      <c r="MBS3" s="70"/>
      <c r="MBT3" s="70"/>
      <c r="MBU3" s="70"/>
      <c r="MBV3" s="70"/>
      <c r="MBW3" s="70"/>
      <c r="MBX3" s="70"/>
      <c r="MBY3" s="70"/>
      <c r="MBZ3" s="70"/>
      <c r="MCA3" s="70"/>
      <c r="MCB3" s="70"/>
      <c r="MCC3" s="70"/>
      <c r="MCD3" s="70"/>
      <c r="MCE3" s="70"/>
      <c r="MCF3" s="70"/>
      <c r="MCG3" s="70"/>
      <c r="MCH3" s="70"/>
      <c r="MCI3" s="70"/>
      <c r="MCJ3" s="70"/>
      <c r="MCK3" s="70"/>
      <c r="MCL3" s="70"/>
      <c r="MCM3" s="70"/>
      <c r="MCN3" s="70"/>
      <c r="MCO3" s="70"/>
      <c r="MCP3" s="70"/>
      <c r="MCQ3" s="70"/>
      <c r="MCR3" s="70"/>
      <c r="MCS3" s="70"/>
      <c r="MCT3" s="70"/>
      <c r="MCU3" s="70"/>
      <c r="MCV3" s="70"/>
      <c r="MCW3" s="70"/>
      <c r="MCX3" s="70"/>
      <c r="MCY3" s="70"/>
      <c r="MCZ3" s="70"/>
      <c r="MDA3" s="70"/>
      <c r="MDB3" s="70"/>
      <c r="MDC3" s="70"/>
      <c r="MDD3" s="70"/>
      <c r="MDE3" s="70"/>
      <c r="MDF3" s="70"/>
      <c r="MDG3" s="70"/>
      <c r="MDH3" s="70"/>
      <c r="MDI3" s="70"/>
      <c r="MDJ3" s="70"/>
      <c r="MDK3" s="70"/>
      <c r="MDL3" s="70"/>
      <c r="MDM3" s="70"/>
      <c r="MDN3" s="70"/>
      <c r="MDO3" s="70"/>
      <c r="MDP3" s="70"/>
      <c r="MDQ3" s="70"/>
      <c r="MDR3" s="70"/>
      <c r="MDS3" s="70"/>
      <c r="MDT3" s="70"/>
      <c r="MDU3" s="70"/>
      <c r="MDV3" s="70"/>
      <c r="MDW3" s="70"/>
      <c r="MDX3" s="70"/>
      <c r="MDY3" s="70"/>
      <c r="MDZ3" s="70"/>
      <c r="MEA3" s="70"/>
      <c r="MEB3" s="70"/>
      <c r="MEC3" s="70"/>
      <c r="MED3" s="70"/>
      <c r="MEE3" s="70"/>
      <c r="MEF3" s="70"/>
      <c r="MEG3" s="70"/>
      <c r="MEH3" s="70"/>
      <c r="MEI3" s="70"/>
      <c r="MEJ3" s="70"/>
      <c r="MEK3" s="70"/>
      <c r="MEL3" s="70"/>
      <c r="MEM3" s="70"/>
      <c r="MEN3" s="70"/>
      <c r="MEO3" s="70"/>
      <c r="MEP3" s="70"/>
      <c r="MEQ3" s="70"/>
      <c r="MER3" s="70"/>
      <c r="MES3" s="70"/>
      <c r="MET3" s="70"/>
      <c r="MEU3" s="70"/>
      <c r="MEV3" s="70"/>
      <c r="MEW3" s="70"/>
      <c r="MEX3" s="70"/>
      <c r="MEY3" s="70"/>
      <c r="MEZ3" s="70"/>
      <c r="MFA3" s="70"/>
      <c r="MFB3" s="70"/>
      <c r="MFC3" s="70"/>
      <c r="MFD3" s="70"/>
      <c r="MFE3" s="70"/>
      <c r="MFF3" s="70"/>
      <c r="MFG3" s="70"/>
      <c r="MFH3" s="70"/>
      <c r="MFI3" s="70"/>
      <c r="MFJ3" s="70"/>
      <c r="MFK3" s="70"/>
      <c r="MFL3" s="70"/>
      <c r="MFM3" s="70"/>
      <c r="MFN3" s="70"/>
      <c r="MFO3" s="70"/>
      <c r="MFP3" s="70"/>
      <c r="MFQ3" s="70"/>
      <c r="MFR3" s="70"/>
      <c r="MFS3" s="70"/>
      <c r="MFT3" s="70"/>
      <c r="MFU3" s="70"/>
      <c r="MFV3" s="70"/>
      <c r="MFW3" s="70"/>
      <c r="MFX3" s="70"/>
      <c r="MFY3" s="70"/>
      <c r="MFZ3" s="70"/>
      <c r="MGA3" s="70"/>
      <c r="MGB3" s="70"/>
      <c r="MGC3" s="70"/>
      <c r="MGD3" s="70"/>
      <c r="MGE3" s="70"/>
      <c r="MGF3" s="70"/>
      <c r="MGG3" s="70"/>
      <c r="MGH3" s="70"/>
      <c r="MGI3" s="70"/>
      <c r="MGJ3" s="70"/>
      <c r="MGK3" s="70"/>
      <c r="MGL3" s="70"/>
      <c r="MGM3" s="70"/>
      <c r="MGN3" s="70"/>
      <c r="MGO3" s="70"/>
      <c r="MGP3" s="70"/>
      <c r="MGQ3" s="70"/>
      <c r="MGR3" s="70"/>
      <c r="MGS3" s="70"/>
      <c r="MGT3" s="70"/>
      <c r="MGU3" s="70"/>
      <c r="MGV3" s="70"/>
      <c r="MGW3" s="70"/>
      <c r="MGX3" s="70"/>
      <c r="MGY3" s="70"/>
      <c r="MGZ3" s="70"/>
      <c r="MHA3" s="70"/>
      <c r="MHB3" s="70"/>
      <c r="MHC3" s="70"/>
      <c r="MHD3" s="70"/>
      <c r="MHE3" s="70"/>
      <c r="MHF3" s="70"/>
      <c r="MHG3" s="70"/>
      <c r="MHH3" s="70"/>
      <c r="MHI3" s="70"/>
      <c r="MHJ3" s="70"/>
      <c r="MHK3" s="70"/>
      <c r="MHL3" s="70"/>
      <c r="MHM3" s="70"/>
      <c r="MHN3" s="70"/>
      <c r="MHO3" s="70"/>
      <c r="MHP3" s="70"/>
      <c r="MHQ3" s="70"/>
      <c r="MHR3" s="70"/>
      <c r="MHS3" s="70"/>
      <c r="MHT3" s="70"/>
      <c r="MHU3" s="70"/>
      <c r="MHV3" s="70"/>
      <c r="MHW3" s="70"/>
      <c r="MHX3" s="70"/>
      <c r="MHY3" s="70"/>
      <c r="MHZ3" s="70"/>
      <c r="MIA3" s="70"/>
      <c r="MIB3" s="70"/>
      <c r="MIC3" s="70"/>
      <c r="MID3" s="70"/>
      <c r="MIE3" s="70"/>
      <c r="MIF3" s="70"/>
      <c r="MIG3" s="70"/>
      <c r="MIH3" s="70"/>
      <c r="MII3" s="70"/>
      <c r="MIJ3" s="70"/>
      <c r="MIK3" s="70"/>
      <c r="MIL3" s="70"/>
      <c r="MIM3" s="70"/>
      <c r="MIN3" s="70"/>
      <c r="MIO3" s="70"/>
      <c r="MIP3" s="70"/>
      <c r="MIQ3" s="70"/>
      <c r="MIR3" s="70"/>
      <c r="MIS3" s="70"/>
      <c r="MIT3" s="70"/>
      <c r="MIU3" s="70"/>
      <c r="MIV3" s="70"/>
      <c r="MIW3" s="70"/>
      <c r="MIX3" s="70"/>
      <c r="MIY3" s="70"/>
      <c r="MIZ3" s="70"/>
      <c r="MJA3" s="70"/>
      <c r="MJB3" s="70"/>
      <c r="MJC3" s="70"/>
      <c r="MJD3" s="70"/>
      <c r="MJE3" s="70"/>
      <c r="MJF3" s="70"/>
      <c r="MJG3" s="70"/>
      <c r="MJH3" s="70"/>
      <c r="MJI3" s="70"/>
      <c r="MJJ3" s="70"/>
      <c r="MJK3" s="70"/>
      <c r="MJL3" s="70"/>
      <c r="MJM3" s="70"/>
      <c r="MJN3" s="70"/>
      <c r="MJO3" s="70"/>
      <c r="MJP3" s="70"/>
      <c r="MJQ3" s="70"/>
      <c r="MJR3" s="70"/>
      <c r="MJS3" s="70"/>
      <c r="MJT3" s="70"/>
      <c r="MJU3" s="70"/>
      <c r="MJV3" s="70"/>
      <c r="MJW3" s="70"/>
      <c r="MJX3" s="70"/>
      <c r="MJY3" s="70"/>
      <c r="MJZ3" s="70"/>
      <c r="MKA3" s="70"/>
      <c r="MKB3" s="70"/>
      <c r="MKC3" s="70"/>
      <c r="MKD3" s="70"/>
      <c r="MKE3" s="70"/>
      <c r="MKF3" s="70"/>
      <c r="MKG3" s="70"/>
      <c r="MKH3" s="70"/>
      <c r="MKI3" s="70"/>
      <c r="MKJ3" s="70"/>
      <c r="MKK3" s="70"/>
      <c r="MKL3" s="70"/>
      <c r="MKM3" s="70"/>
      <c r="MKN3" s="70"/>
      <c r="MKO3" s="70"/>
      <c r="MKP3" s="70"/>
      <c r="MKQ3" s="70"/>
      <c r="MKR3" s="70"/>
      <c r="MKS3" s="70"/>
      <c r="MKT3" s="70"/>
      <c r="MKU3" s="70"/>
      <c r="MKV3" s="70"/>
      <c r="MKW3" s="70"/>
      <c r="MKX3" s="70"/>
      <c r="MKY3" s="70"/>
      <c r="MKZ3" s="70"/>
      <c r="MLA3" s="70"/>
      <c r="MLB3" s="70"/>
      <c r="MLC3" s="70"/>
      <c r="MLD3" s="70"/>
      <c r="MLE3" s="70"/>
      <c r="MLF3" s="70"/>
      <c r="MLG3" s="70"/>
      <c r="MLH3" s="70"/>
      <c r="MLI3" s="70"/>
      <c r="MLJ3" s="70"/>
      <c r="MLK3" s="70"/>
      <c r="MLL3" s="70"/>
      <c r="MLM3" s="70"/>
      <c r="MLN3" s="70"/>
      <c r="MLO3" s="70"/>
      <c r="MLP3" s="70"/>
      <c r="MLQ3" s="70"/>
      <c r="MLR3" s="70"/>
      <c r="MLS3" s="70"/>
      <c r="MLT3" s="70"/>
      <c r="MLU3" s="70"/>
      <c r="MLV3" s="70"/>
      <c r="MLW3" s="70"/>
      <c r="MLX3" s="70"/>
      <c r="MLY3" s="70"/>
      <c r="MLZ3" s="70"/>
      <c r="MMA3" s="70"/>
      <c r="MMB3" s="70"/>
      <c r="MMC3" s="70"/>
      <c r="MMD3" s="70"/>
      <c r="MME3" s="70"/>
      <c r="MMF3" s="70"/>
      <c r="MMG3" s="70"/>
      <c r="MMH3" s="70"/>
      <c r="MMI3" s="70"/>
      <c r="MMJ3" s="70"/>
      <c r="MMK3" s="70"/>
      <c r="MML3" s="70"/>
      <c r="MMM3" s="70"/>
      <c r="MMN3" s="70"/>
      <c r="MMO3" s="70"/>
      <c r="MMP3" s="70"/>
      <c r="MMQ3" s="70"/>
      <c r="MMR3" s="70"/>
      <c r="MMS3" s="70"/>
      <c r="MMT3" s="70"/>
      <c r="MMU3" s="70"/>
      <c r="MMV3" s="70"/>
      <c r="MMW3" s="70"/>
      <c r="MMX3" s="70"/>
      <c r="MMY3" s="70"/>
      <c r="MMZ3" s="70"/>
      <c r="MNA3" s="70"/>
      <c r="MNB3" s="70"/>
      <c r="MNC3" s="70"/>
      <c r="MND3" s="70"/>
      <c r="MNE3" s="70"/>
      <c r="MNF3" s="70"/>
      <c r="MNG3" s="70"/>
      <c r="MNH3" s="70"/>
      <c r="MNI3" s="70"/>
      <c r="MNJ3" s="70"/>
      <c r="MNK3" s="70"/>
      <c r="MNL3" s="70"/>
      <c r="MNM3" s="70"/>
      <c r="MNN3" s="70"/>
      <c r="MNO3" s="70"/>
      <c r="MNP3" s="70"/>
      <c r="MNQ3" s="70"/>
      <c r="MNR3" s="70"/>
      <c r="MNS3" s="70"/>
      <c r="MNT3" s="70"/>
      <c r="MNU3" s="70"/>
      <c r="MNV3" s="70"/>
      <c r="MNW3" s="70"/>
      <c r="MNX3" s="70"/>
      <c r="MNY3" s="70"/>
      <c r="MNZ3" s="70"/>
      <c r="MOA3" s="70"/>
      <c r="MOB3" s="70"/>
      <c r="MOC3" s="70"/>
      <c r="MOD3" s="70"/>
      <c r="MOE3" s="70"/>
      <c r="MOF3" s="70"/>
      <c r="MOG3" s="70"/>
      <c r="MOH3" s="70"/>
      <c r="MOI3" s="70"/>
      <c r="MOJ3" s="70"/>
      <c r="MOK3" s="70"/>
      <c r="MOL3" s="70"/>
      <c r="MOM3" s="70"/>
      <c r="MON3" s="70"/>
      <c r="MOO3" s="70"/>
      <c r="MOP3" s="70"/>
      <c r="MOQ3" s="70"/>
      <c r="MOR3" s="70"/>
      <c r="MOS3" s="70"/>
      <c r="MOT3" s="70"/>
      <c r="MOU3" s="70"/>
      <c r="MOV3" s="70"/>
      <c r="MOW3" s="70"/>
      <c r="MOX3" s="70"/>
      <c r="MOY3" s="70"/>
      <c r="MOZ3" s="70"/>
      <c r="MPA3" s="70"/>
      <c r="MPB3" s="70"/>
      <c r="MPC3" s="70"/>
      <c r="MPD3" s="70"/>
      <c r="MPE3" s="70"/>
      <c r="MPF3" s="70"/>
      <c r="MPG3" s="70"/>
      <c r="MPH3" s="70"/>
      <c r="MPI3" s="70"/>
      <c r="MPJ3" s="70"/>
      <c r="MPK3" s="70"/>
      <c r="MPL3" s="70"/>
      <c r="MPM3" s="70"/>
      <c r="MPN3" s="70"/>
      <c r="MPO3" s="70"/>
      <c r="MPP3" s="70"/>
      <c r="MPQ3" s="70"/>
      <c r="MPR3" s="70"/>
      <c r="MPS3" s="70"/>
      <c r="MPT3" s="70"/>
      <c r="MPU3" s="70"/>
      <c r="MPV3" s="70"/>
      <c r="MPW3" s="70"/>
      <c r="MPX3" s="70"/>
      <c r="MPY3" s="70"/>
      <c r="MPZ3" s="70"/>
      <c r="MQA3" s="70"/>
      <c r="MQB3" s="70"/>
      <c r="MQC3" s="70"/>
      <c r="MQD3" s="70"/>
      <c r="MQE3" s="70"/>
      <c r="MQF3" s="70"/>
      <c r="MQG3" s="70"/>
      <c r="MQH3" s="70"/>
      <c r="MQI3" s="70"/>
      <c r="MQJ3" s="70"/>
      <c r="MQK3" s="70"/>
      <c r="MQL3" s="70"/>
      <c r="MQM3" s="70"/>
      <c r="MQN3" s="70"/>
      <c r="MQO3" s="70"/>
      <c r="MQP3" s="70"/>
      <c r="MQQ3" s="70"/>
      <c r="MQR3" s="70"/>
      <c r="MQS3" s="70"/>
      <c r="MQT3" s="70"/>
      <c r="MQU3" s="70"/>
      <c r="MQV3" s="70"/>
      <c r="MQW3" s="70"/>
      <c r="MQX3" s="70"/>
      <c r="MQY3" s="70"/>
      <c r="MQZ3" s="70"/>
      <c r="MRA3" s="70"/>
      <c r="MRB3" s="70"/>
      <c r="MRC3" s="70"/>
      <c r="MRD3" s="70"/>
      <c r="MRE3" s="70"/>
      <c r="MRF3" s="70"/>
      <c r="MRG3" s="70"/>
      <c r="MRH3" s="70"/>
      <c r="MRI3" s="70"/>
      <c r="MRJ3" s="70"/>
      <c r="MRK3" s="70"/>
      <c r="MRL3" s="70"/>
      <c r="MRM3" s="70"/>
      <c r="MRN3" s="70"/>
      <c r="MRO3" s="70"/>
      <c r="MRP3" s="70"/>
      <c r="MRQ3" s="70"/>
      <c r="MRR3" s="70"/>
      <c r="MRS3" s="70"/>
      <c r="MRT3" s="70"/>
      <c r="MRU3" s="70"/>
      <c r="MRV3" s="70"/>
      <c r="MRW3" s="70"/>
      <c r="MRX3" s="70"/>
      <c r="MRY3" s="70"/>
      <c r="MRZ3" s="70"/>
      <c r="MSA3" s="70"/>
      <c r="MSB3" s="70"/>
      <c r="MSC3" s="70"/>
      <c r="MSD3" s="70"/>
      <c r="MSE3" s="70"/>
      <c r="MSF3" s="70"/>
      <c r="MSG3" s="70"/>
      <c r="MSH3" s="70"/>
      <c r="MSI3" s="70"/>
      <c r="MSJ3" s="70"/>
      <c r="MSK3" s="70"/>
      <c r="MSL3" s="70"/>
      <c r="MSM3" s="70"/>
      <c r="MSN3" s="70"/>
      <c r="MSO3" s="70"/>
      <c r="MSP3" s="70"/>
      <c r="MSQ3" s="70"/>
      <c r="MSR3" s="70"/>
      <c r="MSS3" s="70"/>
      <c r="MST3" s="70"/>
      <c r="MSU3" s="70"/>
      <c r="MSV3" s="70"/>
      <c r="MSW3" s="70"/>
      <c r="MSX3" s="70"/>
      <c r="MSY3" s="70"/>
      <c r="MSZ3" s="70"/>
      <c r="MTA3" s="70"/>
      <c r="MTB3" s="70"/>
      <c r="MTC3" s="70"/>
      <c r="MTD3" s="70"/>
      <c r="MTE3" s="70"/>
      <c r="MTF3" s="70"/>
      <c r="MTG3" s="70"/>
      <c r="MTH3" s="70"/>
      <c r="MTI3" s="70"/>
      <c r="MTJ3" s="70"/>
      <c r="MTK3" s="70"/>
      <c r="MTL3" s="70"/>
      <c r="MTM3" s="70"/>
      <c r="MTN3" s="70"/>
      <c r="MTO3" s="70"/>
      <c r="MTP3" s="70"/>
      <c r="MTQ3" s="70"/>
      <c r="MTR3" s="70"/>
      <c r="MTS3" s="70"/>
      <c r="MTT3" s="70"/>
      <c r="MTU3" s="70"/>
      <c r="MTV3" s="70"/>
      <c r="MTW3" s="70"/>
      <c r="MTX3" s="70"/>
      <c r="MTY3" s="70"/>
      <c r="MTZ3" s="70"/>
      <c r="MUA3" s="70"/>
      <c r="MUB3" s="70"/>
      <c r="MUC3" s="70"/>
      <c r="MUD3" s="70"/>
      <c r="MUE3" s="70"/>
      <c r="MUF3" s="70"/>
      <c r="MUG3" s="70"/>
      <c r="MUH3" s="70"/>
      <c r="MUI3" s="70"/>
      <c r="MUJ3" s="70"/>
      <c r="MUK3" s="70"/>
      <c r="MUL3" s="70"/>
      <c r="MUM3" s="70"/>
      <c r="MUN3" s="70"/>
      <c r="MUO3" s="70"/>
      <c r="MUP3" s="70"/>
      <c r="MUQ3" s="70"/>
      <c r="MUR3" s="70"/>
      <c r="MUS3" s="70"/>
      <c r="MUT3" s="70"/>
      <c r="MUU3" s="70"/>
      <c r="MUV3" s="70"/>
      <c r="MUW3" s="70"/>
      <c r="MUX3" s="70"/>
      <c r="MUY3" s="70"/>
      <c r="MUZ3" s="70"/>
      <c r="MVA3" s="70"/>
      <c r="MVB3" s="70"/>
      <c r="MVC3" s="70"/>
      <c r="MVD3" s="70"/>
      <c r="MVE3" s="70"/>
      <c r="MVF3" s="70"/>
      <c r="MVG3" s="70"/>
      <c r="MVH3" s="70"/>
      <c r="MVI3" s="70"/>
      <c r="MVJ3" s="70"/>
      <c r="MVK3" s="70"/>
      <c r="MVL3" s="70"/>
      <c r="MVM3" s="70"/>
      <c r="MVN3" s="70"/>
      <c r="MVO3" s="70"/>
      <c r="MVP3" s="70"/>
      <c r="MVQ3" s="70"/>
      <c r="MVR3" s="70"/>
      <c r="MVS3" s="70"/>
      <c r="MVT3" s="70"/>
      <c r="MVU3" s="70"/>
      <c r="MVV3" s="70"/>
      <c r="MVW3" s="70"/>
      <c r="MVX3" s="70"/>
      <c r="MVY3" s="70"/>
      <c r="MVZ3" s="70"/>
      <c r="MWA3" s="70"/>
      <c r="MWB3" s="70"/>
      <c r="MWC3" s="70"/>
      <c r="MWD3" s="70"/>
      <c r="MWE3" s="70"/>
      <c r="MWF3" s="70"/>
      <c r="MWG3" s="70"/>
      <c r="MWH3" s="70"/>
      <c r="MWI3" s="70"/>
      <c r="MWJ3" s="70"/>
      <c r="MWK3" s="70"/>
      <c r="MWL3" s="70"/>
      <c r="MWM3" s="70"/>
      <c r="MWN3" s="70"/>
      <c r="MWO3" s="70"/>
      <c r="MWP3" s="70"/>
      <c r="MWQ3" s="70"/>
      <c r="MWR3" s="70"/>
      <c r="MWS3" s="70"/>
      <c r="MWT3" s="70"/>
      <c r="MWU3" s="70"/>
      <c r="MWV3" s="70"/>
      <c r="MWW3" s="70"/>
      <c r="MWX3" s="70"/>
      <c r="MWY3" s="70"/>
      <c r="MWZ3" s="70"/>
      <c r="MXA3" s="70"/>
      <c r="MXB3" s="70"/>
      <c r="MXC3" s="70"/>
      <c r="MXD3" s="70"/>
      <c r="MXE3" s="70"/>
      <c r="MXF3" s="70"/>
      <c r="MXG3" s="70"/>
      <c r="MXH3" s="70"/>
      <c r="MXI3" s="70"/>
      <c r="MXJ3" s="70"/>
      <c r="MXK3" s="70"/>
      <c r="MXL3" s="70"/>
      <c r="MXM3" s="70"/>
      <c r="MXN3" s="70"/>
      <c r="MXO3" s="70"/>
      <c r="MXP3" s="70"/>
      <c r="MXQ3" s="70"/>
      <c r="MXR3" s="70"/>
      <c r="MXS3" s="70"/>
      <c r="MXT3" s="70"/>
      <c r="MXU3" s="70"/>
      <c r="MXV3" s="70"/>
      <c r="MXW3" s="70"/>
      <c r="MXX3" s="70"/>
      <c r="MXY3" s="70"/>
      <c r="MXZ3" s="70"/>
      <c r="MYA3" s="70"/>
      <c r="MYB3" s="70"/>
      <c r="MYC3" s="70"/>
      <c r="MYD3" s="70"/>
      <c r="MYE3" s="70"/>
      <c r="MYF3" s="70"/>
      <c r="MYG3" s="70"/>
      <c r="MYH3" s="70"/>
      <c r="MYI3" s="70"/>
      <c r="MYJ3" s="70"/>
      <c r="MYK3" s="70"/>
      <c r="MYL3" s="70"/>
      <c r="MYM3" s="70"/>
      <c r="MYN3" s="70"/>
      <c r="MYO3" s="70"/>
      <c r="MYP3" s="70"/>
      <c r="MYQ3" s="70"/>
      <c r="MYR3" s="70"/>
      <c r="MYS3" s="70"/>
      <c r="MYT3" s="70"/>
      <c r="MYU3" s="70"/>
      <c r="MYV3" s="70"/>
      <c r="MYW3" s="70"/>
      <c r="MYX3" s="70"/>
      <c r="MYY3" s="70"/>
      <c r="MYZ3" s="70"/>
      <c r="MZA3" s="70"/>
      <c r="MZB3" s="70"/>
      <c r="MZC3" s="70"/>
      <c r="MZD3" s="70"/>
      <c r="MZE3" s="70"/>
      <c r="MZF3" s="70"/>
      <c r="MZG3" s="70"/>
      <c r="MZH3" s="70"/>
      <c r="MZI3" s="70"/>
      <c r="MZJ3" s="70"/>
      <c r="MZK3" s="70"/>
      <c r="MZL3" s="70"/>
      <c r="MZM3" s="70"/>
      <c r="MZN3" s="70"/>
      <c r="MZO3" s="70"/>
      <c r="MZP3" s="70"/>
      <c r="MZQ3" s="70"/>
      <c r="MZR3" s="70"/>
      <c r="MZS3" s="70"/>
      <c r="MZT3" s="70"/>
      <c r="MZU3" s="70"/>
      <c r="MZV3" s="70"/>
      <c r="MZW3" s="70"/>
      <c r="MZX3" s="70"/>
      <c r="MZY3" s="70"/>
      <c r="MZZ3" s="70"/>
      <c r="NAA3" s="70"/>
      <c r="NAB3" s="70"/>
      <c r="NAC3" s="70"/>
      <c r="NAD3" s="70"/>
      <c r="NAE3" s="70"/>
      <c r="NAF3" s="70"/>
      <c r="NAG3" s="70"/>
      <c r="NAH3" s="70"/>
      <c r="NAI3" s="70"/>
      <c r="NAJ3" s="70"/>
      <c r="NAK3" s="70"/>
      <c r="NAL3" s="70"/>
      <c r="NAM3" s="70"/>
      <c r="NAN3" s="70"/>
      <c r="NAO3" s="70"/>
      <c r="NAP3" s="70"/>
      <c r="NAQ3" s="70"/>
      <c r="NAR3" s="70"/>
      <c r="NAS3" s="70"/>
      <c r="NAT3" s="70"/>
      <c r="NAU3" s="70"/>
      <c r="NAV3" s="70"/>
      <c r="NAW3" s="70"/>
      <c r="NAX3" s="70"/>
      <c r="NAY3" s="70"/>
      <c r="NAZ3" s="70"/>
      <c r="NBA3" s="70"/>
      <c r="NBB3" s="70"/>
      <c r="NBC3" s="70"/>
      <c r="NBD3" s="70"/>
      <c r="NBE3" s="70"/>
      <c r="NBF3" s="70"/>
      <c r="NBG3" s="70"/>
      <c r="NBH3" s="70"/>
      <c r="NBI3" s="70"/>
      <c r="NBJ3" s="70"/>
      <c r="NBK3" s="70"/>
      <c r="NBL3" s="70"/>
      <c r="NBM3" s="70"/>
      <c r="NBN3" s="70"/>
      <c r="NBO3" s="70"/>
      <c r="NBP3" s="70"/>
      <c r="NBQ3" s="70"/>
      <c r="NBR3" s="70"/>
      <c r="NBS3" s="70"/>
      <c r="NBT3" s="70"/>
      <c r="NBU3" s="70"/>
      <c r="NBV3" s="70"/>
      <c r="NBW3" s="70"/>
      <c r="NBX3" s="70"/>
      <c r="NBY3" s="70"/>
      <c r="NBZ3" s="70"/>
      <c r="NCA3" s="70"/>
      <c r="NCB3" s="70"/>
      <c r="NCC3" s="70"/>
      <c r="NCD3" s="70"/>
      <c r="NCE3" s="70"/>
      <c r="NCF3" s="70"/>
      <c r="NCG3" s="70"/>
      <c r="NCH3" s="70"/>
      <c r="NCI3" s="70"/>
      <c r="NCJ3" s="70"/>
      <c r="NCK3" s="70"/>
      <c r="NCL3" s="70"/>
      <c r="NCM3" s="70"/>
      <c r="NCN3" s="70"/>
      <c r="NCO3" s="70"/>
      <c r="NCP3" s="70"/>
      <c r="NCQ3" s="70"/>
      <c r="NCR3" s="70"/>
      <c r="NCS3" s="70"/>
      <c r="NCT3" s="70"/>
      <c r="NCU3" s="70"/>
      <c r="NCV3" s="70"/>
      <c r="NCW3" s="70"/>
      <c r="NCX3" s="70"/>
      <c r="NCY3" s="70"/>
      <c r="NCZ3" s="70"/>
      <c r="NDA3" s="70"/>
      <c r="NDB3" s="70"/>
      <c r="NDC3" s="70"/>
      <c r="NDD3" s="70"/>
      <c r="NDE3" s="70"/>
      <c r="NDF3" s="70"/>
      <c r="NDG3" s="70"/>
      <c r="NDH3" s="70"/>
      <c r="NDI3" s="70"/>
      <c r="NDJ3" s="70"/>
      <c r="NDK3" s="70"/>
      <c r="NDL3" s="70"/>
      <c r="NDM3" s="70"/>
      <c r="NDN3" s="70"/>
      <c r="NDO3" s="70"/>
      <c r="NDP3" s="70"/>
      <c r="NDQ3" s="70"/>
      <c r="NDR3" s="70"/>
      <c r="NDS3" s="70"/>
      <c r="NDT3" s="70"/>
      <c r="NDU3" s="70"/>
      <c r="NDV3" s="70"/>
      <c r="NDW3" s="70"/>
      <c r="NDX3" s="70"/>
      <c r="NDY3" s="70"/>
      <c r="NDZ3" s="70"/>
      <c r="NEA3" s="70"/>
      <c r="NEB3" s="70"/>
      <c r="NEC3" s="70"/>
      <c r="NED3" s="70"/>
      <c r="NEE3" s="70"/>
      <c r="NEF3" s="70"/>
      <c r="NEG3" s="70"/>
      <c r="NEH3" s="70"/>
      <c r="NEI3" s="70"/>
      <c r="NEJ3" s="70"/>
      <c r="NEK3" s="70"/>
      <c r="NEL3" s="70"/>
      <c r="NEM3" s="70"/>
      <c r="NEN3" s="70"/>
      <c r="NEO3" s="70"/>
      <c r="NEP3" s="70"/>
      <c r="NEQ3" s="70"/>
      <c r="NER3" s="70"/>
      <c r="NES3" s="70"/>
      <c r="NET3" s="70"/>
      <c r="NEU3" s="70"/>
      <c r="NEV3" s="70"/>
      <c r="NEW3" s="70"/>
      <c r="NEX3" s="70"/>
      <c r="NEY3" s="70"/>
      <c r="NEZ3" s="70"/>
      <c r="NFA3" s="70"/>
      <c r="NFB3" s="70"/>
      <c r="NFC3" s="70"/>
      <c r="NFD3" s="70"/>
      <c r="NFE3" s="70"/>
      <c r="NFF3" s="70"/>
      <c r="NFG3" s="70"/>
      <c r="NFH3" s="70"/>
      <c r="NFI3" s="70"/>
      <c r="NFJ3" s="70"/>
      <c r="NFK3" s="70"/>
      <c r="NFL3" s="70"/>
      <c r="NFM3" s="70"/>
      <c r="NFN3" s="70"/>
      <c r="NFO3" s="70"/>
      <c r="NFP3" s="70"/>
      <c r="NFQ3" s="70"/>
      <c r="NFR3" s="70"/>
      <c r="NFS3" s="70"/>
      <c r="NFT3" s="70"/>
      <c r="NFU3" s="70"/>
      <c r="NFV3" s="70"/>
      <c r="NFW3" s="70"/>
      <c r="NFX3" s="70"/>
      <c r="NFY3" s="70"/>
      <c r="NFZ3" s="70"/>
      <c r="NGA3" s="70"/>
      <c r="NGB3" s="70"/>
      <c r="NGC3" s="70"/>
      <c r="NGD3" s="70"/>
      <c r="NGE3" s="70"/>
      <c r="NGF3" s="70"/>
      <c r="NGG3" s="70"/>
      <c r="NGH3" s="70"/>
      <c r="NGI3" s="70"/>
      <c r="NGJ3" s="70"/>
      <c r="NGK3" s="70"/>
      <c r="NGL3" s="70"/>
      <c r="NGM3" s="70"/>
      <c r="NGN3" s="70"/>
      <c r="NGO3" s="70"/>
      <c r="NGP3" s="70"/>
      <c r="NGQ3" s="70"/>
      <c r="NGR3" s="70"/>
      <c r="NGS3" s="70"/>
      <c r="NGT3" s="70"/>
      <c r="NGU3" s="70"/>
      <c r="NGV3" s="70"/>
      <c r="NGW3" s="70"/>
      <c r="NGX3" s="70"/>
      <c r="NGY3" s="70"/>
      <c r="NGZ3" s="70"/>
      <c r="NHA3" s="70"/>
      <c r="NHB3" s="70"/>
      <c r="NHC3" s="70"/>
      <c r="NHD3" s="70"/>
      <c r="NHE3" s="70"/>
      <c r="NHF3" s="70"/>
      <c r="NHG3" s="70"/>
      <c r="NHH3" s="70"/>
      <c r="NHI3" s="70"/>
      <c r="NHJ3" s="70"/>
      <c r="NHK3" s="70"/>
      <c r="NHL3" s="70"/>
      <c r="NHM3" s="70"/>
      <c r="NHN3" s="70"/>
      <c r="NHO3" s="70"/>
      <c r="NHP3" s="70"/>
      <c r="NHQ3" s="70"/>
      <c r="NHR3" s="70"/>
      <c r="NHS3" s="70"/>
      <c r="NHT3" s="70"/>
      <c r="NHU3" s="70"/>
      <c r="NHV3" s="70"/>
      <c r="NHW3" s="70"/>
      <c r="NHX3" s="70"/>
      <c r="NHY3" s="70"/>
      <c r="NHZ3" s="70"/>
      <c r="NIA3" s="70"/>
      <c r="NIB3" s="70"/>
      <c r="NIC3" s="70"/>
      <c r="NID3" s="70"/>
      <c r="NIE3" s="70"/>
      <c r="NIF3" s="70"/>
      <c r="NIG3" s="70"/>
      <c r="NIH3" s="70"/>
      <c r="NII3" s="70"/>
      <c r="NIJ3" s="70"/>
      <c r="NIK3" s="70"/>
      <c r="NIL3" s="70"/>
      <c r="NIM3" s="70"/>
      <c r="NIN3" s="70"/>
      <c r="NIO3" s="70"/>
      <c r="NIP3" s="70"/>
      <c r="NIQ3" s="70"/>
      <c r="NIR3" s="70"/>
      <c r="NIS3" s="70"/>
      <c r="NIT3" s="70"/>
      <c r="NIU3" s="70"/>
      <c r="NIV3" s="70"/>
      <c r="NIW3" s="70"/>
      <c r="NIX3" s="70"/>
      <c r="NIY3" s="70"/>
      <c r="NIZ3" s="70"/>
      <c r="NJA3" s="70"/>
      <c r="NJB3" s="70"/>
      <c r="NJC3" s="70"/>
      <c r="NJD3" s="70"/>
      <c r="NJE3" s="70"/>
      <c r="NJF3" s="70"/>
      <c r="NJG3" s="70"/>
      <c r="NJH3" s="70"/>
      <c r="NJI3" s="70"/>
      <c r="NJJ3" s="70"/>
      <c r="NJK3" s="70"/>
      <c r="NJL3" s="70"/>
      <c r="NJM3" s="70"/>
      <c r="NJN3" s="70"/>
      <c r="NJO3" s="70"/>
      <c r="NJP3" s="70"/>
      <c r="NJQ3" s="70"/>
      <c r="NJR3" s="70"/>
      <c r="NJS3" s="70"/>
      <c r="NJT3" s="70"/>
      <c r="NJU3" s="70"/>
      <c r="NJV3" s="70"/>
      <c r="NJW3" s="70"/>
      <c r="NJX3" s="70"/>
      <c r="NJY3" s="70"/>
      <c r="NJZ3" s="70"/>
      <c r="NKA3" s="70"/>
      <c r="NKB3" s="70"/>
      <c r="NKC3" s="70"/>
      <c r="NKD3" s="70"/>
      <c r="NKE3" s="70"/>
      <c r="NKF3" s="70"/>
      <c r="NKG3" s="70"/>
      <c r="NKH3" s="70"/>
      <c r="NKI3" s="70"/>
      <c r="NKJ3" s="70"/>
      <c r="NKK3" s="70"/>
      <c r="NKL3" s="70"/>
      <c r="NKM3" s="70"/>
      <c r="NKN3" s="70"/>
      <c r="NKO3" s="70"/>
      <c r="NKP3" s="70"/>
      <c r="NKQ3" s="70"/>
      <c r="NKR3" s="70"/>
      <c r="NKS3" s="70"/>
      <c r="NKT3" s="70"/>
      <c r="NKU3" s="70"/>
      <c r="NKV3" s="70"/>
      <c r="NKW3" s="70"/>
      <c r="NKX3" s="70"/>
      <c r="NKY3" s="70"/>
      <c r="NKZ3" s="70"/>
      <c r="NLA3" s="70"/>
      <c r="NLB3" s="70"/>
      <c r="NLC3" s="70"/>
      <c r="NLD3" s="70"/>
      <c r="NLE3" s="70"/>
      <c r="NLF3" s="70"/>
      <c r="NLG3" s="70"/>
      <c r="NLH3" s="70"/>
      <c r="NLI3" s="70"/>
      <c r="NLJ3" s="70"/>
      <c r="NLK3" s="70"/>
      <c r="NLL3" s="70"/>
      <c r="NLM3" s="70"/>
      <c r="NLN3" s="70"/>
      <c r="NLO3" s="70"/>
      <c r="NLP3" s="70"/>
      <c r="NLQ3" s="70"/>
      <c r="NLR3" s="70"/>
      <c r="NLS3" s="70"/>
      <c r="NLT3" s="70"/>
      <c r="NLU3" s="70"/>
      <c r="NLV3" s="70"/>
      <c r="NLW3" s="70"/>
      <c r="NLX3" s="70"/>
      <c r="NLY3" s="70"/>
      <c r="NLZ3" s="70"/>
      <c r="NMA3" s="70"/>
      <c r="NMB3" s="70"/>
      <c r="NMC3" s="70"/>
      <c r="NMD3" s="70"/>
      <c r="NME3" s="70"/>
      <c r="NMF3" s="70"/>
      <c r="NMG3" s="70"/>
      <c r="NMH3" s="70"/>
      <c r="NMI3" s="70"/>
      <c r="NMJ3" s="70"/>
      <c r="NMK3" s="70"/>
      <c r="NML3" s="70"/>
      <c r="NMM3" s="70"/>
      <c r="NMN3" s="70"/>
      <c r="NMO3" s="70"/>
      <c r="NMP3" s="70"/>
      <c r="NMQ3" s="70"/>
      <c r="NMR3" s="70"/>
      <c r="NMS3" s="70"/>
      <c r="NMT3" s="70"/>
      <c r="NMU3" s="70"/>
      <c r="NMV3" s="70"/>
      <c r="NMW3" s="70"/>
      <c r="NMX3" s="70"/>
      <c r="NMY3" s="70"/>
      <c r="NMZ3" s="70"/>
      <c r="NNA3" s="70"/>
      <c r="NNB3" s="70"/>
      <c r="NNC3" s="70"/>
      <c r="NND3" s="70"/>
      <c r="NNE3" s="70"/>
      <c r="NNF3" s="70"/>
      <c r="NNG3" s="70"/>
      <c r="NNH3" s="70"/>
      <c r="NNI3" s="70"/>
      <c r="NNJ3" s="70"/>
      <c r="NNK3" s="70"/>
      <c r="NNL3" s="70"/>
      <c r="NNM3" s="70"/>
      <c r="NNN3" s="70"/>
      <c r="NNO3" s="70"/>
      <c r="NNP3" s="70"/>
      <c r="NNQ3" s="70"/>
      <c r="NNR3" s="70"/>
      <c r="NNS3" s="70"/>
      <c r="NNT3" s="70"/>
      <c r="NNU3" s="70"/>
      <c r="NNV3" s="70"/>
      <c r="NNW3" s="70"/>
      <c r="NNX3" s="70"/>
      <c r="NNY3" s="70"/>
      <c r="NNZ3" s="70"/>
      <c r="NOA3" s="70"/>
      <c r="NOB3" s="70"/>
      <c r="NOC3" s="70"/>
      <c r="NOD3" s="70"/>
      <c r="NOE3" s="70"/>
      <c r="NOF3" s="70"/>
      <c r="NOG3" s="70"/>
      <c r="NOH3" s="70"/>
      <c r="NOI3" s="70"/>
      <c r="NOJ3" s="70"/>
      <c r="NOK3" s="70"/>
      <c r="NOL3" s="70"/>
      <c r="NOM3" s="70"/>
      <c r="NON3" s="70"/>
      <c r="NOO3" s="70"/>
      <c r="NOP3" s="70"/>
      <c r="NOQ3" s="70"/>
      <c r="NOR3" s="70"/>
      <c r="NOS3" s="70"/>
      <c r="NOT3" s="70"/>
      <c r="NOU3" s="70"/>
      <c r="NOV3" s="70"/>
      <c r="NOW3" s="70"/>
      <c r="NOX3" s="70"/>
      <c r="NOY3" s="70"/>
      <c r="NOZ3" s="70"/>
      <c r="NPA3" s="70"/>
      <c r="NPB3" s="70"/>
      <c r="NPC3" s="70"/>
      <c r="NPD3" s="70"/>
      <c r="NPE3" s="70"/>
      <c r="NPF3" s="70"/>
      <c r="NPG3" s="70"/>
      <c r="NPH3" s="70"/>
      <c r="NPI3" s="70"/>
      <c r="NPJ3" s="70"/>
      <c r="NPK3" s="70"/>
      <c r="NPL3" s="70"/>
      <c r="NPM3" s="70"/>
      <c r="NPN3" s="70"/>
      <c r="NPO3" s="70"/>
      <c r="NPP3" s="70"/>
      <c r="NPQ3" s="70"/>
      <c r="NPR3" s="70"/>
      <c r="NPS3" s="70"/>
      <c r="NPT3" s="70"/>
      <c r="NPU3" s="70"/>
      <c r="NPV3" s="70"/>
      <c r="NPW3" s="70"/>
      <c r="NPX3" s="70"/>
      <c r="NPY3" s="70"/>
      <c r="NPZ3" s="70"/>
      <c r="NQA3" s="70"/>
      <c r="NQB3" s="70"/>
      <c r="NQC3" s="70"/>
      <c r="NQD3" s="70"/>
      <c r="NQE3" s="70"/>
      <c r="NQF3" s="70"/>
      <c r="NQG3" s="70"/>
      <c r="NQH3" s="70"/>
      <c r="NQI3" s="70"/>
      <c r="NQJ3" s="70"/>
      <c r="NQK3" s="70"/>
      <c r="NQL3" s="70"/>
      <c r="NQM3" s="70"/>
      <c r="NQN3" s="70"/>
      <c r="NQO3" s="70"/>
      <c r="NQP3" s="70"/>
      <c r="NQQ3" s="70"/>
      <c r="NQR3" s="70"/>
      <c r="NQS3" s="70"/>
      <c r="NQT3" s="70"/>
      <c r="NQU3" s="70"/>
      <c r="NQV3" s="70"/>
      <c r="NQW3" s="70"/>
      <c r="NQX3" s="70"/>
      <c r="NQY3" s="70"/>
      <c r="NQZ3" s="70"/>
      <c r="NRA3" s="70"/>
      <c r="NRB3" s="70"/>
      <c r="NRC3" s="70"/>
      <c r="NRD3" s="70"/>
      <c r="NRE3" s="70"/>
      <c r="NRF3" s="70"/>
      <c r="NRG3" s="70"/>
      <c r="NRH3" s="70"/>
      <c r="NRI3" s="70"/>
      <c r="NRJ3" s="70"/>
      <c r="NRK3" s="70"/>
      <c r="NRL3" s="70"/>
      <c r="NRM3" s="70"/>
      <c r="NRN3" s="70"/>
      <c r="NRO3" s="70"/>
      <c r="NRP3" s="70"/>
      <c r="NRQ3" s="70"/>
      <c r="NRR3" s="70"/>
      <c r="NRS3" s="70"/>
      <c r="NRT3" s="70"/>
      <c r="NRU3" s="70"/>
      <c r="NRV3" s="70"/>
      <c r="NRW3" s="70"/>
      <c r="NRX3" s="70"/>
      <c r="NRY3" s="70"/>
      <c r="NRZ3" s="70"/>
      <c r="NSA3" s="70"/>
      <c r="NSB3" s="70"/>
      <c r="NSC3" s="70"/>
      <c r="NSD3" s="70"/>
      <c r="NSE3" s="70"/>
      <c r="NSF3" s="70"/>
      <c r="NSG3" s="70"/>
      <c r="NSH3" s="70"/>
      <c r="NSI3" s="70"/>
      <c r="NSJ3" s="70"/>
      <c r="NSK3" s="70"/>
      <c r="NSL3" s="70"/>
      <c r="NSM3" s="70"/>
      <c r="NSN3" s="70"/>
      <c r="NSO3" s="70"/>
      <c r="NSP3" s="70"/>
      <c r="NSQ3" s="70"/>
      <c r="NSR3" s="70"/>
      <c r="NSS3" s="70"/>
      <c r="NST3" s="70"/>
      <c r="NSU3" s="70"/>
      <c r="NSV3" s="70"/>
      <c r="NSW3" s="70"/>
      <c r="NSX3" s="70"/>
      <c r="NSY3" s="70"/>
      <c r="NSZ3" s="70"/>
      <c r="NTA3" s="70"/>
      <c r="NTB3" s="70"/>
      <c r="NTC3" s="70"/>
      <c r="NTD3" s="70"/>
      <c r="NTE3" s="70"/>
      <c r="NTF3" s="70"/>
      <c r="NTG3" s="70"/>
      <c r="NTH3" s="70"/>
      <c r="NTI3" s="70"/>
      <c r="NTJ3" s="70"/>
      <c r="NTK3" s="70"/>
      <c r="NTL3" s="70"/>
      <c r="NTM3" s="70"/>
      <c r="NTN3" s="70"/>
      <c r="NTO3" s="70"/>
      <c r="NTP3" s="70"/>
      <c r="NTQ3" s="70"/>
      <c r="NTR3" s="70"/>
      <c r="NTS3" s="70"/>
      <c r="NTT3" s="70"/>
      <c r="NTU3" s="70"/>
      <c r="NTV3" s="70"/>
      <c r="NTW3" s="70"/>
      <c r="NTX3" s="70"/>
      <c r="NTY3" s="70"/>
      <c r="NTZ3" s="70"/>
      <c r="NUA3" s="70"/>
      <c r="NUB3" s="70"/>
      <c r="NUC3" s="70"/>
      <c r="NUD3" s="70"/>
      <c r="NUE3" s="70"/>
      <c r="NUF3" s="70"/>
      <c r="NUG3" s="70"/>
      <c r="NUH3" s="70"/>
      <c r="NUI3" s="70"/>
      <c r="NUJ3" s="70"/>
      <c r="NUK3" s="70"/>
      <c r="NUL3" s="70"/>
      <c r="NUM3" s="70"/>
      <c r="NUN3" s="70"/>
      <c r="NUO3" s="70"/>
      <c r="NUP3" s="70"/>
      <c r="NUQ3" s="70"/>
      <c r="NUR3" s="70"/>
      <c r="NUS3" s="70"/>
      <c r="NUT3" s="70"/>
      <c r="NUU3" s="70"/>
      <c r="NUV3" s="70"/>
      <c r="NUW3" s="70"/>
      <c r="NUX3" s="70"/>
      <c r="NUY3" s="70"/>
      <c r="NUZ3" s="70"/>
      <c r="NVA3" s="70"/>
      <c r="NVB3" s="70"/>
      <c r="NVC3" s="70"/>
      <c r="NVD3" s="70"/>
      <c r="NVE3" s="70"/>
      <c r="NVF3" s="70"/>
      <c r="NVG3" s="70"/>
      <c r="NVH3" s="70"/>
      <c r="NVI3" s="70"/>
      <c r="NVJ3" s="70"/>
      <c r="NVK3" s="70"/>
      <c r="NVL3" s="70"/>
      <c r="NVM3" s="70"/>
      <c r="NVN3" s="70"/>
      <c r="NVO3" s="70"/>
      <c r="NVP3" s="70"/>
      <c r="NVQ3" s="70"/>
      <c r="NVR3" s="70"/>
      <c r="NVS3" s="70"/>
      <c r="NVT3" s="70"/>
      <c r="NVU3" s="70"/>
      <c r="NVV3" s="70"/>
      <c r="NVW3" s="70"/>
      <c r="NVX3" s="70"/>
      <c r="NVY3" s="70"/>
      <c r="NVZ3" s="70"/>
      <c r="NWA3" s="70"/>
      <c r="NWB3" s="70"/>
      <c r="NWC3" s="70"/>
      <c r="NWD3" s="70"/>
      <c r="NWE3" s="70"/>
      <c r="NWF3" s="70"/>
      <c r="NWG3" s="70"/>
      <c r="NWH3" s="70"/>
      <c r="NWI3" s="70"/>
      <c r="NWJ3" s="70"/>
      <c r="NWK3" s="70"/>
      <c r="NWL3" s="70"/>
      <c r="NWM3" s="70"/>
      <c r="NWN3" s="70"/>
      <c r="NWO3" s="70"/>
      <c r="NWP3" s="70"/>
      <c r="NWQ3" s="70"/>
      <c r="NWR3" s="70"/>
      <c r="NWS3" s="70"/>
      <c r="NWT3" s="70"/>
      <c r="NWU3" s="70"/>
      <c r="NWV3" s="70"/>
      <c r="NWW3" s="70"/>
      <c r="NWX3" s="70"/>
      <c r="NWY3" s="70"/>
      <c r="NWZ3" s="70"/>
      <c r="NXA3" s="70"/>
      <c r="NXB3" s="70"/>
      <c r="NXC3" s="70"/>
      <c r="NXD3" s="70"/>
      <c r="NXE3" s="70"/>
      <c r="NXF3" s="70"/>
      <c r="NXG3" s="70"/>
      <c r="NXH3" s="70"/>
      <c r="NXI3" s="70"/>
      <c r="NXJ3" s="70"/>
      <c r="NXK3" s="70"/>
      <c r="NXL3" s="70"/>
      <c r="NXM3" s="70"/>
      <c r="NXN3" s="70"/>
      <c r="NXO3" s="70"/>
      <c r="NXP3" s="70"/>
      <c r="NXQ3" s="70"/>
      <c r="NXR3" s="70"/>
      <c r="NXS3" s="70"/>
      <c r="NXT3" s="70"/>
      <c r="NXU3" s="70"/>
      <c r="NXV3" s="70"/>
      <c r="NXW3" s="70"/>
      <c r="NXX3" s="70"/>
      <c r="NXY3" s="70"/>
      <c r="NXZ3" s="70"/>
      <c r="NYA3" s="70"/>
      <c r="NYB3" s="70"/>
      <c r="NYC3" s="70"/>
      <c r="NYD3" s="70"/>
      <c r="NYE3" s="70"/>
      <c r="NYF3" s="70"/>
      <c r="NYG3" s="70"/>
      <c r="NYH3" s="70"/>
      <c r="NYI3" s="70"/>
      <c r="NYJ3" s="70"/>
      <c r="NYK3" s="70"/>
      <c r="NYL3" s="70"/>
      <c r="NYM3" s="70"/>
      <c r="NYN3" s="70"/>
      <c r="NYO3" s="70"/>
      <c r="NYP3" s="70"/>
      <c r="NYQ3" s="70"/>
      <c r="NYR3" s="70"/>
      <c r="NYS3" s="70"/>
      <c r="NYT3" s="70"/>
      <c r="NYU3" s="70"/>
      <c r="NYV3" s="70"/>
      <c r="NYW3" s="70"/>
      <c r="NYX3" s="70"/>
      <c r="NYY3" s="70"/>
      <c r="NYZ3" s="70"/>
      <c r="NZA3" s="70"/>
      <c r="NZB3" s="70"/>
      <c r="NZC3" s="70"/>
      <c r="NZD3" s="70"/>
      <c r="NZE3" s="70"/>
      <c r="NZF3" s="70"/>
      <c r="NZG3" s="70"/>
      <c r="NZH3" s="70"/>
      <c r="NZI3" s="70"/>
      <c r="NZJ3" s="70"/>
      <c r="NZK3" s="70"/>
      <c r="NZL3" s="70"/>
      <c r="NZM3" s="70"/>
      <c r="NZN3" s="70"/>
      <c r="NZO3" s="70"/>
      <c r="NZP3" s="70"/>
      <c r="NZQ3" s="70"/>
      <c r="NZR3" s="70"/>
      <c r="NZS3" s="70"/>
      <c r="NZT3" s="70"/>
      <c r="NZU3" s="70"/>
      <c r="NZV3" s="70"/>
      <c r="NZW3" s="70"/>
      <c r="NZX3" s="70"/>
      <c r="NZY3" s="70"/>
      <c r="NZZ3" s="70"/>
      <c r="OAA3" s="70"/>
      <c r="OAB3" s="70"/>
      <c r="OAC3" s="70"/>
      <c r="OAD3" s="70"/>
      <c r="OAE3" s="70"/>
      <c r="OAF3" s="70"/>
      <c r="OAG3" s="70"/>
      <c r="OAH3" s="70"/>
      <c r="OAI3" s="70"/>
      <c r="OAJ3" s="70"/>
      <c r="OAK3" s="70"/>
      <c r="OAL3" s="70"/>
      <c r="OAM3" s="70"/>
      <c r="OAN3" s="70"/>
      <c r="OAO3" s="70"/>
      <c r="OAP3" s="70"/>
      <c r="OAQ3" s="70"/>
      <c r="OAR3" s="70"/>
      <c r="OAS3" s="70"/>
      <c r="OAT3" s="70"/>
      <c r="OAU3" s="70"/>
      <c r="OAV3" s="70"/>
      <c r="OAW3" s="70"/>
      <c r="OAX3" s="70"/>
      <c r="OAY3" s="70"/>
      <c r="OAZ3" s="70"/>
      <c r="OBA3" s="70"/>
      <c r="OBB3" s="70"/>
      <c r="OBC3" s="70"/>
      <c r="OBD3" s="70"/>
      <c r="OBE3" s="70"/>
      <c r="OBF3" s="70"/>
      <c r="OBG3" s="70"/>
      <c r="OBH3" s="70"/>
      <c r="OBI3" s="70"/>
      <c r="OBJ3" s="70"/>
      <c r="OBK3" s="70"/>
      <c r="OBL3" s="70"/>
      <c r="OBM3" s="70"/>
      <c r="OBN3" s="70"/>
      <c r="OBO3" s="70"/>
      <c r="OBP3" s="70"/>
      <c r="OBQ3" s="70"/>
      <c r="OBR3" s="70"/>
      <c r="OBS3" s="70"/>
      <c r="OBT3" s="70"/>
      <c r="OBU3" s="70"/>
      <c r="OBV3" s="70"/>
      <c r="OBW3" s="70"/>
      <c r="OBX3" s="70"/>
      <c r="OBY3" s="70"/>
      <c r="OBZ3" s="70"/>
      <c r="OCA3" s="70"/>
      <c r="OCB3" s="70"/>
      <c r="OCC3" s="70"/>
      <c r="OCD3" s="70"/>
      <c r="OCE3" s="70"/>
      <c r="OCF3" s="70"/>
      <c r="OCG3" s="70"/>
      <c r="OCH3" s="70"/>
      <c r="OCI3" s="70"/>
      <c r="OCJ3" s="70"/>
      <c r="OCK3" s="70"/>
      <c r="OCL3" s="70"/>
      <c r="OCM3" s="70"/>
      <c r="OCN3" s="70"/>
      <c r="OCO3" s="70"/>
      <c r="OCP3" s="70"/>
      <c r="OCQ3" s="70"/>
      <c r="OCR3" s="70"/>
      <c r="OCS3" s="70"/>
      <c r="OCT3" s="70"/>
      <c r="OCU3" s="70"/>
      <c r="OCV3" s="70"/>
      <c r="OCW3" s="70"/>
      <c r="OCX3" s="70"/>
      <c r="OCY3" s="70"/>
      <c r="OCZ3" s="70"/>
      <c r="ODA3" s="70"/>
      <c r="ODB3" s="70"/>
      <c r="ODC3" s="70"/>
      <c r="ODD3" s="70"/>
      <c r="ODE3" s="70"/>
      <c r="ODF3" s="70"/>
      <c r="ODG3" s="70"/>
      <c r="ODH3" s="70"/>
      <c r="ODI3" s="70"/>
      <c r="ODJ3" s="70"/>
      <c r="ODK3" s="70"/>
      <c r="ODL3" s="70"/>
      <c r="ODM3" s="70"/>
      <c r="ODN3" s="70"/>
      <c r="ODO3" s="70"/>
      <c r="ODP3" s="70"/>
      <c r="ODQ3" s="70"/>
      <c r="ODR3" s="70"/>
      <c r="ODS3" s="70"/>
      <c r="ODT3" s="70"/>
      <c r="ODU3" s="70"/>
      <c r="ODV3" s="70"/>
      <c r="ODW3" s="70"/>
      <c r="ODX3" s="70"/>
      <c r="ODY3" s="70"/>
      <c r="ODZ3" s="70"/>
      <c r="OEA3" s="70"/>
      <c r="OEB3" s="70"/>
      <c r="OEC3" s="70"/>
      <c r="OED3" s="70"/>
      <c r="OEE3" s="70"/>
      <c r="OEF3" s="70"/>
      <c r="OEG3" s="70"/>
      <c r="OEH3" s="70"/>
      <c r="OEI3" s="70"/>
      <c r="OEJ3" s="70"/>
      <c r="OEK3" s="70"/>
      <c r="OEL3" s="70"/>
      <c r="OEM3" s="70"/>
      <c r="OEN3" s="70"/>
      <c r="OEO3" s="70"/>
      <c r="OEP3" s="70"/>
      <c r="OEQ3" s="70"/>
      <c r="OER3" s="70"/>
      <c r="OES3" s="70"/>
      <c r="OET3" s="70"/>
      <c r="OEU3" s="70"/>
      <c r="OEV3" s="70"/>
      <c r="OEW3" s="70"/>
      <c r="OEX3" s="70"/>
      <c r="OEY3" s="70"/>
      <c r="OEZ3" s="70"/>
      <c r="OFA3" s="70"/>
      <c r="OFB3" s="70"/>
      <c r="OFC3" s="70"/>
      <c r="OFD3" s="70"/>
      <c r="OFE3" s="70"/>
      <c r="OFF3" s="70"/>
      <c r="OFG3" s="70"/>
      <c r="OFH3" s="70"/>
      <c r="OFI3" s="70"/>
      <c r="OFJ3" s="70"/>
      <c r="OFK3" s="70"/>
      <c r="OFL3" s="70"/>
      <c r="OFM3" s="70"/>
      <c r="OFN3" s="70"/>
      <c r="OFO3" s="70"/>
      <c r="OFP3" s="70"/>
      <c r="OFQ3" s="70"/>
      <c r="OFR3" s="70"/>
      <c r="OFS3" s="70"/>
      <c r="OFT3" s="70"/>
      <c r="OFU3" s="70"/>
      <c r="OFV3" s="70"/>
      <c r="OFW3" s="70"/>
      <c r="OFX3" s="70"/>
      <c r="OFY3" s="70"/>
      <c r="OFZ3" s="70"/>
      <c r="OGA3" s="70"/>
      <c r="OGB3" s="70"/>
      <c r="OGC3" s="70"/>
      <c r="OGD3" s="70"/>
      <c r="OGE3" s="70"/>
      <c r="OGF3" s="70"/>
      <c r="OGG3" s="70"/>
      <c r="OGH3" s="70"/>
      <c r="OGI3" s="70"/>
      <c r="OGJ3" s="70"/>
      <c r="OGK3" s="70"/>
      <c r="OGL3" s="70"/>
      <c r="OGM3" s="70"/>
      <c r="OGN3" s="70"/>
      <c r="OGO3" s="70"/>
      <c r="OGP3" s="70"/>
      <c r="OGQ3" s="70"/>
      <c r="OGR3" s="70"/>
      <c r="OGS3" s="70"/>
      <c r="OGT3" s="70"/>
      <c r="OGU3" s="70"/>
      <c r="OGV3" s="70"/>
      <c r="OGW3" s="70"/>
      <c r="OGX3" s="70"/>
      <c r="OGY3" s="70"/>
      <c r="OGZ3" s="70"/>
      <c r="OHA3" s="70"/>
      <c r="OHB3" s="70"/>
      <c r="OHC3" s="70"/>
      <c r="OHD3" s="70"/>
      <c r="OHE3" s="70"/>
      <c r="OHF3" s="70"/>
      <c r="OHG3" s="70"/>
      <c r="OHH3" s="70"/>
      <c r="OHI3" s="70"/>
      <c r="OHJ3" s="70"/>
      <c r="OHK3" s="70"/>
      <c r="OHL3" s="70"/>
      <c r="OHM3" s="70"/>
      <c r="OHN3" s="70"/>
      <c r="OHO3" s="70"/>
      <c r="OHP3" s="70"/>
      <c r="OHQ3" s="70"/>
      <c r="OHR3" s="70"/>
      <c r="OHS3" s="70"/>
      <c r="OHT3" s="70"/>
      <c r="OHU3" s="70"/>
      <c r="OHV3" s="70"/>
      <c r="OHW3" s="70"/>
      <c r="OHX3" s="70"/>
      <c r="OHY3" s="70"/>
      <c r="OHZ3" s="70"/>
      <c r="OIA3" s="70"/>
      <c r="OIB3" s="70"/>
      <c r="OIC3" s="70"/>
      <c r="OID3" s="70"/>
      <c r="OIE3" s="70"/>
      <c r="OIF3" s="70"/>
      <c r="OIG3" s="70"/>
      <c r="OIH3" s="70"/>
      <c r="OII3" s="70"/>
      <c r="OIJ3" s="70"/>
      <c r="OIK3" s="70"/>
      <c r="OIL3" s="70"/>
      <c r="OIM3" s="70"/>
      <c r="OIN3" s="70"/>
      <c r="OIO3" s="70"/>
      <c r="OIP3" s="70"/>
      <c r="OIQ3" s="70"/>
      <c r="OIR3" s="70"/>
      <c r="OIS3" s="70"/>
      <c r="OIT3" s="70"/>
      <c r="OIU3" s="70"/>
      <c r="OIV3" s="70"/>
      <c r="OIW3" s="70"/>
      <c r="OIX3" s="70"/>
      <c r="OIY3" s="70"/>
      <c r="OIZ3" s="70"/>
      <c r="OJA3" s="70"/>
      <c r="OJB3" s="70"/>
      <c r="OJC3" s="70"/>
      <c r="OJD3" s="70"/>
      <c r="OJE3" s="70"/>
      <c r="OJF3" s="70"/>
      <c r="OJG3" s="70"/>
      <c r="OJH3" s="70"/>
      <c r="OJI3" s="70"/>
      <c r="OJJ3" s="70"/>
      <c r="OJK3" s="70"/>
      <c r="OJL3" s="70"/>
      <c r="OJM3" s="70"/>
      <c r="OJN3" s="70"/>
      <c r="OJO3" s="70"/>
      <c r="OJP3" s="70"/>
      <c r="OJQ3" s="70"/>
      <c r="OJR3" s="70"/>
      <c r="OJS3" s="70"/>
      <c r="OJT3" s="70"/>
      <c r="OJU3" s="70"/>
      <c r="OJV3" s="70"/>
      <c r="OJW3" s="70"/>
      <c r="OJX3" s="70"/>
      <c r="OJY3" s="70"/>
      <c r="OJZ3" s="70"/>
      <c r="OKA3" s="70"/>
      <c r="OKB3" s="70"/>
      <c r="OKC3" s="70"/>
      <c r="OKD3" s="70"/>
      <c r="OKE3" s="70"/>
      <c r="OKF3" s="70"/>
      <c r="OKG3" s="70"/>
      <c r="OKH3" s="70"/>
      <c r="OKI3" s="70"/>
      <c r="OKJ3" s="70"/>
      <c r="OKK3" s="70"/>
      <c r="OKL3" s="70"/>
      <c r="OKM3" s="70"/>
      <c r="OKN3" s="70"/>
      <c r="OKO3" s="70"/>
      <c r="OKP3" s="70"/>
      <c r="OKQ3" s="70"/>
      <c r="OKR3" s="70"/>
      <c r="OKS3" s="70"/>
      <c r="OKT3" s="70"/>
      <c r="OKU3" s="70"/>
      <c r="OKV3" s="70"/>
      <c r="OKW3" s="70"/>
      <c r="OKX3" s="70"/>
      <c r="OKY3" s="70"/>
      <c r="OKZ3" s="70"/>
      <c r="OLA3" s="70"/>
      <c r="OLB3" s="70"/>
      <c r="OLC3" s="70"/>
      <c r="OLD3" s="70"/>
      <c r="OLE3" s="70"/>
      <c r="OLF3" s="70"/>
      <c r="OLG3" s="70"/>
      <c r="OLH3" s="70"/>
      <c r="OLI3" s="70"/>
      <c r="OLJ3" s="70"/>
      <c r="OLK3" s="70"/>
      <c r="OLL3" s="70"/>
      <c r="OLM3" s="70"/>
      <c r="OLN3" s="70"/>
      <c r="OLO3" s="70"/>
      <c r="OLP3" s="70"/>
      <c r="OLQ3" s="70"/>
      <c r="OLR3" s="70"/>
      <c r="OLS3" s="70"/>
      <c r="OLT3" s="70"/>
      <c r="OLU3" s="70"/>
      <c r="OLV3" s="70"/>
      <c r="OLW3" s="70"/>
      <c r="OLX3" s="70"/>
      <c r="OLY3" s="70"/>
      <c r="OLZ3" s="70"/>
      <c r="OMA3" s="70"/>
      <c r="OMB3" s="70"/>
      <c r="OMC3" s="70"/>
      <c r="OMD3" s="70"/>
      <c r="OME3" s="70"/>
      <c r="OMF3" s="70"/>
      <c r="OMG3" s="70"/>
      <c r="OMH3" s="70"/>
      <c r="OMI3" s="70"/>
      <c r="OMJ3" s="70"/>
      <c r="OMK3" s="70"/>
      <c r="OML3" s="70"/>
      <c r="OMM3" s="70"/>
      <c r="OMN3" s="70"/>
      <c r="OMO3" s="70"/>
      <c r="OMP3" s="70"/>
      <c r="OMQ3" s="70"/>
      <c r="OMR3" s="70"/>
      <c r="OMS3" s="70"/>
      <c r="OMT3" s="70"/>
      <c r="OMU3" s="70"/>
      <c r="OMV3" s="70"/>
      <c r="OMW3" s="70"/>
      <c r="OMX3" s="70"/>
      <c r="OMY3" s="70"/>
      <c r="OMZ3" s="70"/>
      <c r="ONA3" s="70"/>
      <c r="ONB3" s="70"/>
      <c r="ONC3" s="70"/>
      <c r="OND3" s="70"/>
      <c r="ONE3" s="70"/>
      <c r="ONF3" s="70"/>
      <c r="ONG3" s="70"/>
      <c r="ONH3" s="70"/>
      <c r="ONI3" s="70"/>
      <c r="ONJ3" s="70"/>
      <c r="ONK3" s="70"/>
      <c r="ONL3" s="70"/>
      <c r="ONM3" s="70"/>
      <c r="ONN3" s="70"/>
      <c r="ONO3" s="70"/>
      <c r="ONP3" s="70"/>
      <c r="ONQ3" s="70"/>
      <c r="ONR3" s="70"/>
      <c r="ONS3" s="70"/>
      <c r="ONT3" s="70"/>
      <c r="ONU3" s="70"/>
      <c r="ONV3" s="70"/>
      <c r="ONW3" s="70"/>
      <c r="ONX3" s="70"/>
      <c r="ONY3" s="70"/>
      <c r="ONZ3" s="70"/>
      <c r="OOA3" s="70"/>
      <c r="OOB3" s="70"/>
      <c r="OOC3" s="70"/>
      <c r="OOD3" s="70"/>
      <c r="OOE3" s="70"/>
      <c r="OOF3" s="70"/>
      <c r="OOG3" s="70"/>
      <c r="OOH3" s="70"/>
      <c r="OOI3" s="70"/>
      <c r="OOJ3" s="70"/>
      <c r="OOK3" s="70"/>
      <c r="OOL3" s="70"/>
      <c r="OOM3" s="70"/>
      <c r="OON3" s="70"/>
      <c r="OOO3" s="70"/>
      <c r="OOP3" s="70"/>
      <c r="OOQ3" s="70"/>
      <c r="OOR3" s="70"/>
      <c r="OOS3" s="70"/>
      <c r="OOT3" s="70"/>
      <c r="OOU3" s="70"/>
      <c r="OOV3" s="70"/>
      <c r="OOW3" s="70"/>
      <c r="OOX3" s="70"/>
      <c r="OOY3" s="70"/>
      <c r="OOZ3" s="70"/>
      <c r="OPA3" s="70"/>
      <c r="OPB3" s="70"/>
      <c r="OPC3" s="70"/>
      <c r="OPD3" s="70"/>
      <c r="OPE3" s="70"/>
      <c r="OPF3" s="70"/>
      <c r="OPG3" s="70"/>
      <c r="OPH3" s="70"/>
      <c r="OPI3" s="70"/>
      <c r="OPJ3" s="70"/>
      <c r="OPK3" s="70"/>
      <c r="OPL3" s="70"/>
      <c r="OPM3" s="70"/>
      <c r="OPN3" s="70"/>
      <c r="OPO3" s="70"/>
      <c r="OPP3" s="70"/>
      <c r="OPQ3" s="70"/>
      <c r="OPR3" s="70"/>
      <c r="OPS3" s="70"/>
      <c r="OPT3" s="70"/>
      <c r="OPU3" s="70"/>
      <c r="OPV3" s="70"/>
      <c r="OPW3" s="70"/>
      <c r="OPX3" s="70"/>
      <c r="OPY3" s="70"/>
      <c r="OPZ3" s="70"/>
      <c r="OQA3" s="70"/>
      <c r="OQB3" s="70"/>
      <c r="OQC3" s="70"/>
      <c r="OQD3" s="70"/>
      <c r="OQE3" s="70"/>
      <c r="OQF3" s="70"/>
      <c r="OQG3" s="70"/>
      <c r="OQH3" s="70"/>
      <c r="OQI3" s="70"/>
      <c r="OQJ3" s="70"/>
      <c r="OQK3" s="70"/>
      <c r="OQL3" s="70"/>
      <c r="OQM3" s="70"/>
      <c r="OQN3" s="70"/>
      <c r="OQO3" s="70"/>
      <c r="OQP3" s="70"/>
      <c r="OQQ3" s="70"/>
      <c r="OQR3" s="70"/>
      <c r="OQS3" s="70"/>
      <c r="OQT3" s="70"/>
      <c r="OQU3" s="70"/>
      <c r="OQV3" s="70"/>
      <c r="OQW3" s="70"/>
      <c r="OQX3" s="70"/>
      <c r="OQY3" s="70"/>
      <c r="OQZ3" s="70"/>
      <c r="ORA3" s="70"/>
      <c r="ORB3" s="70"/>
      <c r="ORC3" s="70"/>
      <c r="ORD3" s="70"/>
      <c r="ORE3" s="70"/>
      <c r="ORF3" s="70"/>
      <c r="ORG3" s="70"/>
      <c r="ORH3" s="70"/>
      <c r="ORI3" s="70"/>
      <c r="ORJ3" s="70"/>
      <c r="ORK3" s="70"/>
      <c r="ORL3" s="70"/>
      <c r="ORM3" s="70"/>
      <c r="ORN3" s="70"/>
      <c r="ORO3" s="70"/>
      <c r="ORP3" s="70"/>
      <c r="ORQ3" s="70"/>
      <c r="ORR3" s="70"/>
      <c r="ORS3" s="70"/>
      <c r="ORT3" s="70"/>
      <c r="ORU3" s="70"/>
      <c r="ORV3" s="70"/>
      <c r="ORW3" s="70"/>
      <c r="ORX3" s="70"/>
      <c r="ORY3" s="70"/>
      <c r="ORZ3" s="70"/>
      <c r="OSA3" s="70"/>
      <c r="OSB3" s="70"/>
      <c r="OSC3" s="70"/>
      <c r="OSD3" s="70"/>
      <c r="OSE3" s="70"/>
      <c r="OSF3" s="70"/>
      <c r="OSG3" s="70"/>
      <c r="OSH3" s="70"/>
      <c r="OSI3" s="70"/>
      <c r="OSJ3" s="70"/>
      <c r="OSK3" s="70"/>
      <c r="OSL3" s="70"/>
      <c r="OSM3" s="70"/>
      <c r="OSN3" s="70"/>
      <c r="OSO3" s="70"/>
      <c r="OSP3" s="70"/>
      <c r="OSQ3" s="70"/>
      <c r="OSR3" s="70"/>
      <c r="OSS3" s="70"/>
      <c r="OST3" s="70"/>
      <c r="OSU3" s="70"/>
      <c r="OSV3" s="70"/>
      <c r="OSW3" s="70"/>
      <c r="OSX3" s="70"/>
      <c r="OSY3" s="70"/>
      <c r="OSZ3" s="70"/>
      <c r="OTA3" s="70"/>
      <c r="OTB3" s="70"/>
      <c r="OTC3" s="70"/>
      <c r="OTD3" s="70"/>
      <c r="OTE3" s="70"/>
      <c r="OTF3" s="70"/>
      <c r="OTG3" s="70"/>
      <c r="OTH3" s="70"/>
      <c r="OTI3" s="70"/>
      <c r="OTJ3" s="70"/>
      <c r="OTK3" s="70"/>
      <c r="OTL3" s="70"/>
      <c r="OTM3" s="70"/>
      <c r="OTN3" s="70"/>
      <c r="OTO3" s="70"/>
      <c r="OTP3" s="70"/>
      <c r="OTQ3" s="70"/>
      <c r="OTR3" s="70"/>
      <c r="OTS3" s="70"/>
      <c r="OTT3" s="70"/>
      <c r="OTU3" s="70"/>
      <c r="OTV3" s="70"/>
      <c r="OTW3" s="70"/>
      <c r="OTX3" s="70"/>
      <c r="OTY3" s="70"/>
      <c r="OTZ3" s="70"/>
      <c r="OUA3" s="70"/>
      <c r="OUB3" s="70"/>
      <c r="OUC3" s="70"/>
      <c r="OUD3" s="70"/>
      <c r="OUE3" s="70"/>
      <c r="OUF3" s="70"/>
      <c r="OUG3" s="70"/>
      <c r="OUH3" s="70"/>
      <c r="OUI3" s="70"/>
      <c r="OUJ3" s="70"/>
      <c r="OUK3" s="70"/>
      <c r="OUL3" s="70"/>
      <c r="OUM3" s="70"/>
      <c r="OUN3" s="70"/>
      <c r="OUO3" s="70"/>
      <c r="OUP3" s="70"/>
      <c r="OUQ3" s="70"/>
      <c r="OUR3" s="70"/>
      <c r="OUS3" s="70"/>
      <c r="OUT3" s="70"/>
      <c r="OUU3" s="70"/>
      <c r="OUV3" s="70"/>
      <c r="OUW3" s="70"/>
      <c r="OUX3" s="70"/>
      <c r="OUY3" s="70"/>
      <c r="OUZ3" s="70"/>
      <c r="OVA3" s="70"/>
      <c r="OVB3" s="70"/>
      <c r="OVC3" s="70"/>
      <c r="OVD3" s="70"/>
      <c r="OVE3" s="70"/>
      <c r="OVF3" s="70"/>
      <c r="OVG3" s="70"/>
      <c r="OVH3" s="70"/>
      <c r="OVI3" s="70"/>
      <c r="OVJ3" s="70"/>
      <c r="OVK3" s="70"/>
      <c r="OVL3" s="70"/>
      <c r="OVM3" s="70"/>
      <c r="OVN3" s="70"/>
      <c r="OVO3" s="70"/>
      <c r="OVP3" s="70"/>
      <c r="OVQ3" s="70"/>
      <c r="OVR3" s="70"/>
      <c r="OVS3" s="70"/>
      <c r="OVT3" s="70"/>
      <c r="OVU3" s="70"/>
      <c r="OVV3" s="70"/>
      <c r="OVW3" s="70"/>
      <c r="OVX3" s="70"/>
      <c r="OVY3" s="70"/>
      <c r="OVZ3" s="70"/>
      <c r="OWA3" s="70"/>
      <c r="OWB3" s="70"/>
      <c r="OWC3" s="70"/>
      <c r="OWD3" s="70"/>
      <c r="OWE3" s="70"/>
      <c r="OWF3" s="70"/>
      <c r="OWG3" s="70"/>
      <c r="OWH3" s="70"/>
      <c r="OWI3" s="70"/>
      <c r="OWJ3" s="70"/>
      <c r="OWK3" s="70"/>
      <c r="OWL3" s="70"/>
      <c r="OWM3" s="70"/>
      <c r="OWN3" s="70"/>
      <c r="OWO3" s="70"/>
      <c r="OWP3" s="70"/>
      <c r="OWQ3" s="70"/>
      <c r="OWR3" s="70"/>
      <c r="OWS3" s="70"/>
      <c r="OWT3" s="70"/>
      <c r="OWU3" s="70"/>
      <c r="OWV3" s="70"/>
      <c r="OWW3" s="70"/>
      <c r="OWX3" s="70"/>
      <c r="OWY3" s="70"/>
      <c r="OWZ3" s="70"/>
      <c r="OXA3" s="70"/>
      <c r="OXB3" s="70"/>
      <c r="OXC3" s="70"/>
      <c r="OXD3" s="70"/>
      <c r="OXE3" s="70"/>
      <c r="OXF3" s="70"/>
      <c r="OXG3" s="70"/>
      <c r="OXH3" s="70"/>
      <c r="OXI3" s="70"/>
      <c r="OXJ3" s="70"/>
      <c r="OXK3" s="70"/>
      <c r="OXL3" s="70"/>
      <c r="OXM3" s="70"/>
      <c r="OXN3" s="70"/>
      <c r="OXO3" s="70"/>
      <c r="OXP3" s="70"/>
      <c r="OXQ3" s="70"/>
      <c r="OXR3" s="70"/>
      <c r="OXS3" s="70"/>
      <c r="OXT3" s="70"/>
      <c r="OXU3" s="70"/>
      <c r="OXV3" s="70"/>
      <c r="OXW3" s="70"/>
      <c r="OXX3" s="70"/>
      <c r="OXY3" s="70"/>
      <c r="OXZ3" s="70"/>
      <c r="OYA3" s="70"/>
      <c r="OYB3" s="70"/>
      <c r="OYC3" s="70"/>
      <c r="OYD3" s="70"/>
      <c r="OYE3" s="70"/>
      <c r="OYF3" s="70"/>
      <c r="OYG3" s="70"/>
      <c r="OYH3" s="70"/>
      <c r="OYI3" s="70"/>
      <c r="OYJ3" s="70"/>
      <c r="OYK3" s="70"/>
      <c r="OYL3" s="70"/>
      <c r="OYM3" s="70"/>
      <c r="OYN3" s="70"/>
      <c r="OYO3" s="70"/>
      <c r="OYP3" s="70"/>
      <c r="OYQ3" s="70"/>
      <c r="OYR3" s="70"/>
      <c r="OYS3" s="70"/>
      <c r="OYT3" s="70"/>
      <c r="OYU3" s="70"/>
      <c r="OYV3" s="70"/>
      <c r="OYW3" s="70"/>
      <c r="OYX3" s="70"/>
      <c r="OYY3" s="70"/>
      <c r="OYZ3" s="70"/>
      <c r="OZA3" s="70"/>
      <c r="OZB3" s="70"/>
      <c r="OZC3" s="70"/>
      <c r="OZD3" s="70"/>
      <c r="OZE3" s="70"/>
      <c r="OZF3" s="70"/>
      <c r="OZG3" s="70"/>
      <c r="OZH3" s="70"/>
      <c r="OZI3" s="70"/>
      <c r="OZJ3" s="70"/>
      <c r="OZK3" s="70"/>
      <c r="OZL3" s="70"/>
      <c r="OZM3" s="70"/>
      <c r="OZN3" s="70"/>
      <c r="OZO3" s="70"/>
      <c r="OZP3" s="70"/>
      <c r="OZQ3" s="70"/>
      <c r="OZR3" s="70"/>
      <c r="OZS3" s="70"/>
      <c r="OZT3" s="70"/>
      <c r="OZU3" s="70"/>
      <c r="OZV3" s="70"/>
      <c r="OZW3" s="70"/>
      <c r="OZX3" s="70"/>
      <c r="OZY3" s="70"/>
      <c r="OZZ3" s="70"/>
      <c r="PAA3" s="70"/>
      <c r="PAB3" s="70"/>
      <c r="PAC3" s="70"/>
      <c r="PAD3" s="70"/>
      <c r="PAE3" s="70"/>
      <c r="PAF3" s="70"/>
      <c r="PAG3" s="70"/>
      <c r="PAH3" s="70"/>
      <c r="PAI3" s="70"/>
      <c r="PAJ3" s="70"/>
      <c r="PAK3" s="70"/>
      <c r="PAL3" s="70"/>
      <c r="PAM3" s="70"/>
      <c r="PAN3" s="70"/>
      <c r="PAO3" s="70"/>
      <c r="PAP3" s="70"/>
      <c r="PAQ3" s="70"/>
      <c r="PAR3" s="70"/>
      <c r="PAS3" s="70"/>
      <c r="PAT3" s="70"/>
      <c r="PAU3" s="70"/>
      <c r="PAV3" s="70"/>
      <c r="PAW3" s="70"/>
      <c r="PAX3" s="70"/>
      <c r="PAY3" s="70"/>
      <c r="PAZ3" s="70"/>
      <c r="PBA3" s="70"/>
      <c r="PBB3" s="70"/>
      <c r="PBC3" s="70"/>
      <c r="PBD3" s="70"/>
      <c r="PBE3" s="70"/>
      <c r="PBF3" s="70"/>
      <c r="PBG3" s="70"/>
      <c r="PBH3" s="70"/>
      <c r="PBI3" s="70"/>
      <c r="PBJ3" s="70"/>
      <c r="PBK3" s="70"/>
      <c r="PBL3" s="70"/>
      <c r="PBM3" s="70"/>
      <c r="PBN3" s="70"/>
      <c r="PBO3" s="70"/>
      <c r="PBP3" s="70"/>
      <c r="PBQ3" s="70"/>
      <c r="PBR3" s="70"/>
      <c r="PBS3" s="70"/>
      <c r="PBT3" s="70"/>
      <c r="PBU3" s="70"/>
      <c r="PBV3" s="70"/>
      <c r="PBW3" s="70"/>
      <c r="PBX3" s="70"/>
      <c r="PBY3" s="70"/>
      <c r="PBZ3" s="70"/>
      <c r="PCA3" s="70"/>
      <c r="PCB3" s="70"/>
      <c r="PCC3" s="70"/>
      <c r="PCD3" s="70"/>
      <c r="PCE3" s="70"/>
      <c r="PCF3" s="70"/>
      <c r="PCG3" s="70"/>
      <c r="PCH3" s="70"/>
      <c r="PCI3" s="70"/>
      <c r="PCJ3" s="70"/>
      <c r="PCK3" s="70"/>
      <c r="PCL3" s="70"/>
      <c r="PCM3" s="70"/>
      <c r="PCN3" s="70"/>
      <c r="PCO3" s="70"/>
      <c r="PCP3" s="70"/>
      <c r="PCQ3" s="70"/>
      <c r="PCR3" s="70"/>
      <c r="PCS3" s="70"/>
      <c r="PCT3" s="70"/>
      <c r="PCU3" s="70"/>
      <c r="PCV3" s="70"/>
      <c r="PCW3" s="70"/>
      <c r="PCX3" s="70"/>
      <c r="PCY3" s="70"/>
      <c r="PCZ3" s="70"/>
      <c r="PDA3" s="70"/>
      <c r="PDB3" s="70"/>
      <c r="PDC3" s="70"/>
      <c r="PDD3" s="70"/>
      <c r="PDE3" s="70"/>
      <c r="PDF3" s="70"/>
      <c r="PDG3" s="70"/>
      <c r="PDH3" s="70"/>
      <c r="PDI3" s="70"/>
      <c r="PDJ3" s="70"/>
      <c r="PDK3" s="70"/>
      <c r="PDL3" s="70"/>
      <c r="PDM3" s="70"/>
      <c r="PDN3" s="70"/>
      <c r="PDO3" s="70"/>
      <c r="PDP3" s="70"/>
      <c r="PDQ3" s="70"/>
      <c r="PDR3" s="70"/>
      <c r="PDS3" s="70"/>
      <c r="PDT3" s="70"/>
      <c r="PDU3" s="70"/>
      <c r="PDV3" s="70"/>
      <c r="PDW3" s="70"/>
      <c r="PDX3" s="70"/>
      <c r="PDY3" s="70"/>
      <c r="PDZ3" s="70"/>
      <c r="PEA3" s="70"/>
      <c r="PEB3" s="70"/>
      <c r="PEC3" s="70"/>
      <c r="PED3" s="70"/>
      <c r="PEE3" s="70"/>
      <c r="PEF3" s="70"/>
      <c r="PEG3" s="70"/>
      <c r="PEH3" s="70"/>
      <c r="PEI3" s="70"/>
      <c r="PEJ3" s="70"/>
      <c r="PEK3" s="70"/>
      <c r="PEL3" s="70"/>
      <c r="PEM3" s="70"/>
      <c r="PEN3" s="70"/>
      <c r="PEO3" s="70"/>
      <c r="PEP3" s="70"/>
      <c r="PEQ3" s="70"/>
      <c r="PER3" s="70"/>
      <c r="PES3" s="70"/>
      <c r="PET3" s="70"/>
      <c r="PEU3" s="70"/>
      <c r="PEV3" s="70"/>
      <c r="PEW3" s="70"/>
      <c r="PEX3" s="70"/>
      <c r="PEY3" s="70"/>
      <c r="PEZ3" s="70"/>
      <c r="PFA3" s="70"/>
      <c r="PFB3" s="70"/>
      <c r="PFC3" s="70"/>
      <c r="PFD3" s="70"/>
      <c r="PFE3" s="70"/>
      <c r="PFF3" s="70"/>
      <c r="PFG3" s="70"/>
      <c r="PFH3" s="70"/>
      <c r="PFI3" s="70"/>
      <c r="PFJ3" s="70"/>
      <c r="PFK3" s="70"/>
      <c r="PFL3" s="70"/>
      <c r="PFM3" s="70"/>
      <c r="PFN3" s="70"/>
      <c r="PFO3" s="70"/>
      <c r="PFP3" s="70"/>
      <c r="PFQ3" s="70"/>
      <c r="PFR3" s="70"/>
      <c r="PFS3" s="70"/>
      <c r="PFT3" s="70"/>
      <c r="PFU3" s="70"/>
      <c r="PFV3" s="70"/>
      <c r="PFW3" s="70"/>
      <c r="PFX3" s="70"/>
      <c r="PFY3" s="70"/>
      <c r="PFZ3" s="70"/>
      <c r="PGA3" s="70"/>
      <c r="PGB3" s="70"/>
      <c r="PGC3" s="70"/>
      <c r="PGD3" s="70"/>
      <c r="PGE3" s="70"/>
      <c r="PGF3" s="70"/>
      <c r="PGG3" s="70"/>
      <c r="PGH3" s="70"/>
      <c r="PGI3" s="70"/>
      <c r="PGJ3" s="70"/>
      <c r="PGK3" s="70"/>
      <c r="PGL3" s="70"/>
      <c r="PGM3" s="70"/>
      <c r="PGN3" s="70"/>
      <c r="PGO3" s="70"/>
      <c r="PGP3" s="70"/>
      <c r="PGQ3" s="70"/>
      <c r="PGR3" s="70"/>
      <c r="PGS3" s="70"/>
      <c r="PGT3" s="70"/>
      <c r="PGU3" s="70"/>
      <c r="PGV3" s="70"/>
      <c r="PGW3" s="70"/>
      <c r="PGX3" s="70"/>
      <c r="PGY3" s="70"/>
      <c r="PGZ3" s="70"/>
      <c r="PHA3" s="70"/>
      <c r="PHB3" s="70"/>
      <c r="PHC3" s="70"/>
      <c r="PHD3" s="70"/>
      <c r="PHE3" s="70"/>
      <c r="PHF3" s="70"/>
      <c r="PHG3" s="70"/>
      <c r="PHH3" s="70"/>
      <c r="PHI3" s="70"/>
      <c r="PHJ3" s="70"/>
      <c r="PHK3" s="70"/>
      <c r="PHL3" s="70"/>
      <c r="PHM3" s="70"/>
      <c r="PHN3" s="70"/>
      <c r="PHO3" s="70"/>
      <c r="PHP3" s="70"/>
      <c r="PHQ3" s="70"/>
      <c r="PHR3" s="70"/>
      <c r="PHS3" s="70"/>
      <c r="PHT3" s="70"/>
      <c r="PHU3" s="70"/>
      <c r="PHV3" s="70"/>
      <c r="PHW3" s="70"/>
      <c r="PHX3" s="70"/>
      <c r="PHY3" s="70"/>
      <c r="PHZ3" s="70"/>
      <c r="PIA3" s="70"/>
      <c r="PIB3" s="70"/>
      <c r="PIC3" s="70"/>
      <c r="PID3" s="70"/>
      <c r="PIE3" s="70"/>
      <c r="PIF3" s="70"/>
      <c r="PIG3" s="70"/>
      <c r="PIH3" s="70"/>
      <c r="PII3" s="70"/>
      <c r="PIJ3" s="70"/>
      <c r="PIK3" s="70"/>
      <c r="PIL3" s="70"/>
      <c r="PIM3" s="70"/>
      <c r="PIN3" s="70"/>
      <c r="PIO3" s="70"/>
      <c r="PIP3" s="70"/>
      <c r="PIQ3" s="70"/>
      <c r="PIR3" s="70"/>
      <c r="PIS3" s="70"/>
      <c r="PIT3" s="70"/>
      <c r="PIU3" s="70"/>
      <c r="PIV3" s="70"/>
      <c r="PIW3" s="70"/>
      <c r="PIX3" s="70"/>
      <c r="PIY3" s="70"/>
      <c r="PIZ3" s="70"/>
      <c r="PJA3" s="70"/>
      <c r="PJB3" s="70"/>
      <c r="PJC3" s="70"/>
      <c r="PJD3" s="70"/>
      <c r="PJE3" s="70"/>
      <c r="PJF3" s="70"/>
      <c r="PJG3" s="70"/>
      <c r="PJH3" s="70"/>
      <c r="PJI3" s="70"/>
      <c r="PJJ3" s="70"/>
      <c r="PJK3" s="70"/>
      <c r="PJL3" s="70"/>
      <c r="PJM3" s="70"/>
      <c r="PJN3" s="70"/>
      <c r="PJO3" s="70"/>
      <c r="PJP3" s="70"/>
      <c r="PJQ3" s="70"/>
      <c r="PJR3" s="70"/>
      <c r="PJS3" s="70"/>
      <c r="PJT3" s="70"/>
      <c r="PJU3" s="70"/>
      <c r="PJV3" s="70"/>
      <c r="PJW3" s="70"/>
      <c r="PJX3" s="70"/>
      <c r="PJY3" s="70"/>
      <c r="PJZ3" s="70"/>
      <c r="PKA3" s="70"/>
      <c r="PKB3" s="70"/>
      <c r="PKC3" s="70"/>
      <c r="PKD3" s="70"/>
      <c r="PKE3" s="70"/>
      <c r="PKF3" s="70"/>
      <c r="PKG3" s="70"/>
      <c r="PKH3" s="70"/>
      <c r="PKI3" s="70"/>
      <c r="PKJ3" s="70"/>
      <c r="PKK3" s="70"/>
      <c r="PKL3" s="70"/>
      <c r="PKM3" s="70"/>
      <c r="PKN3" s="70"/>
      <c r="PKO3" s="70"/>
      <c r="PKP3" s="70"/>
      <c r="PKQ3" s="70"/>
      <c r="PKR3" s="70"/>
      <c r="PKS3" s="70"/>
      <c r="PKT3" s="70"/>
      <c r="PKU3" s="70"/>
      <c r="PKV3" s="70"/>
      <c r="PKW3" s="70"/>
      <c r="PKX3" s="70"/>
      <c r="PKY3" s="70"/>
      <c r="PKZ3" s="70"/>
      <c r="PLA3" s="70"/>
      <c r="PLB3" s="70"/>
      <c r="PLC3" s="70"/>
      <c r="PLD3" s="70"/>
      <c r="PLE3" s="70"/>
      <c r="PLF3" s="70"/>
      <c r="PLG3" s="70"/>
      <c r="PLH3" s="70"/>
      <c r="PLI3" s="70"/>
      <c r="PLJ3" s="70"/>
      <c r="PLK3" s="70"/>
      <c r="PLL3" s="70"/>
      <c r="PLM3" s="70"/>
      <c r="PLN3" s="70"/>
      <c r="PLO3" s="70"/>
      <c r="PLP3" s="70"/>
      <c r="PLQ3" s="70"/>
      <c r="PLR3" s="70"/>
      <c r="PLS3" s="70"/>
      <c r="PLT3" s="70"/>
      <c r="PLU3" s="70"/>
      <c r="PLV3" s="70"/>
      <c r="PLW3" s="70"/>
      <c r="PLX3" s="70"/>
      <c r="PLY3" s="70"/>
      <c r="PLZ3" s="70"/>
      <c r="PMA3" s="70"/>
      <c r="PMB3" s="70"/>
      <c r="PMC3" s="70"/>
      <c r="PMD3" s="70"/>
      <c r="PME3" s="70"/>
      <c r="PMF3" s="70"/>
      <c r="PMG3" s="70"/>
      <c r="PMH3" s="70"/>
      <c r="PMI3" s="70"/>
      <c r="PMJ3" s="70"/>
      <c r="PMK3" s="70"/>
      <c r="PML3" s="70"/>
      <c r="PMM3" s="70"/>
      <c r="PMN3" s="70"/>
      <c r="PMO3" s="70"/>
      <c r="PMP3" s="70"/>
      <c r="PMQ3" s="70"/>
      <c r="PMR3" s="70"/>
      <c r="PMS3" s="70"/>
      <c r="PMT3" s="70"/>
      <c r="PMU3" s="70"/>
      <c r="PMV3" s="70"/>
      <c r="PMW3" s="70"/>
      <c r="PMX3" s="70"/>
      <c r="PMY3" s="70"/>
      <c r="PMZ3" s="70"/>
      <c r="PNA3" s="70"/>
      <c r="PNB3" s="70"/>
      <c r="PNC3" s="70"/>
      <c r="PND3" s="70"/>
      <c r="PNE3" s="70"/>
      <c r="PNF3" s="70"/>
      <c r="PNG3" s="70"/>
      <c r="PNH3" s="70"/>
      <c r="PNI3" s="70"/>
      <c r="PNJ3" s="70"/>
      <c r="PNK3" s="70"/>
      <c r="PNL3" s="70"/>
      <c r="PNM3" s="70"/>
      <c r="PNN3" s="70"/>
      <c r="PNO3" s="70"/>
      <c r="PNP3" s="70"/>
      <c r="PNQ3" s="70"/>
      <c r="PNR3" s="70"/>
      <c r="PNS3" s="70"/>
      <c r="PNT3" s="70"/>
      <c r="PNU3" s="70"/>
      <c r="PNV3" s="70"/>
      <c r="PNW3" s="70"/>
      <c r="PNX3" s="70"/>
      <c r="PNY3" s="70"/>
      <c r="PNZ3" s="70"/>
      <c r="POA3" s="70"/>
      <c r="POB3" s="70"/>
      <c r="POC3" s="70"/>
      <c r="POD3" s="70"/>
      <c r="POE3" s="70"/>
      <c r="POF3" s="70"/>
      <c r="POG3" s="70"/>
      <c r="POH3" s="70"/>
      <c r="POI3" s="70"/>
      <c r="POJ3" s="70"/>
      <c r="POK3" s="70"/>
      <c r="POL3" s="70"/>
      <c r="POM3" s="70"/>
      <c r="PON3" s="70"/>
      <c r="POO3" s="70"/>
      <c r="POP3" s="70"/>
      <c r="POQ3" s="70"/>
      <c r="POR3" s="70"/>
      <c r="POS3" s="70"/>
      <c r="POT3" s="70"/>
      <c r="POU3" s="70"/>
      <c r="POV3" s="70"/>
      <c r="POW3" s="70"/>
      <c r="POX3" s="70"/>
      <c r="POY3" s="70"/>
      <c r="POZ3" s="70"/>
      <c r="PPA3" s="70"/>
      <c r="PPB3" s="70"/>
      <c r="PPC3" s="70"/>
      <c r="PPD3" s="70"/>
      <c r="PPE3" s="70"/>
      <c r="PPF3" s="70"/>
      <c r="PPG3" s="70"/>
      <c r="PPH3" s="70"/>
      <c r="PPI3" s="70"/>
      <c r="PPJ3" s="70"/>
      <c r="PPK3" s="70"/>
      <c r="PPL3" s="70"/>
      <c r="PPM3" s="70"/>
      <c r="PPN3" s="70"/>
      <c r="PPO3" s="70"/>
      <c r="PPP3" s="70"/>
      <c r="PPQ3" s="70"/>
      <c r="PPR3" s="70"/>
      <c r="PPS3" s="70"/>
      <c r="PPT3" s="70"/>
      <c r="PPU3" s="70"/>
      <c r="PPV3" s="70"/>
      <c r="PPW3" s="70"/>
      <c r="PPX3" s="70"/>
      <c r="PPY3" s="70"/>
      <c r="PPZ3" s="70"/>
      <c r="PQA3" s="70"/>
      <c r="PQB3" s="70"/>
      <c r="PQC3" s="70"/>
      <c r="PQD3" s="70"/>
      <c r="PQE3" s="70"/>
      <c r="PQF3" s="70"/>
      <c r="PQG3" s="70"/>
      <c r="PQH3" s="70"/>
      <c r="PQI3" s="70"/>
      <c r="PQJ3" s="70"/>
      <c r="PQK3" s="70"/>
      <c r="PQL3" s="70"/>
      <c r="PQM3" s="70"/>
      <c r="PQN3" s="70"/>
      <c r="PQO3" s="70"/>
      <c r="PQP3" s="70"/>
      <c r="PQQ3" s="70"/>
      <c r="PQR3" s="70"/>
      <c r="PQS3" s="70"/>
      <c r="PQT3" s="70"/>
      <c r="PQU3" s="70"/>
      <c r="PQV3" s="70"/>
      <c r="PQW3" s="70"/>
      <c r="PQX3" s="70"/>
      <c r="PQY3" s="70"/>
      <c r="PQZ3" s="70"/>
      <c r="PRA3" s="70"/>
      <c r="PRB3" s="70"/>
      <c r="PRC3" s="70"/>
      <c r="PRD3" s="70"/>
      <c r="PRE3" s="70"/>
      <c r="PRF3" s="70"/>
      <c r="PRG3" s="70"/>
      <c r="PRH3" s="70"/>
      <c r="PRI3" s="70"/>
      <c r="PRJ3" s="70"/>
      <c r="PRK3" s="70"/>
      <c r="PRL3" s="70"/>
      <c r="PRM3" s="70"/>
      <c r="PRN3" s="70"/>
      <c r="PRO3" s="70"/>
      <c r="PRP3" s="70"/>
      <c r="PRQ3" s="70"/>
      <c r="PRR3" s="70"/>
      <c r="PRS3" s="70"/>
      <c r="PRT3" s="70"/>
      <c r="PRU3" s="70"/>
      <c r="PRV3" s="70"/>
      <c r="PRW3" s="70"/>
      <c r="PRX3" s="70"/>
      <c r="PRY3" s="70"/>
      <c r="PRZ3" s="70"/>
      <c r="PSA3" s="70"/>
      <c r="PSB3" s="70"/>
      <c r="PSC3" s="70"/>
      <c r="PSD3" s="70"/>
      <c r="PSE3" s="70"/>
      <c r="PSF3" s="70"/>
      <c r="PSG3" s="70"/>
      <c r="PSH3" s="70"/>
      <c r="PSI3" s="70"/>
      <c r="PSJ3" s="70"/>
      <c r="PSK3" s="70"/>
      <c r="PSL3" s="70"/>
      <c r="PSM3" s="70"/>
      <c r="PSN3" s="70"/>
      <c r="PSO3" s="70"/>
      <c r="PSP3" s="70"/>
      <c r="PSQ3" s="70"/>
      <c r="PSR3" s="70"/>
      <c r="PSS3" s="70"/>
      <c r="PST3" s="70"/>
      <c r="PSU3" s="70"/>
      <c r="PSV3" s="70"/>
      <c r="PSW3" s="70"/>
      <c r="PSX3" s="70"/>
      <c r="PSY3" s="70"/>
      <c r="PSZ3" s="70"/>
      <c r="PTA3" s="70"/>
      <c r="PTB3" s="70"/>
      <c r="PTC3" s="70"/>
      <c r="PTD3" s="70"/>
      <c r="PTE3" s="70"/>
      <c r="PTF3" s="70"/>
      <c r="PTG3" s="70"/>
      <c r="PTH3" s="70"/>
      <c r="PTI3" s="70"/>
      <c r="PTJ3" s="70"/>
      <c r="PTK3" s="70"/>
      <c r="PTL3" s="70"/>
      <c r="PTM3" s="70"/>
      <c r="PTN3" s="70"/>
      <c r="PTO3" s="70"/>
      <c r="PTP3" s="70"/>
      <c r="PTQ3" s="70"/>
      <c r="PTR3" s="70"/>
      <c r="PTS3" s="70"/>
      <c r="PTT3" s="70"/>
      <c r="PTU3" s="70"/>
      <c r="PTV3" s="70"/>
      <c r="PTW3" s="70"/>
      <c r="PTX3" s="70"/>
      <c r="PTY3" s="70"/>
      <c r="PTZ3" s="70"/>
      <c r="PUA3" s="70"/>
      <c r="PUB3" s="70"/>
      <c r="PUC3" s="70"/>
      <c r="PUD3" s="70"/>
      <c r="PUE3" s="70"/>
      <c r="PUF3" s="70"/>
      <c r="PUG3" s="70"/>
      <c r="PUH3" s="70"/>
      <c r="PUI3" s="70"/>
      <c r="PUJ3" s="70"/>
      <c r="PUK3" s="70"/>
      <c r="PUL3" s="70"/>
      <c r="PUM3" s="70"/>
      <c r="PUN3" s="70"/>
      <c r="PUO3" s="70"/>
      <c r="PUP3" s="70"/>
      <c r="PUQ3" s="70"/>
      <c r="PUR3" s="70"/>
      <c r="PUS3" s="70"/>
      <c r="PUT3" s="70"/>
      <c r="PUU3" s="70"/>
      <c r="PUV3" s="70"/>
      <c r="PUW3" s="70"/>
      <c r="PUX3" s="70"/>
      <c r="PUY3" s="70"/>
      <c r="PUZ3" s="70"/>
      <c r="PVA3" s="70"/>
      <c r="PVB3" s="70"/>
      <c r="PVC3" s="70"/>
      <c r="PVD3" s="70"/>
      <c r="PVE3" s="70"/>
      <c r="PVF3" s="70"/>
      <c r="PVG3" s="70"/>
      <c r="PVH3" s="70"/>
      <c r="PVI3" s="70"/>
      <c r="PVJ3" s="70"/>
      <c r="PVK3" s="70"/>
      <c r="PVL3" s="70"/>
      <c r="PVM3" s="70"/>
      <c r="PVN3" s="70"/>
      <c r="PVO3" s="70"/>
      <c r="PVP3" s="70"/>
      <c r="PVQ3" s="70"/>
      <c r="PVR3" s="70"/>
      <c r="PVS3" s="70"/>
      <c r="PVT3" s="70"/>
      <c r="PVU3" s="70"/>
      <c r="PVV3" s="70"/>
      <c r="PVW3" s="70"/>
      <c r="PVX3" s="70"/>
      <c r="PVY3" s="70"/>
      <c r="PVZ3" s="70"/>
      <c r="PWA3" s="70"/>
      <c r="PWB3" s="70"/>
      <c r="PWC3" s="70"/>
      <c r="PWD3" s="70"/>
      <c r="PWE3" s="70"/>
      <c r="PWF3" s="70"/>
      <c r="PWG3" s="70"/>
      <c r="PWH3" s="70"/>
      <c r="PWI3" s="70"/>
      <c r="PWJ3" s="70"/>
      <c r="PWK3" s="70"/>
      <c r="PWL3" s="70"/>
      <c r="PWM3" s="70"/>
      <c r="PWN3" s="70"/>
      <c r="PWO3" s="70"/>
      <c r="PWP3" s="70"/>
      <c r="PWQ3" s="70"/>
      <c r="PWR3" s="70"/>
      <c r="PWS3" s="70"/>
      <c r="PWT3" s="70"/>
      <c r="PWU3" s="70"/>
      <c r="PWV3" s="70"/>
      <c r="PWW3" s="70"/>
      <c r="PWX3" s="70"/>
      <c r="PWY3" s="70"/>
      <c r="PWZ3" s="70"/>
      <c r="PXA3" s="70"/>
      <c r="PXB3" s="70"/>
      <c r="PXC3" s="70"/>
      <c r="PXD3" s="70"/>
      <c r="PXE3" s="70"/>
      <c r="PXF3" s="70"/>
      <c r="PXG3" s="70"/>
      <c r="PXH3" s="70"/>
      <c r="PXI3" s="70"/>
      <c r="PXJ3" s="70"/>
      <c r="PXK3" s="70"/>
      <c r="PXL3" s="70"/>
      <c r="PXM3" s="70"/>
      <c r="PXN3" s="70"/>
      <c r="PXO3" s="70"/>
      <c r="PXP3" s="70"/>
      <c r="PXQ3" s="70"/>
      <c r="PXR3" s="70"/>
      <c r="PXS3" s="70"/>
      <c r="PXT3" s="70"/>
      <c r="PXU3" s="70"/>
      <c r="PXV3" s="70"/>
      <c r="PXW3" s="70"/>
      <c r="PXX3" s="70"/>
      <c r="PXY3" s="70"/>
      <c r="PXZ3" s="70"/>
      <c r="PYA3" s="70"/>
      <c r="PYB3" s="70"/>
      <c r="PYC3" s="70"/>
      <c r="PYD3" s="70"/>
      <c r="PYE3" s="70"/>
      <c r="PYF3" s="70"/>
      <c r="PYG3" s="70"/>
      <c r="PYH3" s="70"/>
      <c r="PYI3" s="70"/>
      <c r="PYJ3" s="70"/>
      <c r="PYK3" s="70"/>
      <c r="PYL3" s="70"/>
      <c r="PYM3" s="70"/>
      <c r="PYN3" s="70"/>
      <c r="PYO3" s="70"/>
      <c r="PYP3" s="70"/>
      <c r="PYQ3" s="70"/>
      <c r="PYR3" s="70"/>
      <c r="PYS3" s="70"/>
      <c r="PYT3" s="70"/>
      <c r="PYU3" s="70"/>
      <c r="PYV3" s="70"/>
      <c r="PYW3" s="70"/>
      <c r="PYX3" s="70"/>
      <c r="PYY3" s="70"/>
      <c r="PYZ3" s="70"/>
      <c r="PZA3" s="70"/>
      <c r="PZB3" s="70"/>
      <c r="PZC3" s="70"/>
      <c r="PZD3" s="70"/>
      <c r="PZE3" s="70"/>
      <c r="PZF3" s="70"/>
      <c r="PZG3" s="70"/>
      <c r="PZH3" s="70"/>
      <c r="PZI3" s="70"/>
      <c r="PZJ3" s="70"/>
      <c r="PZK3" s="70"/>
      <c r="PZL3" s="70"/>
      <c r="PZM3" s="70"/>
      <c r="PZN3" s="70"/>
      <c r="PZO3" s="70"/>
      <c r="PZP3" s="70"/>
      <c r="PZQ3" s="70"/>
      <c r="PZR3" s="70"/>
      <c r="PZS3" s="70"/>
      <c r="PZT3" s="70"/>
      <c r="PZU3" s="70"/>
      <c r="PZV3" s="70"/>
      <c r="PZW3" s="70"/>
      <c r="PZX3" s="70"/>
      <c r="PZY3" s="70"/>
      <c r="PZZ3" s="70"/>
      <c r="QAA3" s="70"/>
      <c r="QAB3" s="70"/>
      <c r="QAC3" s="70"/>
      <c r="QAD3" s="70"/>
      <c r="QAE3" s="70"/>
      <c r="QAF3" s="70"/>
      <c r="QAG3" s="70"/>
      <c r="QAH3" s="70"/>
      <c r="QAI3" s="70"/>
      <c r="QAJ3" s="70"/>
      <c r="QAK3" s="70"/>
      <c r="QAL3" s="70"/>
      <c r="QAM3" s="70"/>
      <c r="QAN3" s="70"/>
      <c r="QAO3" s="70"/>
      <c r="QAP3" s="70"/>
      <c r="QAQ3" s="70"/>
      <c r="QAR3" s="70"/>
      <c r="QAS3" s="70"/>
      <c r="QAT3" s="70"/>
      <c r="QAU3" s="70"/>
      <c r="QAV3" s="70"/>
      <c r="QAW3" s="70"/>
      <c r="QAX3" s="70"/>
      <c r="QAY3" s="70"/>
      <c r="QAZ3" s="70"/>
      <c r="QBA3" s="70"/>
      <c r="QBB3" s="70"/>
      <c r="QBC3" s="70"/>
      <c r="QBD3" s="70"/>
      <c r="QBE3" s="70"/>
      <c r="QBF3" s="70"/>
      <c r="QBG3" s="70"/>
      <c r="QBH3" s="70"/>
      <c r="QBI3" s="70"/>
      <c r="QBJ3" s="70"/>
      <c r="QBK3" s="70"/>
      <c r="QBL3" s="70"/>
      <c r="QBM3" s="70"/>
      <c r="QBN3" s="70"/>
      <c r="QBO3" s="70"/>
      <c r="QBP3" s="70"/>
      <c r="QBQ3" s="70"/>
      <c r="QBR3" s="70"/>
      <c r="QBS3" s="70"/>
      <c r="QBT3" s="70"/>
      <c r="QBU3" s="70"/>
      <c r="QBV3" s="70"/>
      <c r="QBW3" s="70"/>
      <c r="QBX3" s="70"/>
      <c r="QBY3" s="70"/>
      <c r="QBZ3" s="70"/>
      <c r="QCA3" s="70"/>
      <c r="QCB3" s="70"/>
      <c r="QCC3" s="70"/>
      <c r="QCD3" s="70"/>
      <c r="QCE3" s="70"/>
      <c r="QCF3" s="70"/>
      <c r="QCG3" s="70"/>
      <c r="QCH3" s="70"/>
      <c r="QCI3" s="70"/>
      <c r="QCJ3" s="70"/>
      <c r="QCK3" s="70"/>
      <c r="QCL3" s="70"/>
      <c r="QCM3" s="70"/>
      <c r="QCN3" s="70"/>
      <c r="QCO3" s="70"/>
      <c r="QCP3" s="70"/>
      <c r="QCQ3" s="70"/>
      <c r="QCR3" s="70"/>
      <c r="QCS3" s="70"/>
      <c r="QCT3" s="70"/>
      <c r="QCU3" s="70"/>
      <c r="QCV3" s="70"/>
      <c r="QCW3" s="70"/>
      <c r="QCX3" s="70"/>
      <c r="QCY3" s="70"/>
      <c r="QCZ3" s="70"/>
      <c r="QDA3" s="70"/>
      <c r="QDB3" s="70"/>
      <c r="QDC3" s="70"/>
      <c r="QDD3" s="70"/>
      <c r="QDE3" s="70"/>
      <c r="QDF3" s="70"/>
      <c r="QDG3" s="70"/>
      <c r="QDH3" s="70"/>
      <c r="QDI3" s="70"/>
      <c r="QDJ3" s="70"/>
      <c r="QDK3" s="70"/>
      <c r="QDL3" s="70"/>
      <c r="QDM3" s="70"/>
      <c r="QDN3" s="70"/>
      <c r="QDO3" s="70"/>
      <c r="QDP3" s="70"/>
      <c r="QDQ3" s="70"/>
      <c r="QDR3" s="70"/>
      <c r="QDS3" s="70"/>
      <c r="QDT3" s="70"/>
      <c r="QDU3" s="70"/>
      <c r="QDV3" s="70"/>
      <c r="QDW3" s="70"/>
      <c r="QDX3" s="70"/>
      <c r="QDY3" s="70"/>
      <c r="QDZ3" s="70"/>
      <c r="QEA3" s="70"/>
      <c r="QEB3" s="70"/>
      <c r="QEC3" s="70"/>
      <c r="QED3" s="70"/>
      <c r="QEE3" s="70"/>
      <c r="QEF3" s="70"/>
      <c r="QEG3" s="70"/>
      <c r="QEH3" s="70"/>
      <c r="QEI3" s="70"/>
      <c r="QEJ3" s="70"/>
      <c r="QEK3" s="70"/>
      <c r="QEL3" s="70"/>
      <c r="QEM3" s="70"/>
      <c r="QEN3" s="70"/>
      <c r="QEO3" s="70"/>
      <c r="QEP3" s="70"/>
      <c r="QEQ3" s="70"/>
      <c r="QER3" s="70"/>
      <c r="QES3" s="70"/>
      <c r="QET3" s="70"/>
      <c r="QEU3" s="70"/>
      <c r="QEV3" s="70"/>
      <c r="QEW3" s="70"/>
      <c r="QEX3" s="70"/>
      <c r="QEY3" s="70"/>
      <c r="QEZ3" s="70"/>
      <c r="QFA3" s="70"/>
      <c r="QFB3" s="70"/>
      <c r="QFC3" s="70"/>
      <c r="QFD3" s="70"/>
      <c r="QFE3" s="70"/>
      <c r="QFF3" s="70"/>
      <c r="QFG3" s="70"/>
      <c r="QFH3" s="70"/>
      <c r="QFI3" s="70"/>
      <c r="QFJ3" s="70"/>
      <c r="QFK3" s="70"/>
      <c r="QFL3" s="70"/>
      <c r="QFM3" s="70"/>
      <c r="QFN3" s="70"/>
      <c r="QFO3" s="70"/>
      <c r="QFP3" s="70"/>
      <c r="QFQ3" s="70"/>
      <c r="QFR3" s="70"/>
      <c r="QFS3" s="70"/>
      <c r="QFT3" s="70"/>
      <c r="QFU3" s="70"/>
      <c r="QFV3" s="70"/>
      <c r="QFW3" s="70"/>
      <c r="QFX3" s="70"/>
      <c r="QFY3" s="70"/>
      <c r="QFZ3" s="70"/>
      <c r="QGA3" s="70"/>
      <c r="QGB3" s="70"/>
      <c r="QGC3" s="70"/>
      <c r="QGD3" s="70"/>
      <c r="QGE3" s="70"/>
      <c r="QGF3" s="70"/>
      <c r="QGG3" s="70"/>
      <c r="QGH3" s="70"/>
      <c r="QGI3" s="70"/>
      <c r="QGJ3" s="70"/>
      <c r="QGK3" s="70"/>
      <c r="QGL3" s="70"/>
      <c r="QGM3" s="70"/>
      <c r="QGN3" s="70"/>
      <c r="QGO3" s="70"/>
      <c r="QGP3" s="70"/>
      <c r="QGQ3" s="70"/>
      <c r="QGR3" s="70"/>
      <c r="QGS3" s="70"/>
      <c r="QGT3" s="70"/>
      <c r="QGU3" s="70"/>
      <c r="QGV3" s="70"/>
      <c r="QGW3" s="70"/>
      <c r="QGX3" s="70"/>
      <c r="QGY3" s="70"/>
      <c r="QGZ3" s="70"/>
      <c r="QHA3" s="70"/>
      <c r="QHB3" s="70"/>
      <c r="QHC3" s="70"/>
      <c r="QHD3" s="70"/>
      <c r="QHE3" s="70"/>
      <c r="QHF3" s="70"/>
      <c r="QHG3" s="70"/>
      <c r="QHH3" s="70"/>
      <c r="QHI3" s="70"/>
      <c r="QHJ3" s="70"/>
      <c r="QHK3" s="70"/>
      <c r="QHL3" s="70"/>
      <c r="QHM3" s="70"/>
      <c r="QHN3" s="70"/>
      <c r="QHO3" s="70"/>
      <c r="QHP3" s="70"/>
      <c r="QHQ3" s="70"/>
      <c r="QHR3" s="70"/>
      <c r="QHS3" s="70"/>
      <c r="QHT3" s="70"/>
      <c r="QHU3" s="70"/>
      <c r="QHV3" s="70"/>
      <c r="QHW3" s="70"/>
      <c r="QHX3" s="70"/>
      <c r="QHY3" s="70"/>
      <c r="QHZ3" s="70"/>
      <c r="QIA3" s="70"/>
      <c r="QIB3" s="70"/>
      <c r="QIC3" s="70"/>
      <c r="QID3" s="70"/>
      <c r="QIE3" s="70"/>
      <c r="QIF3" s="70"/>
      <c r="QIG3" s="70"/>
      <c r="QIH3" s="70"/>
      <c r="QII3" s="70"/>
      <c r="QIJ3" s="70"/>
      <c r="QIK3" s="70"/>
      <c r="QIL3" s="70"/>
      <c r="QIM3" s="70"/>
      <c r="QIN3" s="70"/>
      <c r="QIO3" s="70"/>
      <c r="QIP3" s="70"/>
      <c r="QIQ3" s="70"/>
      <c r="QIR3" s="70"/>
      <c r="QIS3" s="70"/>
      <c r="QIT3" s="70"/>
      <c r="QIU3" s="70"/>
      <c r="QIV3" s="70"/>
      <c r="QIW3" s="70"/>
      <c r="QIX3" s="70"/>
      <c r="QIY3" s="70"/>
      <c r="QIZ3" s="70"/>
      <c r="QJA3" s="70"/>
      <c r="QJB3" s="70"/>
      <c r="QJC3" s="70"/>
      <c r="QJD3" s="70"/>
      <c r="QJE3" s="70"/>
      <c r="QJF3" s="70"/>
      <c r="QJG3" s="70"/>
      <c r="QJH3" s="70"/>
      <c r="QJI3" s="70"/>
      <c r="QJJ3" s="70"/>
      <c r="QJK3" s="70"/>
      <c r="QJL3" s="70"/>
      <c r="QJM3" s="70"/>
      <c r="QJN3" s="70"/>
      <c r="QJO3" s="70"/>
      <c r="QJP3" s="70"/>
      <c r="QJQ3" s="70"/>
      <c r="QJR3" s="70"/>
      <c r="QJS3" s="70"/>
      <c r="QJT3" s="70"/>
      <c r="QJU3" s="70"/>
      <c r="QJV3" s="70"/>
      <c r="QJW3" s="70"/>
      <c r="QJX3" s="70"/>
      <c r="QJY3" s="70"/>
      <c r="QJZ3" s="70"/>
      <c r="QKA3" s="70"/>
      <c r="QKB3" s="70"/>
      <c r="QKC3" s="70"/>
      <c r="QKD3" s="70"/>
      <c r="QKE3" s="70"/>
      <c r="QKF3" s="70"/>
      <c r="QKG3" s="70"/>
      <c r="QKH3" s="70"/>
      <c r="QKI3" s="70"/>
      <c r="QKJ3" s="70"/>
      <c r="QKK3" s="70"/>
      <c r="QKL3" s="70"/>
      <c r="QKM3" s="70"/>
      <c r="QKN3" s="70"/>
      <c r="QKO3" s="70"/>
      <c r="QKP3" s="70"/>
      <c r="QKQ3" s="70"/>
      <c r="QKR3" s="70"/>
      <c r="QKS3" s="70"/>
      <c r="QKT3" s="70"/>
      <c r="QKU3" s="70"/>
      <c r="QKV3" s="70"/>
      <c r="QKW3" s="70"/>
      <c r="QKX3" s="70"/>
      <c r="QKY3" s="70"/>
      <c r="QKZ3" s="70"/>
      <c r="QLA3" s="70"/>
      <c r="QLB3" s="70"/>
      <c r="QLC3" s="70"/>
      <c r="QLD3" s="70"/>
      <c r="QLE3" s="70"/>
      <c r="QLF3" s="70"/>
      <c r="QLG3" s="70"/>
      <c r="QLH3" s="70"/>
      <c r="QLI3" s="70"/>
      <c r="QLJ3" s="70"/>
      <c r="QLK3" s="70"/>
      <c r="QLL3" s="70"/>
      <c r="QLM3" s="70"/>
      <c r="QLN3" s="70"/>
      <c r="QLO3" s="70"/>
      <c r="QLP3" s="70"/>
      <c r="QLQ3" s="70"/>
      <c r="QLR3" s="70"/>
      <c r="QLS3" s="70"/>
      <c r="QLT3" s="70"/>
      <c r="QLU3" s="70"/>
      <c r="QLV3" s="70"/>
      <c r="QLW3" s="70"/>
      <c r="QLX3" s="70"/>
      <c r="QLY3" s="70"/>
      <c r="QLZ3" s="70"/>
      <c r="QMA3" s="70"/>
      <c r="QMB3" s="70"/>
      <c r="QMC3" s="70"/>
      <c r="QMD3" s="70"/>
      <c r="QME3" s="70"/>
      <c r="QMF3" s="70"/>
      <c r="QMG3" s="70"/>
      <c r="QMH3" s="70"/>
      <c r="QMI3" s="70"/>
      <c r="QMJ3" s="70"/>
      <c r="QMK3" s="70"/>
      <c r="QML3" s="70"/>
      <c r="QMM3" s="70"/>
      <c r="QMN3" s="70"/>
      <c r="QMO3" s="70"/>
      <c r="QMP3" s="70"/>
      <c r="QMQ3" s="70"/>
      <c r="QMR3" s="70"/>
      <c r="QMS3" s="70"/>
      <c r="QMT3" s="70"/>
      <c r="QMU3" s="70"/>
      <c r="QMV3" s="70"/>
      <c r="QMW3" s="70"/>
      <c r="QMX3" s="70"/>
      <c r="QMY3" s="70"/>
      <c r="QMZ3" s="70"/>
      <c r="QNA3" s="70"/>
      <c r="QNB3" s="70"/>
      <c r="QNC3" s="70"/>
      <c r="QND3" s="70"/>
      <c r="QNE3" s="70"/>
      <c r="QNF3" s="70"/>
      <c r="QNG3" s="70"/>
      <c r="QNH3" s="70"/>
      <c r="QNI3" s="70"/>
      <c r="QNJ3" s="70"/>
      <c r="QNK3" s="70"/>
      <c r="QNL3" s="70"/>
      <c r="QNM3" s="70"/>
      <c r="QNN3" s="70"/>
      <c r="QNO3" s="70"/>
      <c r="QNP3" s="70"/>
      <c r="QNQ3" s="70"/>
      <c r="QNR3" s="70"/>
      <c r="QNS3" s="70"/>
      <c r="QNT3" s="70"/>
      <c r="QNU3" s="70"/>
      <c r="QNV3" s="70"/>
      <c r="QNW3" s="70"/>
      <c r="QNX3" s="70"/>
      <c r="QNY3" s="70"/>
      <c r="QNZ3" s="70"/>
      <c r="QOA3" s="70"/>
      <c r="QOB3" s="70"/>
      <c r="QOC3" s="70"/>
      <c r="QOD3" s="70"/>
      <c r="QOE3" s="70"/>
      <c r="QOF3" s="70"/>
      <c r="QOG3" s="70"/>
      <c r="QOH3" s="70"/>
      <c r="QOI3" s="70"/>
      <c r="QOJ3" s="70"/>
      <c r="QOK3" s="70"/>
      <c r="QOL3" s="70"/>
      <c r="QOM3" s="70"/>
      <c r="QON3" s="70"/>
      <c r="QOO3" s="70"/>
      <c r="QOP3" s="70"/>
      <c r="QOQ3" s="70"/>
      <c r="QOR3" s="70"/>
      <c r="QOS3" s="70"/>
      <c r="QOT3" s="70"/>
      <c r="QOU3" s="70"/>
      <c r="QOV3" s="70"/>
      <c r="QOW3" s="70"/>
      <c r="QOX3" s="70"/>
      <c r="QOY3" s="70"/>
      <c r="QOZ3" s="70"/>
      <c r="QPA3" s="70"/>
      <c r="QPB3" s="70"/>
      <c r="QPC3" s="70"/>
      <c r="QPD3" s="70"/>
      <c r="QPE3" s="70"/>
      <c r="QPF3" s="70"/>
      <c r="QPG3" s="70"/>
      <c r="QPH3" s="70"/>
      <c r="QPI3" s="70"/>
      <c r="QPJ3" s="70"/>
      <c r="QPK3" s="70"/>
      <c r="QPL3" s="70"/>
      <c r="QPM3" s="70"/>
      <c r="QPN3" s="70"/>
      <c r="QPO3" s="70"/>
      <c r="QPP3" s="70"/>
      <c r="QPQ3" s="70"/>
      <c r="QPR3" s="70"/>
      <c r="QPS3" s="70"/>
      <c r="QPT3" s="70"/>
      <c r="QPU3" s="70"/>
      <c r="QPV3" s="70"/>
      <c r="QPW3" s="70"/>
      <c r="QPX3" s="70"/>
      <c r="QPY3" s="70"/>
      <c r="QPZ3" s="70"/>
      <c r="QQA3" s="70"/>
      <c r="QQB3" s="70"/>
      <c r="QQC3" s="70"/>
      <c r="QQD3" s="70"/>
      <c r="QQE3" s="70"/>
      <c r="QQF3" s="70"/>
      <c r="QQG3" s="70"/>
      <c r="QQH3" s="70"/>
      <c r="QQI3" s="70"/>
      <c r="QQJ3" s="70"/>
      <c r="QQK3" s="70"/>
      <c r="QQL3" s="70"/>
      <c r="QQM3" s="70"/>
      <c r="QQN3" s="70"/>
      <c r="QQO3" s="70"/>
      <c r="QQP3" s="70"/>
      <c r="QQQ3" s="70"/>
      <c r="QQR3" s="70"/>
      <c r="QQS3" s="70"/>
      <c r="QQT3" s="70"/>
      <c r="QQU3" s="70"/>
      <c r="QQV3" s="70"/>
      <c r="QQW3" s="70"/>
      <c r="QQX3" s="70"/>
      <c r="QQY3" s="70"/>
      <c r="QQZ3" s="70"/>
      <c r="QRA3" s="70"/>
      <c r="QRB3" s="70"/>
      <c r="QRC3" s="70"/>
      <c r="QRD3" s="70"/>
      <c r="QRE3" s="70"/>
      <c r="QRF3" s="70"/>
      <c r="QRG3" s="70"/>
      <c r="QRH3" s="70"/>
      <c r="QRI3" s="70"/>
      <c r="QRJ3" s="70"/>
      <c r="QRK3" s="70"/>
      <c r="QRL3" s="70"/>
      <c r="QRM3" s="70"/>
      <c r="QRN3" s="70"/>
      <c r="QRO3" s="70"/>
      <c r="QRP3" s="70"/>
      <c r="QRQ3" s="70"/>
      <c r="QRR3" s="70"/>
      <c r="QRS3" s="70"/>
      <c r="QRT3" s="70"/>
      <c r="QRU3" s="70"/>
      <c r="QRV3" s="70"/>
      <c r="QRW3" s="70"/>
      <c r="QRX3" s="70"/>
      <c r="QRY3" s="70"/>
      <c r="QRZ3" s="70"/>
      <c r="QSA3" s="70"/>
      <c r="QSB3" s="70"/>
      <c r="QSC3" s="70"/>
      <c r="QSD3" s="70"/>
      <c r="QSE3" s="70"/>
      <c r="QSF3" s="70"/>
      <c r="QSG3" s="70"/>
      <c r="QSH3" s="70"/>
      <c r="QSI3" s="70"/>
      <c r="QSJ3" s="70"/>
      <c r="QSK3" s="70"/>
      <c r="QSL3" s="70"/>
      <c r="QSM3" s="70"/>
      <c r="QSN3" s="70"/>
      <c r="QSO3" s="70"/>
      <c r="QSP3" s="70"/>
      <c r="QSQ3" s="70"/>
      <c r="QSR3" s="70"/>
      <c r="QSS3" s="70"/>
      <c r="QST3" s="70"/>
      <c r="QSU3" s="70"/>
      <c r="QSV3" s="70"/>
      <c r="QSW3" s="70"/>
      <c r="QSX3" s="70"/>
      <c r="QSY3" s="70"/>
      <c r="QSZ3" s="70"/>
      <c r="QTA3" s="70"/>
      <c r="QTB3" s="70"/>
      <c r="QTC3" s="70"/>
      <c r="QTD3" s="70"/>
      <c r="QTE3" s="70"/>
      <c r="QTF3" s="70"/>
      <c r="QTG3" s="70"/>
      <c r="QTH3" s="70"/>
      <c r="QTI3" s="70"/>
      <c r="QTJ3" s="70"/>
      <c r="QTK3" s="70"/>
      <c r="QTL3" s="70"/>
      <c r="QTM3" s="70"/>
      <c r="QTN3" s="70"/>
      <c r="QTO3" s="70"/>
      <c r="QTP3" s="70"/>
      <c r="QTQ3" s="70"/>
      <c r="QTR3" s="70"/>
      <c r="QTS3" s="70"/>
      <c r="QTT3" s="70"/>
      <c r="QTU3" s="70"/>
      <c r="QTV3" s="70"/>
      <c r="QTW3" s="70"/>
      <c r="QTX3" s="70"/>
      <c r="QTY3" s="70"/>
      <c r="QTZ3" s="70"/>
      <c r="QUA3" s="70"/>
      <c r="QUB3" s="70"/>
      <c r="QUC3" s="70"/>
      <c r="QUD3" s="70"/>
      <c r="QUE3" s="70"/>
      <c r="QUF3" s="70"/>
      <c r="QUG3" s="70"/>
      <c r="QUH3" s="70"/>
      <c r="QUI3" s="70"/>
      <c r="QUJ3" s="70"/>
      <c r="QUK3" s="70"/>
      <c r="QUL3" s="70"/>
      <c r="QUM3" s="70"/>
      <c r="QUN3" s="70"/>
      <c r="QUO3" s="70"/>
      <c r="QUP3" s="70"/>
      <c r="QUQ3" s="70"/>
      <c r="QUR3" s="70"/>
      <c r="QUS3" s="70"/>
      <c r="QUT3" s="70"/>
      <c r="QUU3" s="70"/>
      <c r="QUV3" s="70"/>
      <c r="QUW3" s="70"/>
      <c r="QUX3" s="70"/>
      <c r="QUY3" s="70"/>
      <c r="QUZ3" s="70"/>
      <c r="QVA3" s="70"/>
      <c r="QVB3" s="70"/>
      <c r="QVC3" s="70"/>
      <c r="QVD3" s="70"/>
      <c r="QVE3" s="70"/>
      <c r="QVF3" s="70"/>
      <c r="QVG3" s="70"/>
      <c r="QVH3" s="70"/>
      <c r="QVI3" s="70"/>
      <c r="QVJ3" s="70"/>
      <c r="QVK3" s="70"/>
      <c r="QVL3" s="70"/>
      <c r="QVM3" s="70"/>
      <c r="QVN3" s="70"/>
      <c r="QVO3" s="70"/>
      <c r="QVP3" s="70"/>
      <c r="QVQ3" s="70"/>
      <c r="QVR3" s="70"/>
      <c r="QVS3" s="70"/>
      <c r="QVT3" s="70"/>
      <c r="QVU3" s="70"/>
      <c r="QVV3" s="70"/>
      <c r="QVW3" s="70"/>
      <c r="QVX3" s="70"/>
      <c r="QVY3" s="70"/>
      <c r="QVZ3" s="70"/>
      <c r="QWA3" s="70"/>
      <c r="QWB3" s="70"/>
      <c r="QWC3" s="70"/>
      <c r="QWD3" s="70"/>
      <c r="QWE3" s="70"/>
      <c r="QWF3" s="70"/>
      <c r="QWG3" s="70"/>
      <c r="QWH3" s="70"/>
      <c r="QWI3" s="70"/>
      <c r="QWJ3" s="70"/>
      <c r="QWK3" s="70"/>
      <c r="QWL3" s="70"/>
      <c r="QWM3" s="70"/>
      <c r="QWN3" s="70"/>
      <c r="QWO3" s="70"/>
      <c r="QWP3" s="70"/>
      <c r="QWQ3" s="70"/>
      <c r="QWR3" s="70"/>
      <c r="QWS3" s="70"/>
      <c r="QWT3" s="70"/>
      <c r="QWU3" s="70"/>
      <c r="QWV3" s="70"/>
      <c r="QWW3" s="70"/>
      <c r="QWX3" s="70"/>
      <c r="QWY3" s="70"/>
      <c r="QWZ3" s="70"/>
      <c r="QXA3" s="70"/>
      <c r="QXB3" s="70"/>
      <c r="QXC3" s="70"/>
      <c r="QXD3" s="70"/>
      <c r="QXE3" s="70"/>
      <c r="QXF3" s="70"/>
      <c r="QXG3" s="70"/>
      <c r="QXH3" s="70"/>
      <c r="QXI3" s="70"/>
      <c r="QXJ3" s="70"/>
      <c r="QXK3" s="70"/>
      <c r="QXL3" s="70"/>
      <c r="QXM3" s="70"/>
      <c r="QXN3" s="70"/>
      <c r="QXO3" s="70"/>
      <c r="QXP3" s="70"/>
      <c r="QXQ3" s="70"/>
      <c r="QXR3" s="70"/>
      <c r="QXS3" s="70"/>
      <c r="QXT3" s="70"/>
      <c r="QXU3" s="70"/>
      <c r="QXV3" s="70"/>
      <c r="QXW3" s="70"/>
      <c r="QXX3" s="70"/>
      <c r="QXY3" s="70"/>
      <c r="QXZ3" s="70"/>
      <c r="QYA3" s="70"/>
      <c r="QYB3" s="70"/>
      <c r="QYC3" s="70"/>
      <c r="QYD3" s="70"/>
      <c r="QYE3" s="70"/>
      <c r="QYF3" s="70"/>
      <c r="QYG3" s="70"/>
      <c r="QYH3" s="70"/>
      <c r="QYI3" s="70"/>
      <c r="QYJ3" s="70"/>
      <c r="QYK3" s="70"/>
      <c r="QYL3" s="70"/>
      <c r="QYM3" s="70"/>
      <c r="QYN3" s="70"/>
      <c r="QYO3" s="70"/>
      <c r="QYP3" s="70"/>
      <c r="QYQ3" s="70"/>
      <c r="QYR3" s="70"/>
      <c r="QYS3" s="70"/>
      <c r="QYT3" s="70"/>
      <c r="QYU3" s="70"/>
      <c r="QYV3" s="70"/>
      <c r="QYW3" s="70"/>
      <c r="QYX3" s="70"/>
      <c r="QYY3" s="70"/>
      <c r="QYZ3" s="70"/>
      <c r="QZA3" s="70"/>
      <c r="QZB3" s="70"/>
      <c r="QZC3" s="70"/>
      <c r="QZD3" s="70"/>
      <c r="QZE3" s="70"/>
      <c r="QZF3" s="70"/>
      <c r="QZG3" s="70"/>
      <c r="QZH3" s="70"/>
      <c r="QZI3" s="70"/>
      <c r="QZJ3" s="70"/>
      <c r="QZK3" s="70"/>
      <c r="QZL3" s="70"/>
      <c r="QZM3" s="70"/>
      <c r="QZN3" s="70"/>
      <c r="QZO3" s="70"/>
      <c r="QZP3" s="70"/>
      <c r="QZQ3" s="70"/>
      <c r="QZR3" s="70"/>
      <c r="QZS3" s="70"/>
      <c r="QZT3" s="70"/>
      <c r="QZU3" s="70"/>
      <c r="QZV3" s="70"/>
      <c r="QZW3" s="70"/>
      <c r="QZX3" s="70"/>
      <c r="QZY3" s="70"/>
      <c r="QZZ3" s="70"/>
      <c r="RAA3" s="70"/>
      <c r="RAB3" s="70"/>
      <c r="RAC3" s="70"/>
      <c r="RAD3" s="70"/>
      <c r="RAE3" s="70"/>
      <c r="RAF3" s="70"/>
      <c r="RAG3" s="70"/>
      <c r="RAH3" s="70"/>
      <c r="RAI3" s="70"/>
      <c r="RAJ3" s="70"/>
      <c r="RAK3" s="70"/>
      <c r="RAL3" s="70"/>
      <c r="RAM3" s="70"/>
      <c r="RAN3" s="70"/>
      <c r="RAO3" s="70"/>
      <c r="RAP3" s="70"/>
      <c r="RAQ3" s="70"/>
      <c r="RAR3" s="70"/>
      <c r="RAS3" s="70"/>
      <c r="RAT3" s="70"/>
      <c r="RAU3" s="70"/>
      <c r="RAV3" s="70"/>
      <c r="RAW3" s="70"/>
      <c r="RAX3" s="70"/>
      <c r="RAY3" s="70"/>
      <c r="RAZ3" s="70"/>
      <c r="RBA3" s="70"/>
      <c r="RBB3" s="70"/>
      <c r="RBC3" s="70"/>
      <c r="RBD3" s="70"/>
      <c r="RBE3" s="70"/>
      <c r="RBF3" s="70"/>
      <c r="RBG3" s="70"/>
      <c r="RBH3" s="70"/>
      <c r="RBI3" s="70"/>
      <c r="RBJ3" s="70"/>
      <c r="RBK3" s="70"/>
      <c r="RBL3" s="70"/>
      <c r="RBM3" s="70"/>
      <c r="RBN3" s="70"/>
      <c r="RBO3" s="70"/>
      <c r="RBP3" s="70"/>
      <c r="RBQ3" s="70"/>
      <c r="RBR3" s="70"/>
      <c r="RBS3" s="70"/>
      <c r="RBT3" s="70"/>
      <c r="RBU3" s="70"/>
      <c r="RBV3" s="70"/>
      <c r="RBW3" s="70"/>
      <c r="RBX3" s="70"/>
      <c r="RBY3" s="70"/>
      <c r="RBZ3" s="70"/>
      <c r="RCA3" s="70"/>
      <c r="RCB3" s="70"/>
      <c r="RCC3" s="70"/>
      <c r="RCD3" s="70"/>
      <c r="RCE3" s="70"/>
      <c r="RCF3" s="70"/>
      <c r="RCG3" s="70"/>
      <c r="RCH3" s="70"/>
      <c r="RCI3" s="70"/>
      <c r="RCJ3" s="70"/>
      <c r="RCK3" s="70"/>
      <c r="RCL3" s="70"/>
      <c r="RCM3" s="70"/>
      <c r="RCN3" s="70"/>
      <c r="RCO3" s="70"/>
      <c r="RCP3" s="70"/>
      <c r="RCQ3" s="70"/>
      <c r="RCR3" s="70"/>
      <c r="RCS3" s="70"/>
      <c r="RCT3" s="70"/>
      <c r="RCU3" s="70"/>
      <c r="RCV3" s="70"/>
      <c r="RCW3" s="70"/>
      <c r="RCX3" s="70"/>
      <c r="RCY3" s="70"/>
      <c r="RCZ3" s="70"/>
      <c r="RDA3" s="70"/>
      <c r="RDB3" s="70"/>
      <c r="RDC3" s="70"/>
      <c r="RDD3" s="70"/>
      <c r="RDE3" s="70"/>
      <c r="RDF3" s="70"/>
      <c r="RDG3" s="70"/>
      <c r="RDH3" s="70"/>
      <c r="RDI3" s="70"/>
      <c r="RDJ3" s="70"/>
      <c r="RDK3" s="70"/>
      <c r="RDL3" s="70"/>
      <c r="RDM3" s="70"/>
      <c r="RDN3" s="70"/>
      <c r="RDO3" s="70"/>
      <c r="RDP3" s="70"/>
      <c r="RDQ3" s="70"/>
      <c r="RDR3" s="70"/>
      <c r="RDS3" s="70"/>
      <c r="RDT3" s="70"/>
      <c r="RDU3" s="70"/>
      <c r="RDV3" s="70"/>
      <c r="RDW3" s="70"/>
      <c r="RDX3" s="70"/>
      <c r="RDY3" s="70"/>
      <c r="RDZ3" s="70"/>
      <c r="REA3" s="70"/>
      <c r="REB3" s="70"/>
      <c r="REC3" s="70"/>
      <c r="RED3" s="70"/>
      <c r="REE3" s="70"/>
      <c r="REF3" s="70"/>
      <c r="REG3" s="70"/>
      <c r="REH3" s="70"/>
      <c r="REI3" s="70"/>
      <c r="REJ3" s="70"/>
      <c r="REK3" s="70"/>
      <c r="REL3" s="70"/>
      <c r="REM3" s="70"/>
      <c r="REN3" s="70"/>
      <c r="REO3" s="70"/>
      <c r="REP3" s="70"/>
      <c r="REQ3" s="70"/>
      <c r="RER3" s="70"/>
      <c r="RES3" s="70"/>
      <c r="RET3" s="70"/>
      <c r="REU3" s="70"/>
      <c r="REV3" s="70"/>
      <c r="REW3" s="70"/>
      <c r="REX3" s="70"/>
      <c r="REY3" s="70"/>
      <c r="REZ3" s="70"/>
      <c r="RFA3" s="70"/>
      <c r="RFB3" s="70"/>
      <c r="RFC3" s="70"/>
      <c r="RFD3" s="70"/>
      <c r="RFE3" s="70"/>
      <c r="RFF3" s="70"/>
      <c r="RFG3" s="70"/>
      <c r="RFH3" s="70"/>
      <c r="RFI3" s="70"/>
      <c r="RFJ3" s="70"/>
      <c r="RFK3" s="70"/>
      <c r="RFL3" s="70"/>
      <c r="RFM3" s="70"/>
      <c r="RFN3" s="70"/>
      <c r="RFO3" s="70"/>
      <c r="RFP3" s="70"/>
      <c r="RFQ3" s="70"/>
      <c r="RFR3" s="70"/>
      <c r="RFS3" s="70"/>
      <c r="RFT3" s="70"/>
      <c r="RFU3" s="70"/>
      <c r="RFV3" s="70"/>
      <c r="RFW3" s="70"/>
      <c r="RFX3" s="70"/>
      <c r="RFY3" s="70"/>
      <c r="RFZ3" s="70"/>
      <c r="RGA3" s="70"/>
      <c r="RGB3" s="70"/>
      <c r="RGC3" s="70"/>
      <c r="RGD3" s="70"/>
      <c r="RGE3" s="70"/>
      <c r="RGF3" s="70"/>
      <c r="RGG3" s="70"/>
      <c r="RGH3" s="70"/>
      <c r="RGI3" s="70"/>
      <c r="RGJ3" s="70"/>
      <c r="RGK3" s="70"/>
      <c r="RGL3" s="70"/>
      <c r="RGM3" s="70"/>
      <c r="RGN3" s="70"/>
      <c r="RGO3" s="70"/>
      <c r="RGP3" s="70"/>
      <c r="RGQ3" s="70"/>
      <c r="RGR3" s="70"/>
      <c r="RGS3" s="70"/>
      <c r="RGT3" s="70"/>
      <c r="RGU3" s="70"/>
      <c r="RGV3" s="70"/>
      <c r="RGW3" s="70"/>
      <c r="RGX3" s="70"/>
      <c r="RGY3" s="70"/>
      <c r="RGZ3" s="70"/>
      <c r="RHA3" s="70"/>
      <c r="RHB3" s="70"/>
      <c r="RHC3" s="70"/>
      <c r="RHD3" s="70"/>
      <c r="RHE3" s="70"/>
      <c r="RHF3" s="70"/>
      <c r="RHG3" s="70"/>
      <c r="RHH3" s="70"/>
      <c r="RHI3" s="70"/>
      <c r="RHJ3" s="70"/>
      <c r="RHK3" s="70"/>
      <c r="RHL3" s="70"/>
      <c r="RHM3" s="70"/>
      <c r="RHN3" s="70"/>
      <c r="RHO3" s="70"/>
      <c r="RHP3" s="70"/>
      <c r="RHQ3" s="70"/>
      <c r="RHR3" s="70"/>
      <c r="RHS3" s="70"/>
      <c r="RHT3" s="70"/>
      <c r="RHU3" s="70"/>
      <c r="RHV3" s="70"/>
      <c r="RHW3" s="70"/>
      <c r="RHX3" s="70"/>
      <c r="RHY3" s="70"/>
      <c r="RHZ3" s="70"/>
      <c r="RIA3" s="70"/>
      <c r="RIB3" s="70"/>
      <c r="RIC3" s="70"/>
      <c r="RID3" s="70"/>
      <c r="RIE3" s="70"/>
      <c r="RIF3" s="70"/>
      <c r="RIG3" s="70"/>
      <c r="RIH3" s="70"/>
      <c r="RII3" s="70"/>
      <c r="RIJ3" s="70"/>
      <c r="RIK3" s="70"/>
      <c r="RIL3" s="70"/>
      <c r="RIM3" s="70"/>
      <c r="RIN3" s="70"/>
      <c r="RIO3" s="70"/>
      <c r="RIP3" s="70"/>
      <c r="RIQ3" s="70"/>
      <c r="RIR3" s="70"/>
      <c r="RIS3" s="70"/>
      <c r="RIT3" s="70"/>
      <c r="RIU3" s="70"/>
      <c r="RIV3" s="70"/>
      <c r="RIW3" s="70"/>
      <c r="RIX3" s="70"/>
      <c r="RIY3" s="70"/>
      <c r="RIZ3" s="70"/>
      <c r="RJA3" s="70"/>
      <c r="RJB3" s="70"/>
      <c r="RJC3" s="70"/>
      <c r="RJD3" s="70"/>
      <c r="RJE3" s="70"/>
      <c r="RJF3" s="70"/>
      <c r="RJG3" s="70"/>
      <c r="RJH3" s="70"/>
      <c r="RJI3" s="70"/>
      <c r="RJJ3" s="70"/>
      <c r="RJK3" s="70"/>
      <c r="RJL3" s="70"/>
      <c r="RJM3" s="70"/>
      <c r="RJN3" s="70"/>
      <c r="RJO3" s="70"/>
      <c r="RJP3" s="70"/>
      <c r="RJQ3" s="70"/>
      <c r="RJR3" s="70"/>
      <c r="RJS3" s="70"/>
      <c r="RJT3" s="70"/>
      <c r="RJU3" s="70"/>
      <c r="RJV3" s="70"/>
      <c r="RJW3" s="70"/>
      <c r="RJX3" s="70"/>
      <c r="RJY3" s="70"/>
      <c r="RJZ3" s="70"/>
      <c r="RKA3" s="70"/>
      <c r="RKB3" s="70"/>
      <c r="RKC3" s="70"/>
      <c r="RKD3" s="70"/>
      <c r="RKE3" s="70"/>
      <c r="RKF3" s="70"/>
      <c r="RKG3" s="70"/>
      <c r="RKH3" s="70"/>
      <c r="RKI3" s="70"/>
      <c r="RKJ3" s="70"/>
      <c r="RKK3" s="70"/>
      <c r="RKL3" s="70"/>
      <c r="RKM3" s="70"/>
      <c r="RKN3" s="70"/>
      <c r="RKO3" s="70"/>
      <c r="RKP3" s="70"/>
      <c r="RKQ3" s="70"/>
      <c r="RKR3" s="70"/>
      <c r="RKS3" s="70"/>
      <c r="RKT3" s="70"/>
      <c r="RKU3" s="70"/>
      <c r="RKV3" s="70"/>
      <c r="RKW3" s="70"/>
      <c r="RKX3" s="70"/>
      <c r="RKY3" s="70"/>
      <c r="RKZ3" s="70"/>
      <c r="RLA3" s="70"/>
      <c r="RLB3" s="70"/>
      <c r="RLC3" s="70"/>
      <c r="RLD3" s="70"/>
      <c r="RLE3" s="70"/>
      <c r="RLF3" s="70"/>
      <c r="RLG3" s="70"/>
      <c r="RLH3" s="70"/>
      <c r="RLI3" s="70"/>
      <c r="RLJ3" s="70"/>
      <c r="RLK3" s="70"/>
      <c r="RLL3" s="70"/>
      <c r="RLM3" s="70"/>
      <c r="RLN3" s="70"/>
      <c r="RLO3" s="70"/>
      <c r="RLP3" s="70"/>
      <c r="RLQ3" s="70"/>
      <c r="RLR3" s="70"/>
      <c r="RLS3" s="70"/>
      <c r="RLT3" s="70"/>
      <c r="RLU3" s="70"/>
      <c r="RLV3" s="70"/>
      <c r="RLW3" s="70"/>
      <c r="RLX3" s="70"/>
      <c r="RLY3" s="70"/>
      <c r="RLZ3" s="70"/>
      <c r="RMA3" s="70"/>
      <c r="RMB3" s="70"/>
      <c r="RMC3" s="70"/>
      <c r="RMD3" s="70"/>
      <c r="RME3" s="70"/>
      <c r="RMF3" s="70"/>
      <c r="RMG3" s="70"/>
      <c r="RMH3" s="70"/>
      <c r="RMI3" s="70"/>
      <c r="RMJ3" s="70"/>
      <c r="RMK3" s="70"/>
      <c r="RML3" s="70"/>
      <c r="RMM3" s="70"/>
      <c r="RMN3" s="70"/>
      <c r="RMO3" s="70"/>
      <c r="RMP3" s="70"/>
      <c r="RMQ3" s="70"/>
      <c r="RMR3" s="70"/>
      <c r="RMS3" s="70"/>
      <c r="RMT3" s="70"/>
      <c r="RMU3" s="70"/>
      <c r="RMV3" s="70"/>
      <c r="RMW3" s="70"/>
      <c r="RMX3" s="70"/>
      <c r="RMY3" s="70"/>
      <c r="RMZ3" s="70"/>
      <c r="RNA3" s="70"/>
      <c r="RNB3" s="70"/>
      <c r="RNC3" s="70"/>
      <c r="RND3" s="70"/>
      <c r="RNE3" s="70"/>
      <c r="RNF3" s="70"/>
      <c r="RNG3" s="70"/>
      <c r="RNH3" s="70"/>
      <c r="RNI3" s="70"/>
      <c r="RNJ3" s="70"/>
      <c r="RNK3" s="70"/>
      <c r="RNL3" s="70"/>
      <c r="RNM3" s="70"/>
      <c r="RNN3" s="70"/>
      <c r="RNO3" s="70"/>
      <c r="RNP3" s="70"/>
      <c r="RNQ3" s="70"/>
      <c r="RNR3" s="70"/>
      <c r="RNS3" s="70"/>
      <c r="RNT3" s="70"/>
      <c r="RNU3" s="70"/>
      <c r="RNV3" s="70"/>
      <c r="RNW3" s="70"/>
      <c r="RNX3" s="70"/>
      <c r="RNY3" s="70"/>
      <c r="RNZ3" s="70"/>
      <c r="ROA3" s="70"/>
      <c r="ROB3" s="70"/>
      <c r="ROC3" s="70"/>
      <c r="ROD3" s="70"/>
      <c r="ROE3" s="70"/>
      <c r="ROF3" s="70"/>
      <c r="ROG3" s="70"/>
      <c r="ROH3" s="70"/>
      <c r="ROI3" s="70"/>
      <c r="ROJ3" s="70"/>
      <c r="ROK3" s="70"/>
      <c r="ROL3" s="70"/>
      <c r="ROM3" s="70"/>
      <c r="RON3" s="70"/>
      <c r="ROO3" s="70"/>
      <c r="ROP3" s="70"/>
      <c r="ROQ3" s="70"/>
      <c r="ROR3" s="70"/>
      <c r="ROS3" s="70"/>
      <c r="ROT3" s="70"/>
      <c r="ROU3" s="70"/>
      <c r="ROV3" s="70"/>
      <c r="ROW3" s="70"/>
      <c r="ROX3" s="70"/>
      <c r="ROY3" s="70"/>
      <c r="ROZ3" s="70"/>
      <c r="RPA3" s="70"/>
      <c r="RPB3" s="70"/>
      <c r="RPC3" s="70"/>
      <c r="RPD3" s="70"/>
      <c r="RPE3" s="70"/>
      <c r="RPF3" s="70"/>
      <c r="RPG3" s="70"/>
      <c r="RPH3" s="70"/>
      <c r="RPI3" s="70"/>
      <c r="RPJ3" s="70"/>
      <c r="RPK3" s="70"/>
      <c r="RPL3" s="70"/>
      <c r="RPM3" s="70"/>
      <c r="RPN3" s="70"/>
      <c r="RPO3" s="70"/>
      <c r="RPP3" s="70"/>
      <c r="RPQ3" s="70"/>
      <c r="RPR3" s="70"/>
      <c r="RPS3" s="70"/>
      <c r="RPT3" s="70"/>
      <c r="RPU3" s="70"/>
      <c r="RPV3" s="70"/>
      <c r="RPW3" s="70"/>
      <c r="RPX3" s="70"/>
      <c r="RPY3" s="70"/>
      <c r="RPZ3" s="70"/>
      <c r="RQA3" s="70"/>
      <c r="RQB3" s="70"/>
      <c r="RQC3" s="70"/>
      <c r="RQD3" s="70"/>
      <c r="RQE3" s="70"/>
      <c r="RQF3" s="70"/>
      <c r="RQG3" s="70"/>
      <c r="RQH3" s="70"/>
      <c r="RQI3" s="70"/>
      <c r="RQJ3" s="70"/>
      <c r="RQK3" s="70"/>
      <c r="RQL3" s="70"/>
      <c r="RQM3" s="70"/>
      <c r="RQN3" s="70"/>
      <c r="RQO3" s="70"/>
      <c r="RQP3" s="70"/>
      <c r="RQQ3" s="70"/>
      <c r="RQR3" s="70"/>
      <c r="RQS3" s="70"/>
      <c r="RQT3" s="70"/>
      <c r="RQU3" s="70"/>
      <c r="RQV3" s="70"/>
      <c r="RQW3" s="70"/>
      <c r="RQX3" s="70"/>
      <c r="RQY3" s="70"/>
      <c r="RQZ3" s="70"/>
      <c r="RRA3" s="70"/>
      <c r="RRB3" s="70"/>
      <c r="RRC3" s="70"/>
      <c r="RRD3" s="70"/>
      <c r="RRE3" s="70"/>
      <c r="RRF3" s="70"/>
      <c r="RRG3" s="70"/>
      <c r="RRH3" s="70"/>
      <c r="RRI3" s="70"/>
      <c r="RRJ3" s="70"/>
      <c r="RRK3" s="70"/>
      <c r="RRL3" s="70"/>
      <c r="RRM3" s="70"/>
      <c r="RRN3" s="70"/>
      <c r="RRO3" s="70"/>
      <c r="RRP3" s="70"/>
      <c r="RRQ3" s="70"/>
      <c r="RRR3" s="70"/>
      <c r="RRS3" s="70"/>
      <c r="RRT3" s="70"/>
      <c r="RRU3" s="70"/>
      <c r="RRV3" s="70"/>
      <c r="RRW3" s="70"/>
      <c r="RRX3" s="70"/>
      <c r="RRY3" s="70"/>
      <c r="RRZ3" s="70"/>
      <c r="RSA3" s="70"/>
      <c r="RSB3" s="70"/>
      <c r="RSC3" s="70"/>
      <c r="RSD3" s="70"/>
      <c r="RSE3" s="70"/>
      <c r="RSF3" s="70"/>
      <c r="RSG3" s="70"/>
      <c r="RSH3" s="70"/>
      <c r="RSI3" s="70"/>
      <c r="RSJ3" s="70"/>
      <c r="RSK3" s="70"/>
      <c r="RSL3" s="70"/>
      <c r="RSM3" s="70"/>
      <c r="RSN3" s="70"/>
      <c r="RSO3" s="70"/>
      <c r="RSP3" s="70"/>
      <c r="RSQ3" s="70"/>
      <c r="RSR3" s="70"/>
      <c r="RSS3" s="70"/>
      <c r="RST3" s="70"/>
      <c r="RSU3" s="70"/>
      <c r="RSV3" s="70"/>
      <c r="RSW3" s="70"/>
      <c r="RSX3" s="70"/>
      <c r="RSY3" s="70"/>
      <c r="RSZ3" s="70"/>
      <c r="RTA3" s="70"/>
      <c r="RTB3" s="70"/>
      <c r="RTC3" s="70"/>
      <c r="RTD3" s="70"/>
      <c r="RTE3" s="70"/>
      <c r="RTF3" s="70"/>
      <c r="RTG3" s="70"/>
      <c r="RTH3" s="70"/>
      <c r="RTI3" s="70"/>
      <c r="RTJ3" s="70"/>
      <c r="RTK3" s="70"/>
      <c r="RTL3" s="70"/>
      <c r="RTM3" s="70"/>
      <c r="RTN3" s="70"/>
      <c r="RTO3" s="70"/>
      <c r="RTP3" s="70"/>
      <c r="RTQ3" s="70"/>
      <c r="RTR3" s="70"/>
      <c r="RTS3" s="70"/>
      <c r="RTT3" s="70"/>
      <c r="RTU3" s="70"/>
      <c r="RTV3" s="70"/>
      <c r="RTW3" s="70"/>
      <c r="RTX3" s="70"/>
      <c r="RTY3" s="70"/>
      <c r="RTZ3" s="70"/>
      <c r="RUA3" s="70"/>
      <c r="RUB3" s="70"/>
      <c r="RUC3" s="70"/>
      <c r="RUD3" s="70"/>
      <c r="RUE3" s="70"/>
      <c r="RUF3" s="70"/>
      <c r="RUG3" s="70"/>
      <c r="RUH3" s="70"/>
      <c r="RUI3" s="70"/>
      <c r="RUJ3" s="70"/>
      <c r="RUK3" s="70"/>
      <c r="RUL3" s="70"/>
      <c r="RUM3" s="70"/>
      <c r="RUN3" s="70"/>
      <c r="RUO3" s="70"/>
      <c r="RUP3" s="70"/>
      <c r="RUQ3" s="70"/>
      <c r="RUR3" s="70"/>
      <c r="RUS3" s="70"/>
      <c r="RUT3" s="70"/>
      <c r="RUU3" s="70"/>
      <c r="RUV3" s="70"/>
      <c r="RUW3" s="70"/>
      <c r="RUX3" s="70"/>
      <c r="RUY3" s="70"/>
      <c r="RUZ3" s="70"/>
      <c r="RVA3" s="70"/>
      <c r="RVB3" s="70"/>
      <c r="RVC3" s="70"/>
      <c r="RVD3" s="70"/>
      <c r="RVE3" s="70"/>
      <c r="RVF3" s="70"/>
      <c r="RVG3" s="70"/>
      <c r="RVH3" s="70"/>
      <c r="RVI3" s="70"/>
      <c r="RVJ3" s="70"/>
      <c r="RVK3" s="70"/>
      <c r="RVL3" s="70"/>
      <c r="RVM3" s="70"/>
      <c r="RVN3" s="70"/>
      <c r="RVO3" s="70"/>
      <c r="RVP3" s="70"/>
      <c r="RVQ3" s="70"/>
      <c r="RVR3" s="70"/>
      <c r="RVS3" s="70"/>
      <c r="RVT3" s="70"/>
      <c r="RVU3" s="70"/>
      <c r="RVV3" s="70"/>
      <c r="RVW3" s="70"/>
      <c r="RVX3" s="70"/>
      <c r="RVY3" s="70"/>
      <c r="RVZ3" s="70"/>
      <c r="RWA3" s="70"/>
      <c r="RWB3" s="70"/>
      <c r="RWC3" s="70"/>
      <c r="RWD3" s="70"/>
      <c r="RWE3" s="70"/>
      <c r="RWF3" s="70"/>
      <c r="RWG3" s="70"/>
      <c r="RWH3" s="70"/>
      <c r="RWI3" s="70"/>
      <c r="RWJ3" s="70"/>
      <c r="RWK3" s="70"/>
      <c r="RWL3" s="70"/>
      <c r="RWM3" s="70"/>
      <c r="RWN3" s="70"/>
      <c r="RWO3" s="70"/>
      <c r="RWP3" s="70"/>
      <c r="RWQ3" s="70"/>
      <c r="RWR3" s="70"/>
      <c r="RWS3" s="70"/>
      <c r="RWT3" s="70"/>
      <c r="RWU3" s="70"/>
      <c r="RWV3" s="70"/>
      <c r="RWW3" s="70"/>
      <c r="RWX3" s="70"/>
      <c r="RWY3" s="70"/>
      <c r="RWZ3" s="70"/>
      <c r="RXA3" s="70"/>
      <c r="RXB3" s="70"/>
      <c r="RXC3" s="70"/>
      <c r="RXD3" s="70"/>
      <c r="RXE3" s="70"/>
      <c r="RXF3" s="70"/>
      <c r="RXG3" s="70"/>
      <c r="RXH3" s="70"/>
      <c r="RXI3" s="70"/>
      <c r="RXJ3" s="70"/>
      <c r="RXK3" s="70"/>
      <c r="RXL3" s="70"/>
      <c r="RXM3" s="70"/>
      <c r="RXN3" s="70"/>
      <c r="RXO3" s="70"/>
      <c r="RXP3" s="70"/>
      <c r="RXQ3" s="70"/>
      <c r="RXR3" s="70"/>
      <c r="RXS3" s="70"/>
      <c r="RXT3" s="70"/>
      <c r="RXU3" s="70"/>
      <c r="RXV3" s="70"/>
      <c r="RXW3" s="70"/>
      <c r="RXX3" s="70"/>
      <c r="RXY3" s="70"/>
      <c r="RXZ3" s="70"/>
      <c r="RYA3" s="70"/>
      <c r="RYB3" s="70"/>
      <c r="RYC3" s="70"/>
      <c r="RYD3" s="70"/>
      <c r="RYE3" s="70"/>
      <c r="RYF3" s="70"/>
      <c r="RYG3" s="70"/>
      <c r="RYH3" s="70"/>
      <c r="RYI3" s="70"/>
      <c r="RYJ3" s="70"/>
      <c r="RYK3" s="70"/>
      <c r="RYL3" s="70"/>
      <c r="RYM3" s="70"/>
      <c r="RYN3" s="70"/>
      <c r="RYO3" s="70"/>
      <c r="RYP3" s="70"/>
      <c r="RYQ3" s="70"/>
      <c r="RYR3" s="70"/>
      <c r="RYS3" s="70"/>
      <c r="RYT3" s="70"/>
      <c r="RYU3" s="70"/>
      <c r="RYV3" s="70"/>
      <c r="RYW3" s="70"/>
      <c r="RYX3" s="70"/>
      <c r="RYY3" s="70"/>
      <c r="RYZ3" s="70"/>
      <c r="RZA3" s="70"/>
      <c r="RZB3" s="70"/>
      <c r="RZC3" s="70"/>
      <c r="RZD3" s="70"/>
      <c r="RZE3" s="70"/>
      <c r="RZF3" s="70"/>
      <c r="RZG3" s="70"/>
      <c r="RZH3" s="70"/>
      <c r="RZI3" s="70"/>
      <c r="RZJ3" s="70"/>
      <c r="RZK3" s="70"/>
      <c r="RZL3" s="70"/>
      <c r="RZM3" s="70"/>
      <c r="RZN3" s="70"/>
      <c r="RZO3" s="70"/>
      <c r="RZP3" s="70"/>
      <c r="RZQ3" s="70"/>
      <c r="RZR3" s="70"/>
      <c r="RZS3" s="70"/>
      <c r="RZT3" s="70"/>
      <c r="RZU3" s="70"/>
      <c r="RZV3" s="70"/>
      <c r="RZW3" s="70"/>
      <c r="RZX3" s="70"/>
      <c r="RZY3" s="70"/>
      <c r="RZZ3" s="70"/>
      <c r="SAA3" s="70"/>
      <c r="SAB3" s="70"/>
      <c r="SAC3" s="70"/>
      <c r="SAD3" s="70"/>
      <c r="SAE3" s="70"/>
      <c r="SAF3" s="70"/>
      <c r="SAG3" s="70"/>
      <c r="SAH3" s="70"/>
      <c r="SAI3" s="70"/>
      <c r="SAJ3" s="70"/>
      <c r="SAK3" s="70"/>
      <c r="SAL3" s="70"/>
      <c r="SAM3" s="70"/>
      <c r="SAN3" s="70"/>
      <c r="SAO3" s="70"/>
      <c r="SAP3" s="70"/>
      <c r="SAQ3" s="70"/>
      <c r="SAR3" s="70"/>
      <c r="SAS3" s="70"/>
      <c r="SAT3" s="70"/>
      <c r="SAU3" s="70"/>
      <c r="SAV3" s="70"/>
      <c r="SAW3" s="70"/>
      <c r="SAX3" s="70"/>
      <c r="SAY3" s="70"/>
      <c r="SAZ3" s="70"/>
      <c r="SBA3" s="70"/>
      <c r="SBB3" s="70"/>
      <c r="SBC3" s="70"/>
      <c r="SBD3" s="70"/>
      <c r="SBE3" s="70"/>
      <c r="SBF3" s="70"/>
      <c r="SBG3" s="70"/>
      <c r="SBH3" s="70"/>
      <c r="SBI3" s="70"/>
      <c r="SBJ3" s="70"/>
      <c r="SBK3" s="70"/>
      <c r="SBL3" s="70"/>
      <c r="SBM3" s="70"/>
      <c r="SBN3" s="70"/>
      <c r="SBO3" s="70"/>
      <c r="SBP3" s="70"/>
      <c r="SBQ3" s="70"/>
      <c r="SBR3" s="70"/>
      <c r="SBS3" s="70"/>
      <c r="SBT3" s="70"/>
      <c r="SBU3" s="70"/>
      <c r="SBV3" s="70"/>
      <c r="SBW3" s="70"/>
      <c r="SBX3" s="70"/>
      <c r="SBY3" s="70"/>
      <c r="SBZ3" s="70"/>
      <c r="SCA3" s="70"/>
      <c r="SCB3" s="70"/>
      <c r="SCC3" s="70"/>
      <c r="SCD3" s="70"/>
      <c r="SCE3" s="70"/>
      <c r="SCF3" s="70"/>
      <c r="SCG3" s="70"/>
      <c r="SCH3" s="70"/>
      <c r="SCI3" s="70"/>
      <c r="SCJ3" s="70"/>
      <c r="SCK3" s="70"/>
      <c r="SCL3" s="70"/>
      <c r="SCM3" s="70"/>
      <c r="SCN3" s="70"/>
      <c r="SCO3" s="70"/>
      <c r="SCP3" s="70"/>
      <c r="SCQ3" s="70"/>
      <c r="SCR3" s="70"/>
      <c r="SCS3" s="70"/>
      <c r="SCT3" s="70"/>
      <c r="SCU3" s="70"/>
      <c r="SCV3" s="70"/>
      <c r="SCW3" s="70"/>
      <c r="SCX3" s="70"/>
      <c r="SCY3" s="70"/>
      <c r="SCZ3" s="70"/>
      <c r="SDA3" s="70"/>
      <c r="SDB3" s="70"/>
      <c r="SDC3" s="70"/>
      <c r="SDD3" s="70"/>
      <c r="SDE3" s="70"/>
      <c r="SDF3" s="70"/>
      <c r="SDG3" s="70"/>
      <c r="SDH3" s="70"/>
      <c r="SDI3" s="70"/>
      <c r="SDJ3" s="70"/>
      <c r="SDK3" s="70"/>
      <c r="SDL3" s="70"/>
      <c r="SDM3" s="70"/>
      <c r="SDN3" s="70"/>
      <c r="SDO3" s="70"/>
      <c r="SDP3" s="70"/>
      <c r="SDQ3" s="70"/>
      <c r="SDR3" s="70"/>
      <c r="SDS3" s="70"/>
      <c r="SDT3" s="70"/>
      <c r="SDU3" s="70"/>
      <c r="SDV3" s="70"/>
      <c r="SDW3" s="70"/>
      <c r="SDX3" s="70"/>
      <c r="SDY3" s="70"/>
      <c r="SDZ3" s="70"/>
      <c r="SEA3" s="70"/>
      <c r="SEB3" s="70"/>
      <c r="SEC3" s="70"/>
      <c r="SED3" s="70"/>
      <c r="SEE3" s="70"/>
      <c r="SEF3" s="70"/>
      <c r="SEG3" s="70"/>
      <c r="SEH3" s="70"/>
      <c r="SEI3" s="70"/>
      <c r="SEJ3" s="70"/>
      <c r="SEK3" s="70"/>
      <c r="SEL3" s="70"/>
      <c r="SEM3" s="70"/>
      <c r="SEN3" s="70"/>
      <c r="SEO3" s="70"/>
      <c r="SEP3" s="70"/>
      <c r="SEQ3" s="70"/>
      <c r="SER3" s="70"/>
      <c r="SES3" s="70"/>
      <c r="SET3" s="70"/>
      <c r="SEU3" s="70"/>
      <c r="SEV3" s="70"/>
      <c r="SEW3" s="70"/>
      <c r="SEX3" s="70"/>
      <c r="SEY3" s="70"/>
      <c r="SEZ3" s="70"/>
      <c r="SFA3" s="70"/>
      <c r="SFB3" s="70"/>
      <c r="SFC3" s="70"/>
      <c r="SFD3" s="70"/>
      <c r="SFE3" s="70"/>
      <c r="SFF3" s="70"/>
      <c r="SFG3" s="70"/>
      <c r="SFH3" s="70"/>
      <c r="SFI3" s="70"/>
      <c r="SFJ3" s="70"/>
      <c r="SFK3" s="70"/>
      <c r="SFL3" s="70"/>
      <c r="SFM3" s="70"/>
      <c r="SFN3" s="70"/>
      <c r="SFO3" s="70"/>
      <c r="SFP3" s="70"/>
      <c r="SFQ3" s="70"/>
      <c r="SFR3" s="70"/>
      <c r="SFS3" s="70"/>
      <c r="SFT3" s="70"/>
      <c r="SFU3" s="70"/>
      <c r="SFV3" s="70"/>
      <c r="SFW3" s="70"/>
      <c r="SFX3" s="70"/>
      <c r="SFY3" s="70"/>
      <c r="SFZ3" s="70"/>
      <c r="SGA3" s="70"/>
      <c r="SGB3" s="70"/>
      <c r="SGC3" s="70"/>
      <c r="SGD3" s="70"/>
      <c r="SGE3" s="70"/>
      <c r="SGF3" s="70"/>
      <c r="SGG3" s="70"/>
      <c r="SGH3" s="70"/>
      <c r="SGI3" s="70"/>
      <c r="SGJ3" s="70"/>
      <c r="SGK3" s="70"/>
      <c r="SGL3" s="70"/>
      <c r="SGM3" s="70"/>
      <c r="SGN3" s="70"/>
      <c r="SGO3" s="70"/>
      <c r="SGP3" s="70"/>
      <c r="SGQ3" s="70"/>
      <c r="SGR3" s="70"/>
      <c r="SGS3" s="70"/>
      <c r="SGT3" s="70"/>
      <c r="SGU3" s="70"/>
      <c r="SGV3" s="70"/>
      <c r="SGW3" s="70"/>
      <c r="SGX3" s="70"/>
      <c r="SGY3" s="70"/>
      <c r="SGZ3" s="70"/>
      <c r="SHA3" s="70"/>
      <c r="SHB3" s="70"/>
      <c r="SHC3" s="70"/>
      <c r="SHD3" s="70"/>
      <c r="SHE3" s="70"/>
      <c r="SHF3" s="70"/>
      <c r="SHG3" s="70"/>
      <c r="SHH3" s="70"/>
      <c r="SHI3" s="70"/>
      <c r="SHJ3" s="70"/>
      <c r="SHK3" s="70"/>
      <c r="SHL3" s="70"/>
      <c r="SHM3" s="70"/>
      <c r="SHN3" s="70"/>
      <c r="SHO3" s="70"/>
      <c r="SHP3" s="70"/>
      <c r="SHQ3" s="70"/>
      <c r="SHR3" s="70"/>
      <c r="SHS3" s="70"/>
      <c r="SHT3" s="70"/>
      <c r="SHU3" s="70"/>
      <c r="SHV3" s="70"/>
      <c r="SHW3" s="70"/>
      <c r="SHX3" s="70"/>
      <c r="SHY3" s="70"/>
      <c r="SHZ3" s="70"/>
      <c r="SIA3" s="70"/>
      <c r="SIB3" s="70"/>
      <c r="SIC3" s="70"/>
      <c r="SID3" s="70"/>
      <c r="SIE3" s="70"/>
      <c r="SIF3" s="70"/>
      <c r="SIG3" s="70"/>
      <c r="SIH3" s="70"/>
      <c r="SII3" s="70"/>
      <c r="SIJ3" s="70"/>
      <c r="SIK3" s="70"/>
      <c r="SIL3" s="70"/>
      <c r="SIM3" s="70"/>
      <c r="SIN3" s="70"/>
      <c r="SIO3" s="70"/>
      <c r="SIP3" s="70"/>
      <c r="SIQ3" s="70"/>
      <c r="SIR3" s="70"/>
      <c r="SIS3" s="70"/>
      <c r="SIT3" s="70"/>
      <c r="SIU3" s="70"/>
      <c r="SIV3" s="70"/>
      <c r="SIW3" s="70"/>
      <c r="SIX3" s="70"/>
      <c r="SIY3" s="70"/>
      <c r="SIZ3" s="70"/>
      <c r="SJA3" s="70"/>
      <c r="SJB3" s="70"/>
      <c r="SJC3" s="70"/>
      <c r="SJD3" s="70"/>
      <c r="SJE3" s="70"/>
      <c r="SJF3" s="70"/>
      <c r="SJG3" s="70"/>
      <c r="SJH3" s="70"/>
      <c r="SJI3" s="70"/>
      <c r="SJJ3" s="70"/>
      <c r="SJK3" s="70"/>
      <c r="SJL3" s="70"/>
      <c r="SJM3" s="70"/>
      <c r="SJN3" s="70"/>
      <c r="SJO3" s="70"/>
      <c r="SJP3" s="70"/>
      <c r="SJQ3" s="70"/>
      <c r="SJR3" s="70"/>
      <c r="SJS3" s="70"/>
      <c r="SJT3" s="70"/>
      <c r="SJU3" s="70"/>
      <c r="SJV3" s="70"/>
      <c r="SJW3" s="70"/>
      <c r="SJX3" s="70"/>
      <c r="SJY3" s="70"/>
      <c r="SJZ3" s="70"/>
      <c r="SKA3" s="70"/>
      <c r="SKB3" s="70"/>
      <c r="SKC3" s="70"/>
      <c r="SKD3" s="70"/>
      <c r="SKE3" s="70"/>
      <c r="SKF3" s="70"/>
      <c r="SKG3" s="70"/>
      <c r="SKH3" s="70"/>
      <c r="SKI3" s="70"/>
      <c r="SKJ3" s="70"/>
      <c r="SKK3" s="70"/>
      <c r="SKL3" s="70"/>
      <c r="SKM3" s="70"/>
      <c r="SKN3" s="70"/>
      <c r="SKO3" s="70"/>
      <c r="SKP3" s="70"/>
      <c r="SKQ3" s="70"/>
      <c r="SKR3" s="70"/>
      <c r="SKS3" s="70"/>
      <c r="SKT3" s="70"/>
      <c r="SKU3" s="70"/>
      <c r="SKV3" s="70"/>
      <c r="SKW3" s="70"/>
      <c r="SKX3" s="70"/>
      <c r="SKY3" s="70"/>
      <c r="SKZ3" s="70"/>
      <c r="SLA3" s="70"/>
      <c r="SLB3" s="70"/>
      <c r="SLC3" s="70"/>
      <c r="SLD3" s="70"/>
      <c r="SLE3" s="70"/>
      <c r="SLF3" s="70"/>
      <c r="SLG3" s="70"/>
      <c r="SLH3" s="70"/>
      <c r="SLI3" s="70"/>
      <c r="SLJ3" s="70"/>
      <c r="SLK3" s="70"/>
      <c r="SLL3" s="70"/>
      <c r="SLM3" s="70"/>
      <c r="SLN3" s="70"/>
      <c r="SLO3" s="70"/>
      <c r="SLP3" s="70"/>
      <c r="SLQ3" s="70"/>
      <c r="SLR3" s="70"/>
      <c r="SLS3" s="70"/>
      <c r="SLT3" s="70"/>
      <c r="SLU3" s="70"/>
      <c r="SLV3" s="70"/>
      <c r="SLW3" s="70"/>
      <c r="SLX3" s="70"/>
      <c r="SLY3" s="70"/>
      <c r="SLZ3" s="70"/>
      <c r="SMA3" s="70"/>
      <c r="SMB3" s="70"/>
      <c r="SMC3" s="70"/>
      <c r="SMD3" s="70"/>
      <c r="SME3" s="70"/>
      <c r="SMF3" s="70"/>
      <c r="SMG3" s="70"/>
      <c r="SMH3" s="70"/>
      <c r="SMI3" s="70"/>
      <c r="SMJ3" s="70"/>
      <c r="SMK3" s="70"/>
      <c r="SML3" s="70"/>
      <c r="SMM3" s="70"/>
      <c r="SMN3" s="70"/>
      <c r="SMO3" s="70"/>
      <c r="SMP3" s="70"/>
      <c r="SMQ3" s="70"/>
      <c r="SMR3" s="70"/>
      <c r="SMS3" s="70"/>
      <c r="SMT3" s="70"/>
      <c r="SMU3" s="70"/>
      <c r="SMV3" s="70"/>
      <c r="SMW3" s="70"/>
      <c r="SMX3" s="70"/>
      <c r="SMY3" s="70"/>
      <c r="SMZ3" s="70"/>
      <c r="SNA3" s="70"/>
      <c r="SNB3" s="70"/>
      <c r="SNC3" s="70"/>
      <c r="SND3" s="70"/>
      <c r="SNE3" s="70"/>
      <c r="SNF3" s="70"/>
      <c r="SNG3" s="70"/>
      <c r="SNH3" s="70"/>
      <c r="SNI3" s="70"/>
      <c r="SNJ3" s="70"/>
      <c r="SNK3" s="70"/>
      <c r="SNL3" s="70"/>
      <c r="SNM3" s="70"/>
      <c r="SNN3" s="70"/>
      <c r="SNO3" s="70"/>
      <c r="SNP3" s="70"/>
      <c r="SNQ3" s="70"/>
      <c r="SNR3" s="70"/>
      <c r="SNS3" s="70"/>
      <c r="SNT3" s="70"/>
      <c r="SNU3" s="70"/>
      <c r="SNV3" s="70"/>
      <c r="SNW3" s="70"/>
      <c r="SNX3" s="70"/>
      <c r="SNY3" s="70"/>
      <c r="SNZ3" s="70"/>
      <c r="SOA3" s="70"/>
      <c r="SOB3" s="70"/>
      <c r="SOC3" s="70"/>
      <c r="SOD3" s="70"/>
      <c r="SOE3" s="70"/>
      <c r="SOF3" s="70"/>
      <c r="SOG3" s="70"/>
      <c r="SOH3" s="70"/>
      <c r="SOI3" s="70"/>
      <c r="SOJ3" s="70"/>
      <c r="SOK3" s="70"/>
      <c r="SOL3" s="70"/>
      <c r="SOM3" s="70"/>
      <c r="SON3" s="70"/>
      <c r="SOO3" s="70"/>
      <c r="SOP3" s="70"/>
      <c r="SOQ3" s="70"/>
      <c r="SOR3" s="70"/>
      <c r="SOS3" s="70"/>
      <c r="SOT3" s="70"/>
      <c r="SOU3" s="70"/>
      <c r="SOV3" s="70"/>
      <c r="SOW3" s="70"/>
      <c r="SOX3" s="70"/>
      <c r="SOY3" s="70"/>
      <c r="SOZ3" s="70"/>
      <c r="SPA3" s="70"/>
      <c r="SPB3" s="70"/>
      <c r="SPC3" s="70"/>
      <c r="SPD3" s="70"/>
      <c r="SPE3" s="70"/>
      <c r="SPF3" s="70"/>
      <c r="SPG3" s="70"/>
      <c r="SPH3" s="70"/>
      <c r="SPI3" s="70"/>
      <c r="SPJ3" s="70"/>
      <c r="SPK3" s="70"/>
      <c r="SPL3" s="70"/>
      <c r="SPM3" s="70"/>
      <c r="SPN3" s="70"/>
      <c r="SPO3" s="70"/>
      <c r="SPP3" s="70"/>
      <c r="SPQ3" s="70"/>
      <c r="SPR3" s="70"/>
      <c r="SPS3" s="70"/>
      <c r="SPT3" s="70"/>
      <c r="SPU3" s="70"/>
      <c r="SPV3" s="70"/>
      <c r="SPW3" s="70"/>
      <c r="SPX3" s="70"/>
      <c r="SPY3" s="70"/>
      <c r="SPZ3" s="70"/>
      <c r="SQA3" s="70"/>
      <c r="SQB3" s="70"/>
      <c r="SQC3" s="70"/>
      <c r="SQD3" s="70"/>
      <c r="SQE3" s="70"/>
      <c r="SQF3" s="70"/>
      <c r="SQG3" s="70"/>
      <c r="SQH3" s="70"/>
      <c r="SQI3" s="70"/>
      <c r="SQJ3" s="70"/>
      <c r="SQK3" s="70"/>
      <c r="SQL3" s="70"/>
      <c r="SQM3" s="70"/>
      <c r="SQN3" s="70"/>
      <c r="SQO3" s="70"/>
      <c r="SQP3" s="70"/>
      <c r="SQQ3" s="70"/>
      <c r="SQR3" s="70"/>
      <c r="SQS3" s="70"/>
      <c r="SQT3" s="70"/>
      <c r="SQU3" s="70"/>
      <c r="SQV3" s="70"/>
      <c r="SQW3" s="70"/>
      <c r="SQX3" s="70"/>
      <c r="SQY3" s="70"/>
      <c r="SQZ3" s="70"/>
      <c r="SRA3" s="70"/>
      <c r="SRB3" s="70"/>
      <c r="SRC3" s="70"/>
      <c r="SRD3" s="70"/>
      <c r="SRE3" s="70"/>
      <c r="SRF3" s="70"/>
      <c r="SRG3" s="70"/>
      <c r="SRH3" s="70"/>
      <c r="SRI3" s="70"/>
      <c r="SRJ3" s="70"/>
      <c r="SRK3" s="70"/>
      <c r="SRL3" s="70"/>
      <c r="SRM3" s="70"/>
      <c r="SRN3" s="70"/>
      <c r="SRO3" s="70"/>
      <c r="SRP3" s="70"/>
      <c r="SRQ3" s="70"/>
      <c r="SRR3" s="70"/>
      <c r="SRS3" s="70"/>
      <c r="SRT3" s="70"/>
      <c r="SRU3" s="70"/>
      <c r="SRV3" s="70"/>
      <c r="SRW3" s="70"/>
      <c r="SRX3" s="70"/>
      <c r="SRY3" s="70"/>
      <c r="SRZ3" s="70"/>
      <c r="SSA3" s="70"/>
      <c r="SSB3" s="70"/>
      <c r="SSC3" s="70"/>
      <c r="SSD3" s="70"/>
      <c r="SSE3" s="70"/>
      <c r="SSF3" s="70"/>
      <c r="SSG3" s="70"/>
      <c r="SSH3" s="70"/>
      <c r="SSI3" s="70"/>
      <c r="SSJ3" s="70"/>
      <c r="SSK3" s="70"/>
      <c r="SSL3" s="70"/>
      <c r="SSM3" s="70"/>
      <c r="SSN3" s="70"/>
      <c r="SSO3" s="70"/>
      <c r="SSP3" s="70"/>
      <c r="SSQ3" s="70"/>
      <c r="SSR3" s="70"/>
      <c r="SSS3" s="70"/>
      <c r="SST3" s="70"/>
      <c r="SSU3" s="70"/>
      <c r="SSV3" s="70"/>
      <c r="SSW3" s="70"/>
      <c r="SSX3" s="70"/>
      <c r="SSY3" s="70"/>
      <c r="SSZ3" s="70"/>
      <c r="STA3" s="70"/>
      <c r="STB3" s="70"/>
      <c r="STC3" s="70"/>
      <c r="STD3" s="70"/>
      <c r="STE3" s="70"/>
      <c r="STF3" s="70"/>
      <c r="STG3" s="70"/>
      <c r="STH3" s="70"/>
      <c r="STI3" s="70"/>
      <c r="STJ3" s="70"/>
      <c r="STK3" s="70"/>
      <c r="STL3" s="70"/>
      <c r="STM3" s="70"/>
      <c r="STN3" s="70"/>
      <c r="STO3" s="70"/>
      <c r="STP3" s="70"/>
      <c r="STQ3" s="70"/>
      <c r="STR3" s="70"/>
      <c r="STS3" s="70"/>
      <c r="STT3" s="70"/>
      <c r="STU3" s="70"/>
      <c r="STV3" s="70"/>
      <c r="STW3" s="70"/>
      <c r="STX3" s="70"/>
      <c r="STY3" s="70"/>
      <c r="STZ3" s="70"/>
      <c r="SUA3" s="70"/>
      <c r="SUB3" s="70"/>
      <c r="SUC3" s="70"/>
      <c r="SUD3" s="70"/>
      <c r="SUE3" s="70"/>
      <c r="SUF3" s="70"/>
      <c r="SUG3" s="70"/>
      <c r="SUH3" s="70"/>
      <c r="SUI3" s="70"/>
      <c r="SUJ3" s="70"/>
      <c r="SUK3" s="70"/>
      <c r="SUL3" s="70"/>
      <c r="SUM3" s="70"/>
      <c r="SUN3" s="70"/>
      <c r="SUO3" s="70"/>
      <c r="SUP3" s="70"/>
      <c r="SUQ3" s="70"/>
      <c r="SUR3" s="70"/>
      <c r="SUS3" s="70"/>
      <c r="SUT3" s="70"/>
      <c r="SUU3" s="70"/>
      <c r="SUV3" s="70"/>
      <c r="SUW3" s="70"/>
      <c r="SUX3" s="70"/>
      <c r="SUY3" s="70"/>
      <c r="SUZ3" s="70"/>
      <c r="SVA3" s="70"/>
      <c r="SVB3" s="70"/>
      <c r="SVC3" s="70"/>
      <c r="SVD3" s="70"/>
      <c r="SVE3" s="70"/>
      <c r="SVF3" s="70"/>
      <c r="SVG3" s="70"/>
      <c r="SVH3" s="70"/>
      <c r="SVI3" s="70"/>
      <c r="SVJ3" s="70"/>
      <c r="SVK3" s="70"/>
      <c r="SVL3" s="70"/>
      <c r="SVM3" s="70"/>
      <c r="SVN3" s="70"/>
      <c r="SVO3" s="70"/>
      <c r="SVP3" s="70"/>
      <c r="SVQ3" s="70"/>
      <c r="SVR3" s="70"/>
      <c r="SVS3" s="70"/>
      <c r="SVT3" s="70"/>
      <c r="SVU3" s="70"/>
      <c r="SVV3" s="70"/>
      <c r="SVW3" s="70"/>
      <c r="SVX3" s="70"/>
      <c r="SVY3" s="70"/>
      <c r="SVZ3" s="70"/>
      <c r="SWA3" s="70"/>
      <c r="SWB3" s="70"/>
      <c r="SWC3" s="70"/>
      <c r="SWD3" s="70"/>
      <c r="SWE3" s="70"/>
      <c r="SWF3" s="70"/>
      <c r="SWG3" s="70"/>
      <c r="SWH3" s="70"/>
      <c r="SWI3" s="70"/>
      <c r="SWJ3" s="70"/>
      <c r="SWK3" s="70"/>
      <c r="SWL3" s="70"/>
      <c r="SWM3" s="70"/>
      <c r="SWN3" s="70"/>
      <c r="SWO3" s="70"/>
      <c r="SWP3" s="70"/>
      <c r="SWQ3" s="70"/>
      <c r="SWR3" s="70"/>
      <c r="SWS3" s="70"/>
      <c r="SWT3" s="70"/>
      <c r="SWU3" s="70"/>
      <c r="SWV3" s="70"/>
      <c r="SWW3" s="70"/>
      <c r="SWX3" s="70"/>
      <c r="SWY3" s="70"/>
      <c r="SWZ3" s="70"/>
      <c r="SXA3" s="70"/>
      <c r="SXB3" s="70"/>
      <c r="SXC3" s="70"/>
      <c r="SXD3" s="70"/>
      <c r="SXE3" s="70"/>
      <c r="SXF3" s="70"/>
      <c r="SXG3" s="70"/>
      <c r="SXH3" s="70"/>
      <c r="SXI3" s="70"/>
      <c r="SXJ3" s="70"/>
      <c r="SXK3" s="70"/>
      <c r="SXL3" s="70"/>
      <c r="SXM3" s="70"/>
      <c r="SXN3" s="70"/>
      <c r="SXO3" s="70"/>
      <c r="SXP3" s="70"/>
      <c r="SXQ3" s="70"/>
      <c r="SXR3" s="70"/>
      <c r="SXS3" s="70"/>
      <c r="SXT3" s="70"/>
      <c r="SXU3" s="70"/>
      <c r="SXV3" s="70"/>
      <c r="SXW3" s="70"/>
      <c r="SXX3" s="70"/>
      <c r="SXY3" s="70"/>
      <c r="SXZ3" s="70"/>
      <c r="SYA3" s="70"/>
      <c r="SYB3" s="70"/>
      <c r="SYC3" s="70"/>
      <c r="SYD3" s="70"/>
      <c r="SYE3" s="70"/>
      <c r="SYF3" s="70"/>
      <c r="SYG3" s="70"/>
      <c r="SYH3" s="70"/>
      <c r="SYI3" s="70"/>
      <c r="SYJ3" s="70"/>
      <c r="SYK3" s="70"/>
      <c r="SYL3" s="70"/>
      <c r="SYM3" s="70"/>
      <c r="SYN3" s="70"/>
      <c r="SYO3" s="70"/>
      <c r="SYP3" s="70"/>
      <c r="SYQ3" s="70"/>
      <c r="SYR3" s="70"/>
      <c r="SYS3" s="70"/>
      <c r="SYT3" s="70"/>
      <c r="SYU3" s="70"/>
      <c r="SYV3" s="70"/>
      <c r="SYW3" s="70"/>
      <c r="SYX3" s="70"/>
      <c r="SYY3" s="70"/>
      <c r="SYZ3" s="70"/>
      <c r="SZA3" s="70"/>
      <c r="SZB3" s="70"/>
      <c r="SZC3" s="70"/>
      <c r="SZD3" s="70"/>
      <c r="SZE3" s="70"/>
      <c r="SZF3" s="70"/>
      <c r="SZG3" s="70"/>
      <c r="SZH3" s="70"/>
      <c r="SZI3" s="70"/>
      <c r="SZJ3" s="70"/>
      <c r="SZK3" s="70"/>
      <c r="SZL3" s="70"/>
      <c r="SZM3" s="70"/>
      <c r="SZN3" s="70"/>
      <c r="SZO3" s="70"/>
      <c r="SZP3" s="70"/>
      <c r="SZQ3" s="70"/>
      <c r="SZR3" s="70"/>
      <c r="SZS3" s="70"/>
      <c r="SZT3" s="70"/>
      <c r="SZU3" s="70"/>
      <c r="SZV3" s="70"/>
      <c r="SZW3" s="70"/>
      <c r="SZX3" s="70"/>
      <c r="SZY3" s="70"/>
      <c r="SZZ3" s="70"/>
      <c r="TAA3" s="70"/>
      <c r="TAB3" s="70"/>
      <c r="TAC3" s="70"/>
      <c r="TAD3" s="70"/>
      <c r="TAE3" s="70"/>
      <c r="TAF3" s="70"/>
      <c r="TAG3" s="70"/>
      <c r="TAH3" s="70"/>
      <c r="TAI3" s="70"/>
      <c r="TAJ3" s="70"/>
      <c r="TAK3" s="70"/>
      <c r="TAL3" s="70"/>
      <c r="TAM3" s="70"/>
      <c r="TAN3" s="70"/>
      <c r="TAO3" s="70"/>
      <c r="TAP3" s="70"/>
      <c r="TAQ3" s="70"/>
      <c r="TAR3" s="70"/>
      <c r="TAS3" s="70"/>
      <c r="TAT3" s="70"/>
      <c r="TAU3" s="70"/>
      <c r="TAV3" s="70"/>
      <c r="TAW3" s="70"/>
      <c r="TAX3" s="70"/>
      <c r="TAY3" s="70"/>
      <c r="TAZ3" s="70"/>
      <c r="TBA3" s="70"/>
      <c r="TBB3" s="70"/>
      <c r="TBC3" s="70"/>
      <c r="TBD3" s="70"/>
      <c r="TBE3" s="70"/>
      <c r="TBF3" s="70"/>
      <c r="TBG3" s="70"/>
      <c r="TBH3" s="70"/>
      <c r="TBI3" s="70"/>
      <c r="TBJ3" s="70"/>
      <c r="TBK3" s="70"/>
      <c r="TBL3" s="70"/>
      <c r="TBM3" s="70"/>
      <c r="TBN3" s="70"/>
      <c r="TBO3" s="70"/>
      <c r="TBP3" s="70"/>
      <c r="TBQ3" s="70"/>
      <c r="TBR3" s="70"/>
      <c r="TBS3" s="70"/>
      <c r="TBT3" s="70"/>
      <c r="TBU3" s="70"/>
      <c r="TBV3" s="70"/>
      <c r="TBW3" s="70"/>
      <c r="TBX3" s="70"/>
      <c r="TBY3" s="70"/>
      <c r="TBZ3" s="70"/>
      <c r="TCA3" s="70"/>
      <c r="TCB3" s="70"/>
      <c r="TCC3" s="70"/>
      <c r="TCD3" s="70"/>
      <c r="TCE3" s="70"/>
      <c r="TCF3" s="70"/>
      <c r="TCG3" s="70"/>
      <c r="TCH3" s="70"/>
      <c r="TCI3" s="70"/>
      <c r="TCJ3" s="70"/>
      <c r="TCK3" s="70"/>
      <c r="TCL3" s="70"/>
      <c r="TCM3" s="70"/>
      <c r="TCN3" s="70"/>
      <c r="TCO3" s="70"/>
      <c r="TCP3" s="70"/>
      <c r="TCQ3" s="70"/>
      <c r="TCR3" s="70"/>
      <c r="TCS3" s="70"/>
      <c r="TCT3" s="70"/>
      <c r="TCU3" s="70"/>
      <c r="TCV3" s="70"/>
      <c r="TCW3" s="70"/>
      <c r="TCX3" s="70"/>
      <c r="TCY3" s="70"/>
      <c r="TCZ3" s="70"/>
      <c r="TDA3" s="70"/>
      <c r="TDB3" s="70"/>
      <c r="TDC3" s="70"/>
      <c r="TDD3" s="70"/>
      <c r="TDE3" s="70"/>
      <c r="TDF3" s="70"/>
      <c r="TDG3" s="70"/>
      <c r="TDH3" s="70"/>
      <c r="TDI3" s="70"/>
      <c r="TDJ3" s="70"/>
      <c r="TDK3" s="70"/>
      <c r="TDL3" s="70"/>
      <c r="TDM3" s="70"/>
      <c r="TDN3" s="70"/>
      <c r="TDO3" s="70"/>
      <c r="TDP3" s="70"/>
      <c r="TDQ3" s="70"/>
      <c r="TDR3" s="70"/>
      <c r="TDS3" s="70"/>
      <c r="TDT3" s="70"/>
      <c r="TDU3" s="70"/>
      <c r="TDV3" s="70"/>
      <c r="TDW3" s="70"/>
      <c r="TDX3" s="70"/>
      <c r="TDY3" s="70"/>
      <c r="TDZ3" s="70"/>
      <c r="TEA3" s="70"/>
      <c r="TEB3" s="70"/>
      <c r="TEC3" s="70"/>
      <c r="TED3" s="70"/>
      <c r="TEE3" s="70"/>
      <c r="TEF3" s="70"/>
      <c r="TEG3" s="70"/>
      <c r="TEH3" s="70"/>
      <c r="TEI3" s="70"/>
      <c r="TEJ3" s="70"/>
      <c r="TEK3" s="70"/>
      <c r="TEL3" s="70"/>
      <c r="TEM3" s="70"/>
      <c r="TEN3" s="70"/>
      <c r="TEO3" s="70"/>
      <c r="TEP3" s="70"/>
      <c r="TEQ3" s="70"/>
      <c r="TER3" s="70"/>
      <c r="TES3" s="70"/>
      <c r="TET3" s="70"/>
      <c r="TEU3" s="70"/>
      <c r="TEV3" s="70"/>
      <c r="TEW3" s="70"/>
      <c r="TEX3" s="70"/>
      <c r="TEY3" s="70"/>
      <c r="TEZ3" s="70"/>
      <c r="TFA3" s="70"/>
      <c r="TFB3" s="70"/>
      <c r="TFC3" s="70"/>
      <c r="TFD3" s="70"/>
      <c r="TFE3" s="70"/>
      <c r="TFF3" s="70"/>
      <c r="TFG3" s="70"/>
      <c r="TFH3" s="70"/>
      <c r="TFI3" s="70"/>
      <c r="TFJ3" s="70"/>
      <c r="TFK3" s="70"/>
      <c r="TFL3" s="70"/>
      <c r="TFM3" s="70"/>
      <c r="TFN3" s="70"/>
      <c r="TFO3" s="70"/>
      <c r="TFP3" s="70"/>
      <c r="TFQ3" s="70"/>
      <c r="TFR3" s="70"/>
      <c r="TFS3" s="70"/>
      <c r="TFT3" s="70"/>
      <c r="TFU3" s="70"/>
      <c r="TFV3" s="70"/>
      <c r="TFW3" s="70"/>
      <c r="TFX3" s="70"/>
      <c r="TFY3" s="70"/>
      <c r="TFZ3" s="70"/>
      <c r="TGA3" s="70"/>
      <c r="TGB3" s="70"/>
      <c r="TGC3" s="70"/>
      <c r="TGD3" s="70"/>
      <c r="TGE3" s="70"/>
      <c r="TGF3" s="70"/>
      <c r="TGG3" s="70"/>
      <c r="TGH3" s="70"/>
      <c r="TGI3" s="70"/>
      <c r="TGJ3" s="70"/>
      <c r="TGK3" s="70"/>
      <c r="TGL3" s="70"/>
      <c r="TGM3" s="70"/>
      <c r="TGN3" s="70"/>
      <c r="TGO3" s="70"/>
      <c r="TGP3" s="70"/>
      <c r="TGQ3" s="70"/>
      <c r="TGR3" s="70"/>
      <c r="TGS3" s="70"/>
      <c r="TGT3" s="70"/>
      <c r="TGU3" s="70"/>
      <c r="TGV3" s="70"/>
      <c r="TGW3" s="70"/>
      <c r="TGX3" s="70"/>
      <c r="TGY3" s="70"/>
      <c r="TGZ3" s="70"/>
      <c r="THA3" s="70"/>
      <c r="THB3" s="70"/>
      <c r="THC3" s="70"/>
      <c r="THD3" s="70"/>
      <c r="THE3" s="70"/>
      <c r="THF3" s="70"/>
      <c r="THG3" s="70"/>
      <c r="THH3" s="70"/>
      <c r="THI3" s="70"/>
      <c r="THJ3" s="70"/>
      <c r="THK3" s="70"/>
      <c r="THL3" s="70"/>
      <c r="THM3" s="70"/>
      <c r="THN3" s="70"/>
      <c r="THO3" s="70"/>
      <c r="THP3" s="70"/>
      <c r="THQ3" s="70"/>
      <c r="THR3" s="70"/>
      <c r="THS3" s="70"/>
      <c r="THT3" s="70"/>
      <c r="THU3" s="70"/>
      <c r="THV3" s="70"/>
      <c r="THW3" s="70"/>
      <c r="THX3" s="70"/>
      <c r="THY3" s="70"/>
      <c r="THZ3" s="70"/>
      <c r="TIA3" s="70"/>
      <c r="TIB3" s="70"/>
      <c r="TIC3" s="70"/>
      <c r="TID3" s="70"/>
      <c r="TIE3" s="70"/>
      <c r="TIF3" s="70"/>
      <c r="TIG3" s="70"/>
      <c r="TIH3" s="70"/>
      <c r="TII3" s="70"/>
      <c r="TIJ3" s="70"/>
      <c r="TIK3" s="70"/>
      <c r="TIL3" s="70"/>
      <c r="TIM3" s="70"/>
      <c r="TIN3" s="70"/>
      <c r="TIO3" s="70"/>
      <c r="TIP3" s="70"/>
      <c r="TIQ3" s="70"/>
      <c r="TIR3" s="70"/>
      <c r="TIS3" s="70"/>
      <c r="TIT3" s="70"/>
      <c r="TIU3" s="70"/>
      <c r="TIV3" s="70"/>
      <c r="TIW3" s="70"/>
      <c r="TIX3" s="70"/>
      <c r="TIY3" s="70"/>
      <c r="TIZ3" s="70"/>
      <c r="TJA3" s="70"/>
      <c r="TJB3" s="70"/>
      <c r="TJC3" s="70"/>
      <c r="TJD3" s="70"/>
      <c r="TJE3" s="70"/>
      <c r="TJF3" s="70"/>
      <c r="TJG3" s="70"/>
      <c r="TJH3" s="70"/>
      <c r="TJI3" s="70"/>
      <c r="TJJ3" s="70"/>
      <c r="TJK3" s="70"/>
      <c r="TJL3" s="70"/>
      <c r="TJM3" s="70"/>
      <c r="TJN3" s="70"/>
      <c r="TJO3" s="70"/>
      <c r="TJP3" s="70"/>
      <c r="TJQ3" s="70"/>
      <c r="TJR3" s="70"/>
      <c r="TJS3" s="70"/>
      <c r="TJT3" s="70"/>
      <c r="TJU3" s="70"/>
      <c r="TJV3" s="70"/>
      <c r="TJW3" s="70"/>
      <c r="TJX3" s="70"/>
      <c r="TJY3" s="70"/>
      <c r="TJZ3" s="70"/>
      <c r="TKA3" s="70"/>
      <c r="TKB3" s="70"/>
      <c r="TKC3" s="70"/>
      <c r="TKD3" s="70"/>
      <c r="TKE3" s="70"/>
      <c r="TKF3" s="70"/>
      <c r="TKG3" s="70"/>
      <c r="TKH3" s="70"/>
      <c r="TKI3" s="70"/>
      <c r="TKJ3" s="70"/>
      <c r="TKK3" s="70"/>
      <c r="TKL3" s="70"/>
      <c r="TKM3" s="70"/>
      <c r="TKN3" s="70"/>
      <c r="TKO3" s="70"/>
      <c r="TKP3" s="70"/>
      <c r="TKQ3" s="70"/>
      <c r="TKR3" s="70"/>
      <c r="TKS3" s="70"/>
      <c r="TKT3" s="70"/>
      <c r="TKU3" s="70"/>
      <c r="TKV3" s="70"/>
      <c r="TKW3" s="70"/>
      <c r="TKX3" s="70"/>
      <c r="TKY3" s="70"/>
      <c r="TKZ3" s="70"/>
      <c r="TLA3" s="70"/>
      <c r="TLB3" s="70"/>
      <c r="TLC3" s="70"/>
      <c r="TLD3" s="70"/>
      <c r="TLE3" s="70"/>
      <c r="TLF3" s="70"/>
      <c r="TLG3" s="70"/>
      <c r="TLH3" s="70"/>
      <c r="TLI3" s="70"/>
      <c r="TLJ3" s="70"/>
      <c r="TLK3" s="70"/>
      <c r="TLL3" s="70"/>
      <c r="TLM3" s="70"/>
      <c r="TLN3" s="70"/>
      <c r="TLO3" s="70"/>
      <c r="TLP3" s="70"/>
      <c r="TLQ3" s="70"/>
      <c r="TLR3" s="70"/>
      <c r="TLS3" s="70"/>
      <c r="TLT3" s="70"/>
      <c r="TLU3" s="70"/>
      <c r="TLV3" s="70"/>
      <c r="TLW3" s="70"/>
      <c r="TLX3" s="70"/>
      <c r="TLY3" s="70"/>
      <c r="TLZ3" s="70"/>
      <c r="TMA3" s="70"/>
      <c r="TMB3" s="70"/>
      <c r="TMC3" s="70"/>
      <c r="TMD3" s="70"/>
      <c r="TME3" s="70"/>
      <c r="TMF3" s="70"/>
      <c r="TMG3" s="70"/>
      <c r="TMH3" s="70"/>
      <c r="TMI3" s="70"/>
      <c r="TMJ3" s="70"/>
      <c r="TMK3" s="70"/>
      <c r="TML3" s="70"/>
      <c r="TMM3" s="70"/>
      <c r="TMN3" s="70"/>
      <c r="TMO3" s="70"/>
      <c r="TMP3" s="70"/>
      <c r="TMQ3" s="70"/>
      <c r="TMR3" s="70"/>
      <c r="TMS3" s="70"/>
      <c r="TMT3" s="70"/>
      <c r="TMU3" s="70"/>
      <c r="TMV3" s="70"/>
      <c r="TMW3" s="70"/>
      <c r="TMX3" s="70"/>
      <c r="TMY3" s="70"/>
      <c r="TMZ3" s="70"/>
      <c r="TNA3" s="70"/>
      <c r="TNB3" s="70"/>
      <c r="TNC3" s="70"/>
      <c r="TND3" s="70"/>
      <c r="TNE3" s="70"/>
      <c r="TNF3" s="70"/>
      <c r="TNG3" s="70"/>
      <c r="TNH3" s="70"/>
      <c r="TNI3" s="70"/>
      <c r="TNJ3" s="70"/>
      <c r="TNK3" s="70"/>
      <c r="TNL3" s="70"/>
      <c r="TNM3" s="70"/>
      <c r="TNN3" s="70"/>
      <c r="TNO3" s="70"/>
      <c r="TNP3" s="70"/>
      <c r="TNQ3" s="70"/>
      <c r="TNR3" s="70"/>
      <c r="TNS3" s="70"/>
      <c r="TNT3" s="70"/>
      <c r="TNU3" s="70"/>
      <c r="TNV3" s="70"/>
      <c r="TNW3" s="70"/>
      <c r="TNX3" s="70"/>
      <c r="TNY3" s="70"/>
      <c r="TNZ3" s="70"/>
      <c r="TOA3" s="70"/>
      <c r="TOB3" s="70"/>
      <c r="TOC3" s="70"/>
      <c r="TOD3" s="70"/>
      <c r="TOE3" s="70"/>
      <c r="TOF3" s="70"/>
      <c r="TOG3" s="70"/>
      <c r="TOH3" s="70"/>
      <c r="TOI3" s="70"/>
      <c r="TOJ3" s="70"/>
      <c r="TOK3" s="70"/>
      <c r="TOL3" s="70"/>
      <c r="TOM3" s="70"/>
      <c r="TON3" s="70"/>
      <c r="TOO3" s="70"/>
      <c r="TOP3" s="70"/>
      <c r="TOQ3" s="70"/>
      <c r="TOR3" s="70"/>
      <c r="TOS3" s="70"/>
      <c r="TOT3" s="70"/>
      <c r="TOU3" s="70"/>
      <c r="TOV3" s="70"/>
      <c r="TOW3" s="70"/>
      <c r="TOX3" s="70"/>
      <c r="TOY3" s="70"/>
      <c r="TOZ3" s="70"/>
      <c r="TPA3" s="70"/>
      <c r="TPB3" s="70"/>
      <c r="TPC3" s="70"/>
      <c r="TPD3" s="70"/>
      <c r="TPE3" s="70"/>
      <c r="TPF3" s="70"/>
      <c r="TPG3" s="70"/>
      <c r="TPH3" s="70"/>
      <c r="TPI3" s="70"/>
      <c r="TPJ3" s="70"/>
      <c r="TPK3" s="70"/>
      <c r="TPL3" s="70"/>
      <c r="TPM3" s="70"/>
      <c r="TPN3" s="70"/>
      <c r="TPO3" s="70"/>
      <c r="TPP3" s="70"/>
      <c r="TPQ3" s="70"/>
      <c r="TPR3" s="70"/>
      <c r="TPS3" s="70"/>
      <c r="TPT3" s="70"/>
      <c r="TPU3" s="70"/>
      <c r="TPV3" s="70"/>
      <c r="TPW3" s="70"/>
      <c r="TPX3" s="70"/>
      <c r="TPY3" s="70"/>
      <c r="TPZ3" s="70"/>
      <c r="TQA3" s="70"/>
      <c r="TQB3" s="70"/>
      <c r="TQC3" s="70"/>
      <c r="TQD3" s="70"/>
      <c r="TQE3" s="70"/>
      <c r="TQF3" s="70"/>
      <c r="TQG3" s="70"/>
      <c r="TQH3" s="70"/>
      <c r="TQI3" s="70"/>
      <c r="TQJ3" s="70"/>
      <c r="TQK3" s="70"/>
      <c r="TQL3" s="70"/>
      <c r="TQM3" s="70"/>
      <c r="TQN3" s="70"/>
      <c r="TQO3" s="70"/>
      <c r="TQP3" s="70"/>
      <c r="TQQ3" s="70"/>
      <c r="TQR3" s="70"/>
      <c r="TQS3" s="70"/>
      <c r="TQT3" s="70"/>
      <c r="TQU3" s="70"/>
      <c r="TQV3" s="70"/>
      <c r="TQW3" s="70"/>
      <c r="TQX3" s="70"/>
      <c r="TQY3" s="70"/>
      <c r="TQZ3" s="70"/>
      <c r="TRA3" s="70"/>
      <c r="TRB3" s="70"/>
      <c r="TRC3" s="70"/>
      <c r="TRD3" s="70"/>
      <c r="TRE3" s="70"/>
      <c r="TRF3" s="70"/>
      <c r="TRG3" s="70"/>
      <c r="TRH3" s="70"/>
      <c r="TRI3" s="70"/>
      <c r="TRJ3" s="70"/>
      <c r="TRK3" s="70"/>
      <c r="TRL3" s="70"/>
      <c r="TRM3" s="70"/>
      <c r="TRN3" s="70"/>
      <c r="TRO3" s="70"/>
      <c r="TRP3" s="70"/>
      <c r="TRQ3" s="70"/>
      <c r="TRR3" s="70"/>
      <c r="TRS3" s="70"/>
      <c r="TRT3" s="70"/>
      <c r="TRU3" s="70"/>
      <c r="TRV3" s="70"/>
      <c r="TRW3" s="70"/>
      <c r="TRX3" s="70"/>
      <c r="TRY3" s="70"/>
      <c r="TRZ3" s="70"/>
      <c r="TSA3" s="70"/>
      <c r="TSB3" s="70"/>
      <c r="TSC3" s="70"/>
      <c r="TSD3" s="70"/>
      <c r="TSE3" s="70"/>
      <c r="TSF3" s="70"/>
      <c r="TSG3" s="70"/>
      <c r="TSH3" s="70"/>
      <c r="TSI3" s="70"/>
      <c r="TSJ3" s="70"/>
      <c r="TSK3" s="70"/>
      <c r="TSL3" s="70"/>
      <c r="TSM3" s="70"/>
      <c r="TSN3" s="70"/>
      <c r="TSO3" s="70"/>
      <c r="TSP3" s="70"/>
      <c r="TSQ3" s="70"/>
      <c r="TSR3" s="70"/>
      <c r="TSS3" s="70"/>
      <c r="TST3" s="70"/>
      <c r="TSU3" s="70"/>
      <c r="TSV3" s="70"/>
      <c r="TSW3" s="70"/>
      <c r="TSX3" s="70"/>
      <c r="TSY3" s="70"/>
      <c r="TSZ3" s="70"/>
      <c r="TTA3" s="70"/>
      <c r="TTB3" s="70"/>
      <c r="TTC3" s="70"/>
      <c r="TTD3" s="70"/>
      <c r="TTE3" s="70"/>
      <c r="TTF3" s="70"/>
      <c r="TTG3" s="70"/>
      <c r="TTH3" s="70"/>
      <c r="TTI3" s="70"/>
      <c r="TTJ3" s="70"/>
      <c r="TTK3" s="70"/>
      <c r="TTL3" s="70"/>
      <c r="TTM3" s="70"/>
      <c r="TTN3" s="70"/>
      <c r="TTO3" s="70"/>
      <c r="TTP3" s="70"/>
      <c r="TTQ3" s="70"/>
      <c r="TTR3" s="70"/>
      <c r="TTS3" s="70"/>
      <c r="TTT3" s="70"/>
      <c r="TTU3" s="70"/>
      <c r="TTV3" s="70"/>
      <c r="TTW3" s="70"/>
      <c r="TTX3" s="70"/>
      <c r="TTY3" s="70"/>
      <c r="TTZ3" s="70"/>
      <c r="TUA3" s="70"/>
      <c r="TUB3" s="70"/>
      <c r="TUC3" s="70"/>
      <c r="TUD3" s="70"/>
      <c r="TUE3" s="70"/>
      <c r="TUF3" s="70"/>
      <c r="TUG3" s="70"/>
      <c r="TUH3" s="70"/>
      <c r="TUI3" s="70"/>
      <c r="TUJ3" s="70"/>
      <c r="TUK3" s="70"/>
      <c r="TUL3" s="70"/>
      <c r="TUM3" s="70"/>
      <c r="TUN3" s="70"/>
      <c r="TUO3" s="70"/>
      <c r="TUP3" s="70"/>
      <c r="TUQ3" s="70"/>
      <c r="TUR3" s="70"/>
      <c r="TUS3" s="70"/>
      <c r="TUT3" s="70"/>
      <c r="TUU3" s="70"/>
      <c r="TUV3" s="70"/>
      <c r="TUW3" s="70"/>
      <c r="TUX3" s="70"/>
      <c r="TUY3" s="70"/>
      <c r="TUZ3" s="70"/>
      <c r="TVA3" s="70"/>
      <c r="TVB3" s="70"/>
      <c r="TVC3" s="70"/>
      <c r="TVD3" s="70"/>
      <c r="TVE3" s="70"/>
      <c r="TVF3" s="70"/>
      <c r="TVG3" s="70"/>
      <c r="TVH3" s="70"/>
      <c r="TVI3" s="70"/>
      <c r="TVJ3" s="70"/>
      <c r="TVK3" s="70"/>
      <c r="TVL3" s="70"/>
      <c r="TVM3" s="70"/>
      <c r="TVN3" s="70"/>
      <c r="TVO3" s="70"/>
      <c r="TVP3" s="70"/>
      <c r="TVQ3" s="70"/>
      <c r="TVR3" s="70"/>
      <c r="TVS3" s="70"/>
      <c r="TVT3" s="70"/>
      <c r="TVU3" s="70"/>
      <c r="TVV3" s="70"/>
      <c r="TVW3" s="70"/>
      <c r="TVX3" s="70"/>
      <c r="TVY3" s="70"/>
      <c r="TVZ3" s="70"/>
      <c r="TWA3" s="70"/>
      <c r="TWB3" s="70"/>
      <c r="TWC3" s="70"/>
      <c r="TWD3" s="70"/>
      <c r="TWE3" s="70"/>
      <c r="TWF3" s="70"/>
      <c r="TWG3" s="70"/>
      <c r="TWH3" s="70"/>
      <c r="TWI3" s="70"/>
      <c r="TWJ3" s="70"/>
      <c r="TWK3" s="70"/>
      <c r="TWL3" s="70"/>
      <c r="TWM3" s="70"/>
      <c r="TWN3" s="70"/>
      <c r="TWO3" s="70"/>
      <c r="TWP3" s="70"/>
      <c r="TWQ3" s="70"/>
      <c r="TWR3" s="70"/>
      <c r="TWS3" s="70"/>
      <c r="TWT3" s="70"/>
      <c r="TWU3" s="70"/>
      <c r="TWV3" s="70"/>
      <c r="TWW3" s="70"/>
      <c r="TWX3" s="70"/>
      <c r="TWY3" s="70"/>
      <c r="TWZ3" s="70"/>
      <c r="TXA3" s="70"/>
      <c r="TXB3" s="70"/>
      <c r="TXC3" s="70"/>
      <c r="TXD3" s="70"/>
      <c r="TXE3" s="70"/>
      <c r="TXF3" s="70"/>
      <c r="TXG3" s="70"/>
      <c r="TXH3" s="70"/>
      <c r="TXI3" s="70"/>
      <c r="TXJ3" s="70"/>
      <c r="TXK3" s="70"/>
      <c r="TXL3" s="70"/>
      <c r="TXM3" s="70"/>
      <c r="TXN3" s="70"/>
      <c r="TXO3" s="70"/>
      <c r="TXP3" s="70"/>
      <c r="TXQ3" s="70"/>
      <c r="TXR3" s="70"/>
      <c r="TXS3" s="70"/>
      <c r="TXT3" s="70"/>
      <c r="TXU3" s="70"/>
      <c r="TXV3" s="70"/>
      <c r="TXW3" s="70"/>
      <c r="TXX3" s="70"/>
      <c r="TXY3" s="70"/>
      <c r="TXZ3" s="70"/>
      <c r="TYA3" s="70"/>
      <c r="TYB3" s="70"/>
      <c r="TYC3" s="70"/>
      <c r="TYD3" s="70"/>
      <c r="TYE3" s="70"/>
      <c r="TYF3" s="70"/>
      <c r="TYG3" s="70"/>
      <c r="TYH3" s="70"/>
      <c r="TYI3" s="70"/>
      <c r="TYJ3" s="70"/>
      <c r="TYK3" s="70"/>
      <c r="TYL3" s="70"/>
      <c r="TYM3" s="70"/>
      <c r="TYN3" s="70"/>
      <c r="TYO3" s="70"/>
      <c r="TYP3" s="70"/>
      <c r="TYQ3" s="70"/>
      <c r="TYR3" s="70"/>
      <c r="TYS3" s="70"/>
      <c r="TYT3" s="70"/>
      <c r="TYU3" s="70"/>
      <c r="TYV3" s="70"/>
      <c r="TYW3" s="70"/>
      <c r="TYX3" s="70"/>
      <c r="TYY3" s="70"/>
      <c r="TYZ3" s="70"/>
      <c r="TZA3" s="70"/>
      <c r="TZB3" s="70"/>
      <c r="TZC3" s="70"/>
      <c r="TZD3" s="70"/>
      <c r="TZE3" s="70"/>
      <c r="TZF3" s="70"/>
      <c r="TZG3" s="70"/>
      <c r="TZH3" s="70"/>
      <c r="TZI3" s="70"/>
      <c r="TZJ3" s="70"/>
      <c r="TZK3" s="70"/>
      <c r="TZL3" s="70"/>
      <c r="TZM3" s="70"/>
      <c r="TZN3" s="70"/>
      <c r="TZO3" s="70"/>
      <c r="TZP3" s="70"/>
      <c r="TZQ3" s="70"/>
      <c r="TZR3" s="70"/>
      <c r="TZS3" s="70"/>
      <c r="TZT3" s="70"/>
      <c r="TZU3" s="70"/>
      <c r="TZV3" s="70"/>
      <c r="TZW3" s="70"/>
      <c r="TZX3" s="70"/>
      <c r="TZY3" s="70"/>
      <c r="TZZ3" s="70"/>
      <c r="UAA3" s="70"/>
      <c r="UAB3" s="70"/>
      <c r="UAC3" s="70"/>
      <c r="UAD3" s="70"/>
      <c r="UAE3" s="70"/>
      <c r="UAF3" s="70"/>
      <c r="UAG3" s="70"/>
      <c r="UAH3" s="70"/>
      <c r="UAI3" s="70"/>
      <c r="UAJ3" s="70"/>
      <c r="UAK3" s="70"/>
      <c r="UAL3" s="70"/>
      <c r="UAM3" s="70"/>
      <c r="UAN3" s="70"/>
      <c r="UAO3" s="70"/>
      <c r="UAP3" s="70"/>
      <c r="UAQ3" s="70"/>
      <c r="UAR3" s="70"/>
      <c r="UAS3" s="70"/>
      <c r="UAT3" s="70"/>
      <c r="UAU3" s="70"/>
      <c r="UAV3" s="70"/>
      <c r="UAW3" s="70"/>
      <c r="UAX3" s="70"/>
      <c r="UAY3" s="70"/>
      <c r="UAZ3" s="70"/>
      <c r="UBA3" s="70"/>
      <c r="UBB3" s="70"/>
      <c r="UBC3" s="70"/>
      <c r="UBD3" s="70"/>
      <c r="UBE3" s="70"/>
      <c r="UBF3" s="70"/>
      <c r="UBG3" s="70"/>
      <c r="UBH3" s="70"/>
      <c r="UBI3" s="70"/>
      <c r="UBJ3" s="70"/>
      <c r="UBK3" s="70"/>
      <c r="UBL3" s="70"/>
      <c r="UBM3" s="70"/>
      <c r="UBN3" s="70"/>
      <c r="UBO3" s="70"/>
      <c r="UBP3" s="70"/>
      <c r="UBQ3" s="70"/>
      <c r="UBR3" s="70"/>
      <c r="UBS3" s="70"/>
      <c r="UBT3" s="70"/>
      <c r="UBU3" s="70"/>
      <c r="UBV3" s="70"/>
      <c r="UBW3" s="70"/>
      <c r="UBX3" s="70"/>
      <c r="UBY3" s="70"/>
      <c r="UBZ3" s="70"/>
      <c r="UCA3" s="70"/>
      <c r="UCB3" s="70"/>
      <c r="UCC3" s="70"/>
      <c r="UCD3" s="70"/>
      <c r="UCE3" s="70"/>
      <c r="UCF3" s="70"/>
      <c r="UCG3" s="70"/>
      <c r="UCH3" s="70"/>
      <c r="UCI3" s="70"/>
      <c r="UCJ3" s="70"/>
      <c r="UCK3" s="70"/>
      <c r="UCL3" s="70"/>
      <c r="UCM3" s="70"/>
      <c r="UCN3" s="70"/>
      <c r="UCO3" s="70"/>
      <c r="UCP3" s="70"/>
      <c r="UCQ3" s="70"/>
      <c r="UCR3" s="70"/>
      <c r="UCS3" s="70"/>
      <c r="UCT3" s="70"/>
      <c r="UCU3" s="70"/>
      <c r="UCV3" s="70"/>
      <c r="UCW3" s="70"/>
      <c r="UCX3" s="70"/>
      <c r="UCY3" s="70"/>
      <c r="UCZ3" s="70"/>
      <c r="UDA3" s="70"/>
      <c r="UDB3" s="70"/>
      <c r="UDC3" s="70"/>
      <c r="UDD3" s="70"/>
      <c r="UDE3" s="70"/>
      <c r="UDF3" s="70"/>
      <c r="UDG3" s="70"/>
      <c r="UDH3" s="70"/>
      <c r="UDI3" s="70"/>
      <c r="UDJ3" s="70"/>
      <c r="UDK3" s="70"/>
      <c r="UDL3" s="70"/>
      <c r="UDM3" s="70"/>
      <c r="UDN3" s="70"/>
      <c r="UDO3" s="70"/>
      <c r="UDP3" s="70"/>
      <c r="UDQ3" s="70"/>
      <c r="UDR3" s="70"/>
      <c r="UDS3" s="70"/>
      <c r="UDT3" s="70"/>
      <c r="UDU3" s="70"/>
      <c r="UDV3" s="70"/>
      <c r="UDW3" s="70"/>
      <c r="UDX3" s="70"/>
      <c r="UDY3" s="70"/>
      <c r="UDZ3" s="70"/>
      <c r="UEA3" s="70"/>
      <c r="UEB3" s="70"/>
      <c r="UEC3" s="70"/>
      <c r="UED3" s="70"/>
      <c r="UEE3" s="70"/>
      <c r="UEF3" s="70"/>
      <c r="UEG3" s="70"/>
      <c r="UEH3" s="70"/>
      <c r="UEI3" s="70"/>
      <c r="UEJ3" s="70"/>
      <c r="UEK3" s="70"/>
      <c r="UEL3" s="70"/>
      <c r="UEM3" s="70"/>
      <c r="UEN3" s="70"/>
      <c r="UEO3" s="70"/>
      <c r="UEP3" s="70"/>
      <c r="UEQ3" s="70"/>
      <c r="UER3" s="70"/>
      <c r="UES3" s="70"/>
      <c r="UET3" s="70"/>
      <c r="UEU3" s="70"/>
      <c r="UEV3" s="70"/>
      <c r="UEW3" s="70"/>
      <c r="UEX3" s="70"/>
      <c r="UEY3" s="70"/>
      <c r="UEZ3" s="70"/>
      <c r="UFA3" s="70"/>
      <c r="UFB3" s="70"/>
      <c r="UFC3" s="70"/>
      <c r="UFD3" s="70"/>
      <c r="UFE3" s="70"/>
      <c r="UFF3" s="70"/>
      <c r="UFG3" s="70"/>
      <c r="UFH3" s="70"/>
      <c r="UFI3" s="70"/>
      <c r="UFJ3" s="70"/>
      <c r="UFK3" s="70"/>
      <c r="UFL3" s="70"/>
      <c r="UFM3" s="70"/>
      <c r="UFN3" s="70"/>
      <c r="UFO3" s="70"/>
      <c r="UFP3" s="70"/>
      <c r="UFQ3" s="70"/>
      <c r="UFR3" s="70"/>
      <c r="UFS3" s="70"/>
      <c r="UFT3" s="70"/>
      <c r="UFU3" s="70"/>
      <c r="UFV3" s="70"/>
      <c r="UFW3" s="70"/>
      <c r="UFX3" s="70"/>
      <c r="UFY3" s="70"/>
      <c r="UFZ3" s="70"/>
      <c r="UGA3" s="70"/>
      <c r="UGB3" s="70"/>
      <c r="UGC3" s="70"/>
      <c r="UGD3" s="70"/>
      <c r="UGE3" s="70"/>
      <c r="UGF3" s="70"/>
      <c r="UGG3" s="70"/>
      <c r="UGH3" s="70"/>
      <c r="UGI3" s="70"/>
      <c r="UGJ3" s="70"/>
      <c r="UGK3" s="70"/>
      <c r="UGL3" s="70"/>
      <c r="UGM3" s="70"/>
      <c r="UGN3" s="70"/>
      <c r="UGO3" s="70"/>
      <c r="UGP3" s="70"/>
      <c r="UGQ3" s="70"/>
      <c r="UGR3" s="70"/>
      <c r="UGS3" s="70"/>
      <c r="UGT3" s="70"/>
      <c r="UGU3" s="70"/>
      <c r="UGV3" s="70"/>
      <c r="UGW3" s="70"/>
      <c r="UGX3" s="70"/>
      <c r="UGY3" s="70"/>
      <c r="UGZ3" s="70"/>
      <c r="UHA3" s="70"/>
      <c r="UHB3" s="70"/>
      <c r="UHC3" s="70"/>
      <c r="UHD3" s="70"/>
      <c r="UHE3" s="70"/>
      <c r="UHF3" s="70"/>
      <c r="UHG3" s="70"/>
      <c r="UHH3" s="70"/>
      <c r="UHI3" s="70"/>
      <c r="UHJ3" s="70"/>
      <c r="UHK3" s="70"/>
      <c r="UHL3" s="70"/>
      <c r="UHM3" s="70"/>
      <c r="UHN3" s="70"/>
      <c r="UHO3" s="70"/>
      <c r="UHP3" s="70"/>
      <c r="UHQ3" s="70"/>
      <c r="UHR3" s="70"/>
      <c r="UHS3" s="70"/>
      <c r="UHT3" s="70"/>
      <c r="UHU3" s="70"/>
      <c r="UHV3" s="70"/>
      <c r="UHW3" s="70"/>
      <c r="UHX3" s="70"/>
      <c r="UHY3" s="70"/>
      <c r="UHZ3" s="70"/>
      <c r="UIA3" s="70"/>
      <c r="UIB3" s="70"/>
      <c r="UIC3" s="70"/>
      <c r="UID3" s="70"/>
      <c r="UIE3" s="70"/>
      <c r="UIF3" s="70"/>
      <c r="UIG3" s="70"/>
      <c r="UIH3" s="70"/>
      <c r="UII3" s="70"/>
      <c r="UIJ3" s="70"/>
      <c r="UIK3" s="70"/>
      <c r="UIL3" s="70"/>
      <c r="UIM3" s="70"/>
      <c r="UIN3" s="70"/>
      <c r="UIO3" s="70"/>
      <c r="UIP3" s="70"/>
      <c r="UIQ3" s="70"/>
      <c r="UIR3" s="70"/>
      <c r="UIS3" s="70"/>
      <c r="UIT3" s="70"/>
      <c r="UIU3" s="70"/>
      <c r="UIV3" s="70"/>
      <c r="UIW3" s="70"/>
      <c r="UIX3" s="70"/>
      <c r="UIY3" s="70"/>
      <c r="UIZ3" s="70"/>
      <c r="UJA3" s="70"/>
      <c r="UJB3" s="70"/>
      <c r="UJC3" s="70"/>
      <c r="UJD3" s="70"/>
      <c r="UJE3" s="70"/>
      <c r="UJF3" s="70"/>
      <c r="UJG3" s="70"/>
      <c r="UJH3" s="70"/>
      <c r="UJI3" s="70"/>
      <c r="UJJ3" s="70"/>
      <c r="UJK3" s="70"/>
      <c r="UJL3" s="70"/>
      <c r="UJM3" s="70"/>
      <c r="UJN3" s="70"/>
      <c r="UJO3" s="70"/>
      <c r="UJP3" s="70"/>
      <c r="UJQ3" s="70"/>
      <c r="UJR3" s="70"/>
      <c r="UJS3" s="70"/>
      <c r="UJT3" s="70"/>
      <c r="UJU3" s="70"/>
      <c r="UJV3" s="70"/>
      <c r="UJW3" s="70"/>
      <c r="UJX3" s="70"/>
      <c r="UJY3" s="70"/>
      <c r="UJZ3" s="70"/>
      <c r="UKA3" s="70"/>
      <c r="UKB3" s="70"/>
      <c r="UKC3" s="70"/>
      <c r="UKD3" s="70"/>
      <c r="UKE3" s="70"/>
      <c r="UKF3" s="70"/>
      <c r="UKG3" s="70"/>
      <c r="UKH3" s="70"/>
      <c r="UKI3" s="70"/>
      <c r="UKJ3" s="70"/>
      <c r="UKK3" s="70"/>
      <c r="UKL3" s="70"/>
      <c r="UKM3" s="70"/>
      <c r="UKN3" s="70"/>
      <c r="UKO3" s="70"/>
      <c r="UKP3" s="70"/>
      <c r="UKQ3" s="70"/>
      <c r="UKR3" s="70"/>
      <c r="UKS3" s="70"/>
      <c r="UKT3" s="70"/>
      <c r="UKU3" s="70"/>
      <c r="UKV3" s="70"/>
      <c r="UKW3" s="70"/>
      <c r="UKX3" s="70"/>
      <c r="UKY3" s="70"/>
      <c r="UKZ3" s="70"/>
      <c r="ULA3" s="70"/>
      <c r="ULB3" s="70"/>
      <c r="ULC3" s="70"/>
      <c r="ULD3" s="70"/>
      <c r="ULE3" s="70"/>
      <c r="ULF3" s="70"/>
      <c r="ULG3" s="70"/>
      <c r="ULH3" s="70"/>
      <c r="ULI3" s="70"/>
      <c r="ULJ3" s="70"/>
      <c r="ULK3" s="70"/>
      <c r="ULL3" s="70"/>
      <c r="ULM3" s="70"/>
      <c r="ULN3" s="70"/>
      <c r="ULO3" s="70"/>
      <c r="ULP3" s="70"/>
      <c r="ULQ3" s="70"/>
      <c r="ULR3" s="70"/>
      <c r="ULS3" s="70"/>
      <c r="ULT3" s="70"/>
      <c r="ULU3" s="70"/>
      <c r="ULV3" s="70"/>
      <c r="ULW3" s="70"/>
      <c r="ULX3" s="70"/>
      <c r="ULY3" s="70"/>
      <c r="ULZ3" s="70"/>
      <c r="UMA3" s="70"/>
      <c r="UMB3" s="70"/>
      <c r="UMC3" s="70"/>
      <c r="UMD3" s="70"/>
      <c r="UME3" s="70"/>
      <c r="UMF3" s="70"/>
      <c r="UMG3" s="70"/>
      <c r="UMH3" s="70"/>
      <c r="UMI3" s="70"/>
      <c r="UMJ3" s="70"/>
      <c r="UMK3" s="70"/>
      <c r="UML3" s="70"/>
      <c r="UMM3" s="70"/>
      <c r="UMN3" s="70"/>
      <c r="UMO3" s="70"/>
      <c r="UMP3" s="70"/>
      <c r="UMQ3" s="70"/>
      <c r="UMR3" s="70"/>
      <c r="UMS3" s="70"/>
      <c r="UMT3" s="70"/>
      <c r="UMU3" s="70"/>
      <c r="UMV3" s="70"/>
      <c r="UMW3" s="70"/>
      <c r="UMX3" s="70"/>
      <c r="UMY3" s="70"/>
      <c r="UMZ3" s="70"/>
      <c r="UNA3" s="70"/>
      <c r="UNB3" s="70"/>
      <c r="UNC3" s="70"/>
      <c r="UND3" s="70"/>
      <c r="UNE3" s="70"/>
      <c r="UNF3" s="70"/>
      <c r="UNG3" s="70"/>
      <c r="UNH3" s="70"/>
      <c r="UNI3" s="70"/>
      <c r="UNJ3" s="70"/>
      <c r="UNK3" s="70"/>
      <c r="UNL3" s="70"/>
      <c r="UNM3" s="70"/>
      <c r="UNN3" s="70"/>
      <c r="UNO3" s="70"/>
      <c r="UNP3" s="70"/>
      <c r="UNQ3" s="70"/>
      <c r="UNR3" s="70"/>
      <c r="UNS3" s="70"/>
      <c r="UNT3" s="70"/>
      <c r="UNU3" s="70"/>
      <c r="UNV3" s="70"/>
      <c r="UNW3" s="70"/>
      <c r="UNX3" s="70"/>
      <c r="UNY3" s="70"/>
      <c r="UNZ3" s="70"/>
      <c r="UOA3" s="70"/>
      <c r="UOB3" s="70"/>
      <c r="UOC3" s="70"/>
      <c r="UOD3" s="70"/>
      <c r="UOE3" s="70"/>
      <c r="UOF3" s="70"/>
      <c r="UOG3" s="70"/>
      <c r="UOH3" s="70"/>
      <c r="UOI3" s="70"/>
      <c r="UOJ3" s="70"/>
      <c r="UOK3" s="70"/>
      <c r="UOL3" s="70"/>
      <c r="UOM3" s="70"/>
      <c r="UON3" s="70"/>
      <c r="UOO3" s="70"/>
      <c r="UOP3" s="70"/>
      <c r="UOQ3" s="70"/>
      <c r="UOR3" s="70"/>
      <c r="UOS3" s="70"/>
      <c r="UOT3" s="70"/>
      <c r="UOU3" s="70"/>
      <c r="UOV3" s="70"/>
      <c r="UOW3" s="70"/>
      <c r="UOX3" s="70"/>
      <c r="UOY3" s="70"/>
      <c r="UOZ3" s="70"/>
      <c r="UPA3" s="70"/>
      <c r="UPB3" s="70"/>
      <c r="UPC3" s="70"/>
      <c r="UPD3" s="70"/>
      <c r="UPE3" s="70"/>
      <c r="UPF3" s="70"/>
      <c r="UPG3" s="70"/>
      <c r="UPH3" s="70"/>
      <c r="UPI3" s="70"/>
      <c r="UPJ3" s="70"/>
      <c r="UPK3" s="70"/>
      <c r="UPL3" s="70"/>
      <c r="UPM3" s="70"/>
      <c r="UPN3" s="70"/>
      <c r="UPO3" s="70"/>
      <c r="UPP3" s="70"/>
      <c r="UPQ3" s="70"/>
      <c r="UPR3" s="70"/>
      <c r="UPS3" s="70"/>
      <c r="UPT3" s="70"/>
      <c r="UPU3" s="70"/>
      <c r="UPV3" s="70"/>
      <c r="UPW3" s="70"/>
      <c r="UPX3" s="70"/>
      <c r="UPY3" s="70"/>
      <c r="UPZ3" s="70"/>
      <c r="UQA3" s="70"/>
      <c r="UQB3" s="70"/>
      <c r="UQC3" s="70"/>
      <c r="UQD3" s="70"/>
      <c r="UQE3" s="70"/>
      <c r="UQF3" s="70"/>
      <c r="UQG3" s="70"/>
      <c r="UQH3" s="70"/>
      <c r="UQI3" s="70"/>
      <c r="UQJ3" s="70"/>
      <c r="UQK3" s="70"/>
      <c r="UQL3" s="70"/>
      <c r="UQM3" s="70"/>
      <c r="UQN3" s="70"/>
      <c r="UQO3" s="70"/>
      <c r="UQP3" s="70"/>
      <c r="UQQ3" s="70"/>
      <c r="UQR3" s="70"/>
      <c r="UQS3" s="70"/>
      <c r="UQT3" s="70"/>
      <c r="UQU3" s="70"/>
      <c r="UQV3" s="70"/>
      <c r="UQW3" s="70"/>
      <c r="UQX3" s="70"/>
      <c r="UQY3" s="70"/>
      <c r="UQZ3" s="70"/>
      <c r="URA3" s="70"/>
      <c r="URB3" s="70"/>
      <c r="URC3" s="70"/>
      <c r="URD3" s="70"/>
      <c r="URE3" s="70"/>
      <c r="URF3" s="70"/>
      <c r="URG3" s="70"/>
      <c r="URH3" s="70"/>
      <c r="URI3" s="70"/>
      <c r="URJ3" s="70"/>
      <c r="URK3" s="70"/>
      <c r="URL3" s="70"/>
      <c r="URM3" s="70"/>
      <c r="URN3" s="70"/>
      <c r="URO3" s="70"/>
      <c r="URP3" s="70"/>
      <c r="URQ3" s="70"/>
      <c r="URR3" s="70"/>
      <c r="URS3" s="70"/>
      <c r="URT3" s="70"/>
      <c r="URU3" s="70"/>
      <c r="URV3" s="70"/>
      <c r="URW3" s="70"/>
      <c r="URX3" s="70"/>
      <c r="URY3" s="70"/>
      <c r="URZ3" s="70"/>
      <c r="USA3" s="70"/>
      <c r="USB3" s="70"/>
      <c r="USC3" s="70"/>
      <c r="USD3" s="70"/>
      <c r="USE3" s="70"/>
      <c r="USF3" s="70"/>
      <c r="USG3" s="70"/>
      <c r="USH3" s="70"/>
      <c r="USI3" s="70"/>
      <c r="USJ3" s="70"/>
      <c r="USK3" s="70"/>
      <c r="USL3" s="70"/>
      <c r="USM3" s="70"/>
      <c r="USN3" s="70"/>
      <c r="USO3" s="70"/>
      <c r="USP3" s="70"/>
      <c r="USQ3" s="70"/>
      <c r="USR3" s="70"/>
      <c r="USS3" s="70"/>
      <c r="UST3" s="70"/>
      <c r="USU3" s="70"/>
      <c r="USV3" s="70"/>
      <c r="USW3" s="70"/>
      <c r="USX3" s="70"/>
      <c r="USY3" s="70"/>
      <c r="USZ3" s="70"/>
      <c r="UTA3" s="70"/>
      <c r="UTB3" s="70"/>
      <c r="UTC3" s="70"/>
      <c r="UTD3" s="70"/>
      <c r="UTE3" s="70"/>
      <c r="UTF3" s="70"/>
      <c r="UTG3" s="70"/>
      <c r="UTH3" s="70"/>
      <c r="UTI3" s="70"/>
      <c r="UTJ3" s="70"/>
      <c r="UTK3" s="70"/>
      <c r="UTL3" s="70"/>
      <c r="UTM3" s="70"/>
      <c r="UTN3" s="70"/>
      <c r="UTO3" s="70"/>
      <c r="UTP3" s="70"/>
      <c r="UTQ3" s="70"/>
      <c r="UTR3" s="70"/>
      <c r="UTS3" s="70"/>
      <c r="UTT3" s="70"/>
      <c r="UTU3" s="70"/>
      <c r="UTV3" s="70"/>
      <c r="UTW3" s="70"/>
      <c r="UTX3" s="70"/>
      <c r="UTY3" s="70"/>
      <c r="UTZ3" s="70"/>
      <c r="UUA3" s="70"/>
      <c r="UUB3" s="70"/>
      <c r="UUC3" s="70"/>
      <c r="UUD3" s="70"/>
      <c r="UUE3" s="70"/>
      <c r="UUF3" s="70"/>
      <c r="UUG3" s="70"/>
      <c r="UUH3" s="70"/>
      <c r="UUI3" s="70"/>
      <c r="UUJ3" s="70"/>
      <c r="UUK3" s="70"/>
      <c r="UUL3" s="70"/>
      <c r="UUM3" s="70"/>
      <c r="UUN3" s="70"/>
      <c r="UUO3" s="70"/>
      <c r="UUP3" s="70"/>
      <c r="UUQ3" s="70"/>
      <c r="UUR3" s="70"/>
      <c r="UUS3" s="70"/>
      <c r="UUT3" s="70"/>
      <c r="UUU3" s="70"/>
      <c r="UUV3" s="70"/>
      <c r="UUW3" s="70"/>
      <c r="UUX3" s="70"/>
      <c r="UUY3" s="70"/>
      <c r="UUZ3" s="70"/>
      <c r="UVA3" s="70"/>
      <c r="UVB3" s="70"/>
      <c r="UVC3" s="70"/>
      <c r="UVD3" s="70"/>
      <c r="UVE3" s="70"/>
      <c r="UVF3" s="70"/>
      <c r="UVG3" s="70"/>
      <c r="UVH3" s="70"/>
      <c r="UVI3" s="70"/>
      <c r="UVJ3" s="70"/>
      <c r="UVK3" s="70"/>
      <c r="UVL3" s="70"/>
      <c r="UVM3" s="70"/>
      <c r="UVN3" s="70"/>
      <c r="UVO3" s="70"/>
      <c r="UVP3" s="70"/>
      <c r="UVQ3" s="70"/>
      <c r="UVR3" s="70"/>
      <c r="UVS3" s="70"/>
      <c r="UVT3" s="70"/>
      <c r="UVU3" s="70"/>
      <c r="UVV3" s="70"/>
      <c r="UVW3" s="70"/>
      <c r="UVX3" s="70"/>
      <c r="UVY3" s="70"/>
      <c r="UVZ3" s="70"/>
      <c r="UWA3" s="70"/>
      <c r="UWB3" s="70"/>
      <c r="UWC3" s="70"/>
      <c r="UWD3" s="70"/>
      <c r="UWE3" s="70"/>
      <c r="UWF3" s="70"/>
      <c r="UWG3" s="70"/>
      <c r="UWH3" s="70"/>
      <c r="UWI3" s="70"/>
      <c r="UWJ3" s="70"/>
      <c r="UWK3" s="70"/>
      <c r="UWL3" s="70"/>
      <c r="UWM3" s="70"/>
      <c r="UWN3" s="70"/>
      <c r="UWO3" s="70"/>
      <c r="UWP3" s="70"/>
      <c r="UWQ3" s="70"/>
      <c r="UWR3" s="70"/>
      <c r="UWS3" s="70"/>
      <c r="UWT3" s="70"/>
      <c r="UWU3" s="70"/>
      <c r="UWV3" s="70"/>
      <c r="UWW3" s="70"/>
      <c r="UWX3" s="70"/>
      <c r="UWY3" s="70"/>
      <c r="UWZ3" s="70"/>
      <c r="UXA3" s="70"/>
      <c r="UXB3" s="70"/>
      <c r="UXC3" s="70"/>
      <c r="UXD3" s="70"/>
      <c r="UXE3" s="70"/>
      <c r="UXF3" s="70"/>
      <c r="UXG3" s="70"/>
      <c r="UXH3" s="70"/>
      <c r="UXI3" s="70"/>
      <c r="UXJ3" s="70"/>
      <c r="UXK3" s="70"/>
      <c r="UXL3" s="70"/>
      <c r="UXM3" s="70"/>
      <c r="UXN3" s="70"/>
      <c r="UXO3" s="70"/>
      <c r="UXP3" s="70"/>
      <c r="UXQ3" s="70"/>
      <c r="UXR3" s="70"/>
      <c r="UXS3" s="70"/>
      <c r="UXT3" s="70"/>
      <c r="UXU3" s="70"/>
      <c r="UXV3" s="70"/>
      <c r="UXW3" s="70"/>
      <c r="UXX3" s="70"/>
      <c r="UXY3" s="70"/>
      <c r="UXZ3" s="70"/>
      <c r="UYA3" s="70"/>
      <c r="UYB3" s="70"/>
      <c r="UYC3" s="70"/>
      <c r="UYD3" s="70"/>
      <c r="UYE3" s="70"/>
      <c r="UYF3" s="70"/>
      <c r="UYG3" s="70"/>
      <c r="UYH3" s="70"/>
      <c r="UYI3" s="70"/>
      <c r="UYJ3" s="70"/>
      <c r="UYK3" s="70"/>
      <c r="UYL3" s="70"/>
      <c r="UYM3" s="70"/>
      <c r="UYN3" s="70"/>
      <c r="UYO3" s="70"/>
      <c r="UYP3" s="70"/>
      <c r="UYQ3" s="70"/>
      <c r="UYR3" s="70"/>
      <c r="UYS3" s="70"/>
      <c r="UYT3" s="70"/>
      <c r="UYU3" s="70"/>
      <c r="UYV3" s="70"/>
      <c r="UYW3" s="70"/>
      <c r="UYX3" s="70"/>
      <c r="UYY3" s="70"/>
      <c r="UYZ3" s="70"/>
      <c r="UZA3" s="70"/>
      <c r="UZB3" s="70"/>
      <c r="UZC3" s="70"/>
      <c r="UZD3" s="70"/>
      <c r="UZE3" s="70"/>
      <c r="UZF3" s="70"/>
      <c r="UZG3" s="70"/>
      <c r="UZH3" s="70"/>
      <c r="UZI3" s="70"/>
      <c r="UZJ3" s="70"/>
      <c r="UZK3" s="70"/>
      <c r="UZL3" s="70"/>
      <c r="UZM3" s="70"/>
      <c r="UZN3" s="70"/>
      <c r="UZO3" s="70"/>
      <c r="UZP3" s="70"/>
      <c r="UZQ3" s="70"/>
      <c r="UZR3" s="70"/>
      <c r="UZS3" s="70"/>
      <c r="UZT3" s="70"/>
      <c r="UZU3" s="70"/>
      <c r="UZV3" s="70"/>
      <c r="UZW3" s="70"/>
      <c r="UZX3" s="70"/>
      <c r="UZY3" s="70"/>
      <c r="UZZ3" s="70"/>
      <c r="VAA3" s="70"/>
      <c r="VAB3" s="70"/>
      <c r="VAC3" s="70"/>
      <c r="VAD3" s="70"/>
      <c r="VAE3" s="70"/>
      <c r="VAF3" s="70"/>
      <c r="VAG3" s="70"/>
      <c r="VAH3" s="70"/>
      <c r="VAI3" s="70"/>
      <c r="VAJ3" s="70"/>
      <c r="VAK3" s="70"/>
      <c r="VAL3" s="70"/>
      <c r="VAM3" s="70"/>
      <c r="VAN3" s="70"/>
      <c r="VAO3" s="70"/>
      <c r="VAP3" s="70"/>
      <c r="VAQ3" s="70"/>
      <c r="VAR3" s="70"/>
      <c r="VAS3" s="70"/>
      <c r="VAT3" s="70"/>
      <c r="VAU3" s="70"/>
      <c r="VAV3" s="70"/>
      <c r="VAW3" s="70"/>
      <c r="VAX3" s="70"/>
      <c r="VAY3" s="70"/>
      <c r="VAZ3" s="70"/>
      <c r="VBA3" s="70"/>
      <c r="VBB3" s="70"/>
      <c r="VBC3" s="70"/>
      <c r="VBD3" s="70"/>
      <c r="VBE3" s="70"/>
      <c r="VBF3" s="70"/>
      <c r="VBG3" s="70"/>
      <c r="VBH3" s="70"/>
      <c r="VBI3" s="70"/>
      <c r="VBJ3" s="70"/>
      <c r="VBK3" s="70"/>
      <c r="VBL3" s="70"/>
      <c r="VBM3" s="70"/>
      <c r="VBN3" s="70"/>
      <c r="VBO3" s="70"/>
      <c r="VBP3" s="70"/>
      <c r="VBQ3" s="70"/>
      <c r="VBR3" s="70"/>
      <c r="VBS3" s="70"/>
      <c r="VBT3" s="70"/>
      <c r="VBU3" s="70"/>
      <c r="VBV3" s="70"/>
      <c r="VBW3" s="70"/>
      <c r="VBX3" s="70"/>
      <c r="VBY3" s="70"/>
      <c r="VBZ3" s="70"/>
      <c r="VCA3" s="70"/>
      <c r="VCB3" s="70"/>
      <c r="VCC3" s="70"/>
      <c r="VCD3" s="70"/>
      <c r="VCE3" s="70"/>
      <c r="VCF3" s="70"/>
      <c r="VCG3" s="70"/>
      <c r="VCH3" s="70"/>
      <c r="VCI3" s="70"/>
      <c r="VCJ3" s="70"/>
      <c r="VCK3" s="70"/>
      <c r="VCL3" s="70"/>
      <c r="VCM3" s="70"/>
      <c r="VCN3" s="70"/>
      <c r="VCO3" s="70"/>
      <c r="VCP3" s="70"/>
      <c r="VCQ3" s="70"/>
      <c r="VCR3" s="70"/>
      <c r="VCS3" s="70"/>
      <c r="VCT3" s="70"/>
      <c r="VCU3" s="70"/>
      <c r="VCV3" s="70"/>
      <c r="VCW3" s="70"/>
      <c r="VCX3" s="70"/>
      <c r="VCY3" s="70"/>
      <c r="VCZ3" s="70"/>
      <c r="VDA3" s="70"/>
      <c r="VDB3" s="70"/>
      <c r="VDC3" s="70"/>
      <c r="VDD3" s="70"/>
      <c r="VDE3" s="70"/>
      <c r="VDF3" s="70"/>
      <c r="VDG3" s="70"/>
      <c r="VDH3" s="70"/>
      <c r="VDI3" s="70"/>
      <c r="VDJ3" s="70"/>
      <c r="VDK3" s="70"/>
      <c r="VDL3" s="70"/>
      <c r="VDM3" s="70"/>
      <c r="VDN3" s="70"/>
      <c r="VDO3" s="70"/>
      <c r="VDP3" s="70"/>
      <c r="VDQ3" s="70"/>
      <c r="VDR3" s="70"/>
      <c r="VDS3" s="70"/>
      <c r="VDT3" s="70"/>
      <c r="VDU3" s="70"/>
      <c r="VDV3" s="70"/>
      <c r="VDW3" s="70"/>
      <c r="VDX3" s="70"/>
      <c r="VDY3" s="70"/>
      <c r="VDZ3" s="70"/>
      <c r="VEA3" s="70"/>
      <c r="VEB3" s="70"/>
      <c r="VEC3" s="70"/>
      <c r="VED3" s="70"/>
      <c r="VEE3" s="70"/>
      <c r="VEF3" s="70"/>
      <c r="VEG3" s="70"/>
      <c r="VEH3" s="70"/>
      <c r="VEI3" s="70"/>
      <c r="VEJ3" s="70"/>
      <c r="VEK3" s="70"/>
      <c r="VEL3" s="70"/>
      <c r="VEM3" s="70"/>
      <c r="VEN3" s="70"/>
      <c r="VEO3" s="70"/>
      <c r="VEP3" s="70"/>
      <c r="VEQ3" s="70"/>
      <c r="VER3" s="70"/>
      <c r="VES3" s="70"/>
      <c r="VET3" s="70"/>
      <c r="VEU3" s="70"/>
      <c r="VEV3" s="70"/>
      <c r="VEW3" s="70"/>
      <c r="VEX3" s="70"/>
      <c r="VEY3" s="70"/>
      <c r="VEZ3" s="70"/>
      <c r="VFA3" s="70"/>
      <c r="VFB3" s="70"/>
      <c r="VFC3" s="70"/>
      <c r="VFD3" s="70"/>
      <c r="VFE3" s="70"/>
      <c r="VFF3" s="70"/>
      <c r="VFG3" s="70"/>
      <c r="VFH3" s="70"/>
      <c r="VFI3" s="70"/>
      <c r="VFJ3" s="70"/>
      <c r="VFK3" s="70"/>
      <c r="VFL3" s="70"/>
      <c r="VFM3" s="70"/>
      <c r="VFN3" s="70"/>
      <c r="VFO3" s="70"/>
      <c r="VFP3" s="70"/>
      <c r="VFQ3" s="70"/>
      <c r="VFR3" s="70"/>
      <c r="VFS3" s="70"/>
      <c r="VFT3" s="70"/>
      <c r="VFU3" s="70"/>
      <c r="VFV3" s="70"/>
      <c r="VFW3" s="70"/>
      <c r="VFX3" s="70"/>
      <c r="VFY3" s="70"/>
      <c r="VFZ3" s="70"/>
      <c r="VGA3" s="70"/>
      <c r="VGB3" s="70"/>
      <c r="VGC3" s="70"/>
      <c r="VGD3" s="70"/>
      <c r="VGE3" s="70"/>
      <c r="VGF3" s="70"/>
      <c r="VGG3" s="70"/>
      <c r="VGH3" s="70"/>
      <c r="VGI3" s="70"/>
      <c r="VGJ3" s="70"/>
      <c r="VGK3" s="70"/>
      <c r="VGL3" s="70"/>
      <c r="VGM3" s="70"/>
      <c r="VGN3" s="70"/>
      <c r="VGO3" s="70"/>
      <c r="VGP3" s="70"/>
      <c r="VGQ3" s="70"/>
      <c r="VGR3" s="70"/>
      <c r="VGS3" s="70"/>
      <c r="VGT3" s="70"/>
      <c r="VGU3" s="70"/>
      <c r="VGV3" s="70"/>
      <c r="VGW3" s="70"/>
      <c r="VGX3" s="70"/>
      <c r="VGY3" s="70"/>
      <c r="VGZ3" s="70"/>
      <c r="VHA3" s="70"/>
      <c r="VHB3" s="70"/>
      <c r="VHC3" s="70"/>
      <c r="VHD3" s="70"/>
      <c r="VHE3" s="70"/>
      <c r="VHF3" s="70"/>
      <c r="VHG3" s="70"/>
      <c r="VHH3" s="70"/>
      <c r="VHI3" s="70"/>
      <c r="VHJ3" s="70"/>
      <c r="VHK3" s="70"/>
      <c r="VHL3" s="70"/>
      <c r="VHM3" s="70"/>
      <c r="VHN3" s="70"/>
      <c r="VHO3" s="70"/>
      <c r="VHP3" s="70"/>
      <c r="VHQ3" s="70"/>
      <c r="VHR3" s="70"/>
      <c r="VHS3" s="70"/>
      <c r="VHT3" s="70"/>
      <c r="VHU3" s="70"/>
      <c r="VHV3" s="70"/>
      <c r="VHW3" s="70"/>
      <c r="VHX3" s="70"/>
      <c r="VHY3" s="70"/>
      <c r="VHZ3" s="70"/>
      <c r="VIA3" s="70"/>
      <c r="VIB3" s="70"/>
      <c r="VIC3" s="70"/>
      <c r="VID3" s="70"/>
      <c r="VIE3" s="70"/>
      <c r="VIF3" s="70"/>
      <c r="VIG3" s="70"/>
      <c r="VIH3" s="70"/>
      <c r="VII3" s="70"/>
      <c r="VIJ3" s="70"/>
      <c r="VIK3" s="70"/>
      <c r="VIL3" s="70"/>
      <c r="VIM3" s="70"/>
      <c r="VIN3" s="70"/>
      <c r="VIO3" s="70"/>
      <c r="VIP3" s="70"/>
      <c r="VIQ3" s="70"/>
      <c r="VIR3" s="70"/>
      <c r="VIS3" s="70"/>
      <c r="VIT3" s="70"/>
      <c r="VIU3" s="70"/>
      <c r="VIV3" s="70"/>
      <c r="VIW3" s="70"/>
      <c r="VIX3" s="70"/>
      <c r="VIY3" s="70"/>
      <c r="VIZ3" s="70"/>
      <c r="VJA3" s="70"/>
      <c r="VJB3" s="70"/>
      <c r="VJC3" s="70"/>
      <c r="VJD3" s="70"/>
      <c r="VJE3" s="70"/>
      <c r="VJF3" s="70"/>
      <c r="VJG3" s="70"/>
      <c r="VJH3" s="70"/>
      <c r="VJI3" s="70"/>
      <c r="VJJ3" s="70"/>
      <c r="VJK3" s="70"/>
      <c r="VJL3" s="70"/>
      <c r="VJM3" s="70"/>
      <c r="VJN3" s="70"/>
      <c r="VJO3" s="70"/>
      <c r="VJP3" s="70"/>
      <c r="VJQ3" s="70"/>
      <c r="VJR3" s="70"/>
      <c r="VJS3" s="70"/>
      <c r="VJT3" s="70"/>
      <c r="VJU3" s="70"/>
      <c r="VJV3" s="70"/>
      <c r="VJW3" s="70"/>
      <c r="VJX3" s="70"/>
      <c r="VJY3" s="70"/>
      <c r="VJZ3" s="70"/>
      <c r="VKA3" s="70"/>
      <c r="VKB3" s="70"/>
      <c r="VKC3" s="70"/>
      <c r="VKD3" s="70"/>
      <c r="VKE3" s="70"/>
      <c r="VKF3" s="70"/>
      <c r="VKG3" s="70"/>
      <c r="VKH3" s="70"/>
      <c r="VKI3" s="70"/>
      <c r="VKJ3" s="70"/>
      <c r="VKK3" s="70"/>
      <c r="VKL3" s="70"/>
      <c r="VKM3" s="70"/>
      <c r="VKN3" s="70"/>
      <c r="VKO3" s="70"/>
      <c r="VKP3" s="70"/>
      <c r="VKQ3" s="70"/>
      <c r="VKR3" s="70"/>
      <c r="VKS3" s="70"/>
      <c r="VKT3" s="70"/>
      <c r="VKU3" s="70"/>
      <c r="VKV3" s="70"/>
      <c r="VKW3" s="70"/>
      <c r="VKX3" s="70"/>
      <c r="VKY3" s="70"/>
      <c r="VKZ3" s="70"/>
      <c r="VLA3" s="70"/>
      <c r="VLB3" s="70"/>
      <c r="VLC3" s="70"/>
      <c r="VLD3" s="70"/>
      <c r="VLE3" s="70"/>
      <c r="VLF3" s="70"/>
      <c r="VLG3" s="70"/>
      <c r="VLH3" s="70"/>
      <c r="VLI3" s="70"/>
      <c r="VLJ3" s="70"/>
      <c r="VLK3" s="70"/>
      <c r="VLL3" s="70"/>
      <c r="VLM3" s="70"/>
      <c r="VLN3" s="70"/>
      <c r="VLO3" s="70"/>
      <c r="VLP3" s="70"/>
      <c r="VLQ3" s="70"/>
      <c r="VLR3" s="70"/>
      <c r="VLS3" s="70"/>
      <c r="VLT3" s="70"/>
      <c r="VLU3" s="70"/>
      <c r="VLV3" s="70"/>
      <c r="VLW3" s="70"/>
      <c r="VLX3" s="70"/>
      <c r="VLY3" s="70"/>
      <c r="VLZ3" s="70"/>
      <c r="VMA3" s="70"/>
      <c r="VMB3" s="70"/>
      <c r="VMC3" s="70"/>
      <c r="VMD3" s="70"/>
      <c r="VME3" s="70"/>
      <c r="VMF3" s="70"/>
      <c r="VMG3" s="70"/>
      <c r="VMH3" s="70"/>
      <c r="VMI3" s="70"/>
      <c r="VMJ3" s="70"/>
      <c r="VMK3" s="70"/>
      <c r="VML3" s="70"/>
      <c r="VMM3" s="70"/>
      <c r="VMN3" s="70"/>
      <c r="VMO3" s="70"/>
      <c r="VMP3" s="70"/>
      <c r="VMQ3" s="70"/>
      <c r="VMR3" s="70"/>
      <c r="VMS3" s="70"/>
      <c r="VMT3" s="70"/>
      <c r="VMU3" s="70"/>
      <c r="VMV3" s="70"/>
      <c r="VMW3" s="70"/>
      <c r="VMX3" s="70"/>
      <c r="VMY3" s="70"/>
      <c r="VMZ3" s="70"/>
      <c r="VNA3" s="70"/>
      <c r="VNB3" s="70"/>
      <c r="VNC3" s="70"/>
      <c r="VND3" s="70"/>
      <c r="VNE3" s="70"/>
      <c r="VNF3" s="70"/>
      <c r="VNG3" s="70"/>
      <c r="VNH3" s="70"/>
      <c r="VNI3" s="70"/>
      <c r="VNJ3" s="70"/>
      <c r="VNK3" s="70"/>
      <c r="VNL3" s="70"/>
      <c r="VNM3" s="70"/>
      <c r="VNN3" s="70"/>
      <c r="VNO3" s="70"/>
      <c r="VNP3" s="70"/>
      <c r="VNQ3" s="70"/>
      <c r="VNR3" s="70"/>
      <c r="VNS3" s="70"/>
      <c r="VNT3" s="70"/>
      <c r="VNU3" s="70"/>
      <c r="VNV3" s="70"/>
      <c r="VNW3" s="70"/>
      <c r="VNX3" s="70"/>
      <c r="VNY3" s="70"/>
      <c r="VNZ3" s="70"/>
      <c r="VOA3" s="70"/>
      <c r="VOB3" s="70"/>
      <c r="VOC3" s="70"/>
      <c r="VOD3" s="70"/>
      <c r="VOE3" s="70"/>
      <c r="VOF3" s="70"/>
      <c r="VOG3" s="70"/>
      <c r="VOH3" s="70"/>
      <c r="VOI3" s="70"/>
      <c r="VOJ3" s="70"/>
      <c r="VOK3" s="70"/>
      <c r="VOL3" s="70"/>
      <c r="VOM3" s="70"/>
      <c r="VON3" s="70"/>
      <c r="VOO3" s="70"/>
      <c r="VOP3" s="70"/>
      <c r="VOQ3" s="70"/>
      <c r="VOR3" s="70"/>
      <c r="VOS3" s="70"/>
      <c r="VOT3" s="70"/>
      <c r="VOU3" s="70"/>
      <c r="VOV3" s="70"/>
      <c r="VOW3" s="70"/>
      <c r="VOX3" s="70"/>
      <c r="VOY3" s="70"/>
      <c r="VOZ3" s="70"/>
      <c r="VPA3" s="70"/>
      <c r="VPB3" s="70"/>
      <c r="VPC3" s="70"/>
      <c r="VPD3" s="70"/>
      <c r="VPE3" s="70"/>
      <c r="VPF3" s="70"/>
      <c r="VPG3" s="70"/>
      <c r="VPH3" s="70"/>
      <c r="VPI3" s="70"/>
      <c r="VPJ3" s="70"/>
      <c r="VPK3" s="70"/>
      <c r="VPL3" s="70"/>
      <c r="VPM3" s="70"/>
      <c r="VPN3" s="70"/>
      <c r="VPO3" s="70"/>
      <c r="VPP3" s="70"/>
      <c r="VPQ3" s="70"/>
      <c r="VPR3" s="70"/>
      <c r="VPS3" s="70"/>
      <c r="VPT3" s="70"/>
      <c r="VPU3" s="70"/>
      <c r="VPV3" s="70"/>
      <c r="VPW3" s="70"/>
      <c r="VPX3" s="70"/>
      <c r="VPY3" s="70"/>
      <c r="VPZ3" s="70"/>
      <c r="VQA3" s="70"/>
      <c r="VQB3" s="70"/>
      <c r="VQC3" s="70"/>
      <c r="VQD3" s="70"/>
      <c r="VQE3" s="70"/>
      <c r="VQF3" s="70"/>
      <c r="VQG3" s="70"/>
      <c r="VQH3" s="70"/>
      <c r="VQI3" s="70"/>
      <c r="VQJ3" s="70"/>
      <c r="VQK3" s="70"/>
      <c r="VQL3" s="70"/>
      <c r="VQM3" s="70"/>
      <c r="VQN3" s="70"/>
      <c r="VQO3" s="70"/>
      <c r="VQP3" s="70"/>
      <c r="VQQ3" s="70"/>
      <c r="VQR3" s="70"/>
      <c r="VQS3" s="70"/>
      <c r="VQT3" s="70"/>
      <c r="VQU3" s="70"/>
      <c r="VQV3" s="70"/>
      <c r="VQW3" s="70"/>
      <c r="VQX3" s="70"/>
      <c r="VQY3" s="70"/>
      <c r="VQZ3" s="70"/>
      <c r="VRA3" s="70"/>
      <c r="VRB3" s="70"/>
      <c r="VRC3" s="70"/>
      <c r="VRD3" s="70"/>
      <c r="VRE3" s="70"/>
      <c r="VRF3" s="70"/>
      <c r="VRG3" s="70"/>
      <c r="VRH3" s="70"/>
      <c r="VRI3" s="70"/>
      <c r="VRJ3" s="70"/>
      <c r="VRK3" s="70"/>
      <c r="VRL3" s="70"/>
      <c r="VRM3" s="70"/>
      <c r="VRN3" s="70"/>
      <c r="VRO3" s="70"/>
      <c r="VRP3" s="70"/>
      <c r="VRQ3" s="70"/>
      <c r="VRR3" s="70"/>
      <c r="VRS3" s="70"/>
      <c r="VRT3" s="70"/>
      <c r="VRU3" s="70"/>
      <c r="VRV3" s="70"/>
      <c r="VRW3" s="70"/>
      <c r="VRX3" s="70"/>
      <c r="VRY3" s="70"/>
      <c r="VRZ3" s="70"/>
      <c r="VSA3" s="70"/>
      <c r="VSB3" s="70"/>
      <c r="VSC3" s="70"/>
      <c r="VSD3" s="70"/>
      <c r="VSE3" s="70"/>
      <c r="VSF3" s="70"/>
      <c r="VSG3" s="70"/>
      <c r="VSH3" s="70"/>
      <c r="VSI3" s="70"/>
      <c r="VSJ3" s="70"/>
      <c r="VSK3" s="70"/>
      <c r="VSL3" s="70"/>
      <c r="VSM3" s="70"/>
      <c r="VSN3" s="70"/>
      <c r="VSO3" s="70"/>
      <c r="VSP3" s="70"/>
      <c r="VSQ3" s="70"/>
      <c r="VSR3" s="70"/>
      <c r="VSS3" s="70"/>
      <c r="VST3" s="70"/>
      <c r="VSU3" s="70"/>
      <c r="VSV3" s="70"/>
      <c r="VSW3" s="70"/>
      <c r="VSX3" s="70"/>
      <c r="VSY3" s="70"/>
      <c r="VSZ3" s="70"/>
      <c r="VTA3" s="70"/>
      <c r="VTB3" s="70"/>
      <c r="VTC3" s="70"/>
      <c r="VTD3" s="70"/>
      <c r="VTE3" s="70"/>
      <c r="VTF3" s="70"/>
      <c r="VTG3" s="70"/>
      <c r="VTH3" s="70"/>
      <c r="VTI3" s="70"/>
      <c r="VTJ3" s="70"/>
      <c r="VTK3" s="70"/>
      <c r="VTL3" s="70"/>
      <c r="VTM3" s="70"/>
      <c r="VTN3" s="70"/>
      <c r="VTO3" s="70"/>
      <c r="VTP3" s="70"/>
      <c r="VTQ3" s="70"/>
      <c r="VTR3" s="70"/>
      <c r="VTS3" s="70"/>
      <c r="VTT3" s="70"/>
      <c r="VTU3" s="70"/>
      <c r="VTV3" s="70"/>
      <c r="VTW3" s="70"/>
      <c r="VTX3" s="70"/>
      <c r="VTY3" s="70"/>
      <c r="VTZ3" s="70"/>
      <c r="VUA3" s="70"/>
      <c r="VUB3" s="70"/>
      <c r="VUC3" s="70"/>
      <c r="VUD3" s="70"/>
      <c r="VUE3" s="70"/>
      <c r="VUF3" s="70"/>
      <c r="VUG3" s="70"/>
      <c r="VUH3" s="70"/>
      <c r="VUI3" s="70"/>
      <c r="VUJ3" s="70"/>
      <c r="VUK3" s="70"/>
      <c r="VUL3" s="70"/>
      <c r="VUM3" s="70"/>
      <c r="VUN3" s="70"/>
      <c r="VUO3" s="70"/>
      <c r="VUP3" s="70"/>
      <c r="VUQ3" s="70"/>
      <c r="VUR3" s="70"/>
      <c r="VUS3" s="70"/>
      <c r="VUT3" s="70"/>
      <c r="VUU3" s="70"/>
      <c r="VUV3" s="70"/>
      <c r="VUW3" s="70"/>
      <c r="VUX3" s="70"/>
      <c r="VUY3" s="70"/>
      <c r="VUZ3" s="70"/>
      <c r="VVA3" s="70"/>
      <c r="VVB3" s="70"/>
      <c r="VVC3" s="70"/>
      <c r="VVD3" s="70"/>
      <c r="VVE3" s="70"/>
      <c r="VVF3" s="70"/>
      <c r="VVG3" s="70"/>
      <c r="VVH3" s="70"/>
      <c r="VVI3" s="70"/>
      <c r="VVJ3" s="70"/>
      <c r="VVK3" s="70"/>
      <c r="VVL3" s="70"/>
      <c r="VVM3" s="70"/>
      <c r="VVN3" s="70"/>
      <c r="VVO3" s="70"/>
      <c r="VVP3" s="70"/>
      <c r="VVQ3" s="70"/>
      <c r="VVR3" s="70"/>
      <c r="VVS3" s="70"/>
      <c r="VVT3" s="70"/>
      <c r="VVU3" s="70"/>
      <c r="VVV3" s="70"/>
      <c r="VVW3" s="70"/>
      <c r="VVX3" s="70"/>
      <c r="VVY3" s="70"/>
      <c r="VVZ3" s="70"/>
      <c r="VWA3" s="70"/>
      <c r="VWB3" s="70"/>
      <c r="VWC3" s="70"/>
      <c r="VWD3" s="70"/>
      <c r="VWE3" s="70"/>
      <c r="VWF3" s="70"/>
      <c r="VWG3" s="70"/>
      <c r="VWH3" s="70"/>
      <c r="VWI3" s="70"/>
      <c r="VWJ3" s="70"/>
      <c r="VWK3" s="70"/>
      <c r="VWL3" s="70"/>
      <c r="VWM3" s="70"/>
      <c r="VWN3" s="70"/>
      <c r="VWO3" s="70"/>
      <c r="VWP3" s="70"/>
      <c r="VWQ3" s="70"/>
      <c r="VWR3" s="70"/>
      <c r="VWS3" s="70"/>
      <c r="VWT3" s="70"/>
      <c r="VWU3" s="70"/>
      <c r="VWV3" s="70"/>
      <c r="VWW3" s="70"/>
      <c r="VWX3" s="70"/>
      <c r="VWY3" s="70"/>
      <c r="VWZ3" s="70"/>
      <c r="VXA3" s="70"/>
      <c r="VXB3" s="70"/>
      <c r="VXC3" s="70"/>
      <c r="VXD3" s="70"/>
      <c r="VXE3" s="70"/>
      <c r="VXF3" s="70"/>
      <c r="VXG3" s="70"/>
      <c r="VXH3" s="70"/>
      <c r="VXI3" s="70"/>
      <c r="VXJ3" s="70"/>
      <c r="VXK3" s="70"/>
      <c r="VXL3" s="70"/>
      <c r="VXM3" s="70"/>
      <c r="VXN3" s="70"/>
      <c r="VXO3" s="70"/>
      <c r="VXP3" s="70"/>
      <c r="VXQ3" s="70"/>
      <c r="VXR3" s="70"/>
      <c r="VXS3" s="70"/>
      <c r="VXT3" s="70"/>
      <c r="VXU3" s="70"/>
      <c r="VXV3" s="70"/>
      <c r="VXW3" s="70"/>
      <c r="VXX3" s="70"/>
      <c r="VXY3" s="70"/>
      <c r="VXZ3" s="70"/>
      <c r="VYA3" s="70"/>
      <c r="VYB3" s="70"/>
      <c r="VYC3" s="70"/>
      <c r="VYD3" s="70"/>
      <c r="VYE3" s="70"/>
      <c r="VYF3" s="70"/>
      <c r="VYG3" s="70"/>
      <c r="VYH3" s="70"/>
      <c r="VYI3" s="70"/>
      <c r="VYJ3" s="70"/>
      <c r="VYK3" s="70"/>
      <c r="VYL3" s="70"/>
      <c r="VYM3" s="70"/>
      <c r="VYN3" s="70"/>
      <c r="VYO3" s="70"/>
      <c r="VYP3" s="70"/>
      <c r="VYQ3" s="70"/>
      <c r="VYR3" s="70"/>
      <c r="VYS3" s="70"/>
      <c r="VYT3" s="70"/>
      <c r="VYU3" s="70"/>
      <c r="VYV3" s="70"/>
      <c r="VYW3" s="70"/>
      <c r="VYX3" s="70"/>
      <c r="VYY3" s="70"/>
      <c r="VYZ3" s="70"/>
      <c r="VZA3" s="70"/>
      <c r="VZB3" s="70"/>
      <c r="VZC3" s="70"/>
      <c r="VZD3" s="70"/>
      <c r="VZE3" s="70"/>
      <c r="VZF3" s="70"/>
      <c r="VZG3" s="70"/>
      <c r="VZH3" s="70"/>
      <c r="VZI3" s="70"/>
      <c r="VZJ3" s="70"/>
      <c r="VZK3" s="70"/>
      <c r="VZL3" s="70"/>
      <c r="VZM3" s="70"/>
      <c r="VZN3" s="70"/>
      <c r="VZO3" s="70"/>
      <c r="VZP3" s="70"/>
      <c r="VZQ3" s="70"/>
      <c r="VZR3" s="70"/>
      <c r="VZS3" s="70"/>
      <c r="VZT3" s="70"/>
      <c r="VZU3" s="70"/>
      <c r="VZV3" s="70"/>
      <c r="VZW3" s="70"/>
      <c r="VZX3" s="70"/>
      <c r="VZY3" s="70"/>
      <c r="VZZ3" s="70"/>
      <c r="WAA3" s="70"/>
      <c r="WAB3" s="70"/>
      <c r="WAC3" s="70"/>
      <c r="WAD3" s="70"/>
      <c r="WAE3" s="70"/>
      <c r="WAF3" s="70"/>
      <c r="WAG3" s="70"/>
      <c r="WAH3" s="70"/>
      <c r="WAI3" s="70"/>
      <c r="WAJ3" s="70"/>
      <c r="WAK3" s="70"/>
      <c r="WAL3" s="70"/>
      <c r="WAM3" s="70"/>
      <c r="WAN3" s="70"/>
      <c r="WAO3" s="70"/>
      <c r="WAP3" s="70"/>
      <c r="WAQ3" s="70"/>
      <c r="WAR3" s="70"/>
      <c r="WAS3" s="70"/>
      <c r="WAT3" s="70"/>
      <c r="WAU3" s="70"/>
      <c r="WAV3" s="70"/>
      <c r="WAW3" s="70"/>
      <c r="WAX3" s="70"/>
      <c r="WAY3" s="70"/>
      <c r="WAZ3" s="70"/>
      <c r="WBA3" s="70"/>
      <c r="WBB3" s="70"/>
      <c r="WBC3" s="70"/>
      <c r="WBD3" s="70"/>
      <c r="WBE3" s="70"/>
      <c r="WBF3" s="70"/>
      <c r="WBG3" s="70"/>
      <c r="WBH3" s="70"/>
      <c r="WBI3" s="70"/>
      <c r="WBJ3" s="70"/>
      <c r="WBK3" s="70"/>
      <c r="WBL3" s="70"/>
      <c r="WBM3" s="70"/>
      <c r="WBN3" s="70"/>
      <c r="WBO3" s="70"/>
      <c r="WBP3" s="70"/>
      <c r="WBQ3" s="70"/>
      <c r="WBR3" s="70"/>
      <c r="WBS3" s="70"/>
      <c r="WBT3" s="70"/>
      <c r="WBU3" s="70"/>
      <c r="WBV3" s="70"/>
      <c r="WBW3" s="70"/>
      <c r="WBX3" s="70"/>
      <c r="WBY3" s="70"/>
      <c r="WBZ3" s="70"/>
      <c r="WCA3" s="70"/>
      <c r="WCB3" s="70"/>
      <c r="WCC3" s="70"/>
      <c r="WCD3" s="70"/>
      <c r="WCE3" s="70"/>
      <c r="WCF3" s="70"/>
      <c r="WCG3" s="70"/>
      <c r="WCH3" s="70"/>
      <c r="WCI3" s="70"/>
      <c r="WCJ3" s="70"/>
      <c r="WCK3" s="70"/>
      <c r="WCL3" s="70"/>
      <c r="WCM3" s="70"/>
      <c r="WCN3" s="70"/>
      <c r="WCO3" s="70"/>
      <c r="WCP3" s="70"/>
      <c r="WCQ3" s="70"/>
      <c r="WCR3" s="70"/>
      <c r="WCS3" s="70"/>
      <c r="WCT3" s="70"/>
      <c r="WCU3" s="70"/>
      <c r="WCV3" s="70"/>
      <c r="WCW3" s="70"/>
      <c r="WCX3" s="70"/>
      <c r="WCY3" s="70"/>
      <c r="WCZ3" s="70"/>
      <c r="WDA3" s="70"/>
      <c r="WDB3" s="70"/>
      <c r="WDC3" s="70"/>
      <c r="WDD3" s="70"/>
      <c r="WDE3" s="70"/>
      <c r="WDF3" s="70"/>
      <c r="WDG3" s="70"/>
      <c r="WDH3" s="70"/>
      <c r="WDI3" s="70"/>
      <c r="WDJ3" s="70"/>
      <c r="WDK3" s="70"/>
      <c r="WDL3" s="70"/>
      <c r="WDM3" s="70"/>
      <c r="WDN3" s="70"/>
      <c r="WDO3" s="70"/>
      <c r="WDP3" s="70"/>
      <c r="WDQ3" s="70"/>
      <c r="WDR3" s="70"/>
      <c r="WDS3" s="70"/>
      <c r="WDT3" s="70"/>
      <c r="WDU3" s="70"/>
      <c r="WDV3" s="70"/>
      <c r="WDW3" s="70"/>
      <c r="WDX3" s="70"/>
      <c r="WDY3" s="70"/>
      <c r="WDZ3" s="70"/>
      <c r="WEA3" s="70"/>
      <c r="WEB3" s="70"/>
      <c r="WEC3" s="70"/>
      <c r="WED3" s="70"/>
      <c r="WEE3" s="70"/>
      <c r="WEF3" s="70"/>
      <c r="WEG3" s="70"/>
      <c r="WEH3" s="70"/>
      <c r="WEI3" s="70"/>
      <c r="WEJ3" s="70"/>
      <c r="WEK3" s="70"/>
      <c r="WEL3" s="70"/>
      <c r="WEM3" s="70"/>
      <c r="WEN3" s="70"/>
      <c r="WEO3" s="70"/>
      <c r="WEP3" s="70"/>
      <c r="WEQ3" s="70"/>
      <c r="WER3" s="70"/>
      <c r="WES3" s="70"/>
      <c r="WET3" s="70"/>
      <c r="WEU3" s="70"/>
      <c r="WEV3" s="70"/>
      <c r="WEW3" s="70"/>
      <c r="WEX3" s="70"/>
      <c r="WEY3" s="70"/>
      <c r="WEZ3" s="70"/>
      <c r="WFA3" s="70"/>
      <c r="WFB3" s="70"/>
      <c r="WFC3" s="70"/>
      <c r="WFD3" s="70"/>
      <c r="WFE3" s="70"/>
      <c r="WFF3" s="70"/>
      <c r="WFG3" s="70"/>
      <c r="WFH3" s="70"/>
      <c r="WFI3" s="70"/>
      <c r="WFJ3" s="70"/>
      <c r="WFK3" s="70"/>
      <c r="WFL3" s="70"/>
      <c r="WFM3" s="70"/>
      <c r="WFN3" s="70"/>
      <c r="WFO3" s="70"/>
      <c r="WFP3" s="70"/>
      <c r="WFQ3" s="70"/>
      <c r="WFR3" s="70"/>
      <c r="WFS3" s="70"/>
      <c r="WFT3" s="70"/>
      <c r="WFU3" s="70"/>
      <c r="WFV3" s="70"/>
      <c r="WFW3" s="70"/>
      <c r="WFX3" s="70"/>
      <c r="WFY3" s="70"/>
      <c r="WFZ3" s="70"/>
      <c r="WGA3" s="70"/>
      <c r="WGB3" s="70"/>
      <c r="WGC3" s="70"/>
      <c r="WGD3" s="70"/>
      <c r="WGE3" s="70"/>
      <c r="WGF3" s="70"/>
      <c r="WGG3" s="70"/>
      <c r="WGH3" s="70"/>
      <c r="WGI3" s="70"/>
      <c r="WGJ3" s="70"/>
      <c r="WGK3" s="70"/>
      <c r="WGL3" s="70"/>
      <c r="WGM3" s="70"/>
      <c r="WGN3" s="70"/>
      <c r="WGO3" s="70"/>
      <c r="WGP3" s="70"/>
      <c r="WGQ3" s="70"/>
      <c r="WGR3" s="70"/>
      <c r="WGS3" s="70"/>
      <c r="WGT3" s="70"/>
      <c r="WGU3" s="70"/>
      <c r="WGV3" s="70"/>
      <c r="WGW3" s="70"/>
      <c r="WGX3" s="70"/>
      <c r="WGY3" s="70"/>
      <c r="WGZ3" s="70"/>
      <c r="WHA3" s="70"/>
      <c r="WHB3" s="70"/>
      <c r="WHC3" s="70"/>
      <c r="WHD3" s="70"/>
      <c r="WHE3" s="70"/>
      <c r="WHF3" s="70"/>
      <c r="WHG3" s="70"/>
      <c r="WHH3" s="70"/>
      <c r="WHI3" s="70"/>
      <c r="WHJ3" s="70"/>
      <c r="WHK3" s="70"/>
      <c r="WHL3" s="70"/>
      <c r="WHM3" s="70"/>
      <c r="WHN3" s="70"/>
      <c r="WHO3" s="70"/>
      <c r="WHP3" s="70"/>
      <c r="WHQ3" s="70"/>
      <c r="WHR3" s="70"/>
      <c r="WHS3" s="70"/>
      <c r="WHT3" s="70"/>
      <c r="WHU3" s="70"/>
      <c r="WHV3" s="70"/>
      <c r="WHW3" s="70"/>
      <c r="WHX3" s="70"/>
      <c r="WHY3" s="70"/>
      <c r="WHZ3" s="70"/>
      <c r="WIA3" s="70"/>
      <c r="WIB3" s="70"/>
      <c r="WIC3" s="70"/>
      <c r="WID3" s="70"/>
      <c r="WIE3" s="70"/>
      <c r="WIF3" s="70"/>
      <c r="WIG3" s="70"/>
      <c r="WIH3" s="70"/>
      <c r="WII3" s="70"/>
      <c r="WIJ3" s="70"/>
      <c r="WIK3" s="70"/>
      <c r="WIL3" s="70"/>
      <c r="WIM3" s="70"/>
      <c r="WIN3" s="70"/>
      <c r="WIO3" s="70"/>
      <c r="WIP3" s="70"/>
      <c r="WIQ3" s="70"/>
      <c r="WIR3" s="70"/>
      <c r="WIS3" s="70"/>
      <c r="WIT3" s="70"/>
      <c r="WIU3" s="70"/>
      <c r="WIV3" s="70"/>
      <c r="WIW3" s="70"/>
      <c r="WIX3" s="70"/>
      <c r="WIY3" s="70"/>
      <c r="WIZ3" s="70"/>
      <c r="WJA3" s="70"/>
      <c r="WJB3" s="70"/>
      <c r="WJC3" s="70"/>
      <c r="WJD3" s="70"/>
      <c r="WJE3" s="70"/>
      <c r="WJF3" s="70"/>
      <c r="WJG3" s="70"/>
      <c r="WJH3" s="70"/>
      <c r="WJI3" s="70"/>
      <c r="WJJ3" s="70"/>
      <c r="WJK3" s="70"/>
      <c r="WJL3" s="70"/>
      <c r="WJM3" s="70"/>
      <c r="WJN3" s="70"/>
      <c r="WJO3" s="70"/>
      <c r="WJP3" s="70"/>
      <c r="WJQ3" s="70"/>
      <c r="WJR3" s="70"/>
      <c r="WJS3" s="70"/>
      <c r="WJT3" s="70"/>
      <c r="WJU3" s="70"/>
      <c r="WJV3" s="70"/>
      <c r="WJW3" s="70"/>
      <c r="WJX3" s="70"/>
      <c r="WJY3" s="70"/>
      <c r="WJZ3" s="70"/>
      <c r="WKA3" s="70"/>
      <c r="WKB3" s="70"/>
      <c r="WKC3" s="70"/>
      <c r="WKD3" s="70"/>
      <c r="WKE3" s="70"/>
      <c r="WKF3" s="70"/>
      <c r="WKG3" s="70"/>
      <c r="WKH3" s="70"/>
      <c r="WKI3" s="70"/>
      <c r="WKJ3" s="70"/>
      <c r="WKK3" s="70"/>
      <c r="WKL3" s="70"/>
      <c r="WKM3" s="70"/>
      <c r="WKN3" s="70"/>
      <c r="WKO3" s="70"/>
      <c r="WKP3" s="70"/>
      <c r="WKQ3" s="70"/>
      <c r="WKR3" s="70"/>
      <c r="WKS3" s="70"/>
      <c r="WKT3" s="70"/>
      <c r="WKU3" s="70"/>
      <c r="WKV3" s="70"/>
      <c r="WKW3" s="70"/>
      <c r="WKX3" s="70"/>
      <c r="WKY3" s="70"/>
      <c r="WKZ3" s="70"/>
      <c r="WLA3" s="70"/>
      <c r="WLB3" s="70"/>
      <c r="WLC3" s="70"/>
      <c r="WLD3" s="70"/>
      <c r="WLE3" s="70"/>
      <c r="WLF3" s="70"/>
      <c r="WLG3" s="70"/>
      <c r="WLH3" s="70"/>
      <c r="WLI3" s="70"/>
      <c r="WLJ3" s="70"/>
      <c r="WLK3" s="70"/>
      <c r="WLL3" s="70"/>
      <c r="WLM3" s="70"/>
      <c r="WLN3" s="70"/>
      <c r="WLO3" s="70"/>
      <c r="WLP3" s="70"/>
      <c r="WLQ3" s="70"/>
      <c r="WLR3" s="70"/>
      <c r="WLS3" s="70"/>
      <c r="WLT3" s="70"/>
      <c r="WLU3" s="70"/>
      <c r="WLV3" s="70"/>
      <c r="WLW3" s="70"/>
      <c r="WLX3" s="70"/>
      <c r="WLY3" s="70"/>
      <c r="WLZ3" s="70"/>
      <c r="WMA3" s="70"/>
      <c r="WMB3" s="70"/>
      <c r="WMC3" s="70"/>
      <c r="WMD3" s="70"/>
      <c r="WME3" s="70"/>
      <c r="WMF3" s="70"/>
      <c r="WMG3" s="70"/>
      <c r="WMH3" s="70"/>
      <c r="WMI3" s="70"/>
      <c r="WMJ3" s="70"/>
      <c r="WMK3" s="70"/>
      <c r="WML3" s="70"/>
      <c r="WMM3" s="70"/>
      <c r="WMN3" s="70"/>
      <c r="WMO3" s="70"/>
      <c r="WMP3" s="70"/>
      <c r="WMQ3" s="70"/>
      <c r="WMR3" s="70"/>
      <c r="WMS3" s="70"/>
      <c r="WMT3" s="70"/>
      <c r="WMU3" s="70"/>
      <c r="WMV3" s="70"/>
      <c r="WMW3" s="70"/>
      <c r="WMX3" s="70"/>
      <c r="WMY3" s="70"/>
      <c r="WMZ3" s="70"/>
      <c r="WNA3" s="70"/>
      <c r="WNB3" s="70"/>
      <c r="WNC3" s="70"/>
      <c r="WND3" s="70"/>
      <c r="WNE3" s="70"/>
      <c r="WNF3" s="70"/>
      <c r="WNG3" s="70"/>
      <c r="WNH3" s="70"/>
      <c r="WNI3" s="70"/>
      <c r="WNJ3" s="70"/>
      <c r="WNK3" s="70"/>
      <c r="WNL3" s="70"/>
      <c r="WNM3" s="70"/>
      <c r="WNN3" s="70"/>
      <c r="WNO3" s="70"/>
      <c r="WNP3" s="70"/>
      <c r="WNQ3" s="70"/>
      <c r="WNR3" s="70"/>
      <c r="WNS3" s="70"/>
      <c r="WNT3" s="70"/>
      <c r="WNU3" s="70"/>
      <c r="WNV3" s="70"/>
      <c r="WNW3" s="70"/>
      <c r="WNX3" s="70"/>
      <c r="WNY3" s="70"/>
      <c r="WNZ3" s="70"/>
      <c r="WOA3" s="70"/>
      <c r="WOB3" s="70"/>
      <c r="WOC3" s="70"/>
      <c r="WOD3" s="70"/>
      <c r="WOE3" s="70"/>
      <c r="WOF3" s="70"/>
      <c r="WOG3" s="70"/>
      <c r="WOH3" s="70"/>
      <c r="WOI3" s="70"/>
      <c r="WOJ3" s="70"/>
      <c r="WOK3" s="70"/>
      <c r="WOL3" s="70"/>
      <c r="WOM3" s="70"/>
      <c r="WON3" s="70"/>
      <c r="WOO3" s="70"/>
      <c r="WOP3" s="70"/>
      <c r="WOQ3" s="70"/>
      <c r="WOR3" s="70"/>
      <c r="WOS3" s="70"/>
      <c r="WOT3" s="70"/>
      <c r="WOU3" s="70"/>
      <c r="WOV3" s="70"/>
      <c r="WOW3" s="70"/>
      <c r="WOX3" s="70"/>
      <c r="WOY3" s="70"/>
      <c r="WOZ3" s="70"/>
      <c r="WPA3" s="70"/>
      <c r="WPB3" s="70"/>
      <c r="WPC3" s="70"/>
      <c r="WPD3" s="70"/>
      <c r="WPE3" s="70"/>
      <c r="WPF3" s="70"/>
      <c r="WPG3" s="70"/>
      <c r="WPH3" s="70"/>
      <c r="WPI3" s="70"/>
      <c r="WPJ3" s="70"/>
      <c r="WPK3" s="70"/>
      <c r="WPL3" s="70"/>
      <c r="WPM3" s="70"/>
      <c r="WPN3" s="70"/>
      <c r="WPO3" s="70"/>
      <c r="WPP3" s="70"/>
      <c r="WPQ3" s="70"/>
      <c r="WPR3" s="70"/>
      <c r="WPS3" s="70"/>
      <c r="WPT3" s="70"/>
      <c r="WPU3" s="70"/>
      <c r="WPV3" s="70"/>
      <c r="WPW3" s="70"/>
      <c r="WPX3" s="70"/>
      <c r="WPY3" s="70"/>
      <c r="WPZ3" s="70"/>
      <c r="WQA3" s="70"/>
      <c r="WQB3" s="70"/>
      <c r="WQC3" s="70"/>
      <c r="WQD3" s="70"/>
      <c r="WQE3" s="70"/>
      <c r="WQF3" s="70"/>
      <c r="WQG3" s="70"/>
      <c r="WQH3" s="70"/>
      <c r="WQI3" s="70"/>
      <c r="WQJ3" s="70"/>
      <c r="WQK3" s="70"/>
      <c r="WQL3" s="70"/>
      <c r="WQM3" s="70"/>
      <c r="WQN3" s="70"/>
      <c r="WQO3" s="70"/>
      <c r="WQP3" s="70"/>
      <c r="WQQ3" s="70"/>
      <c r="WQR3" s="70"/>
      <c r="WQS3" s="70"/>
      <c r="WQT3" s="70"/>
      <c r="WQU3" s="70"/>
      <c r="WQV3" s="70"/>
      <c r="WQW3" s="70"/>
      <c r="WQX3" s="70"/>
      <c r="WQY3" s="70"/>
      <c r="WQZ3" s="70"/>
      <c r="WRA3" s="70"/>
      <c r="WRB3" s="70"/>
      <c r="WRC3" s="70"/>
      <c r="WRD3" s="70"/>
      <c r="WRE3" s="70"/>
      <c r="WRF3" s="70"/>
      <c r="WRG3" s="70"/>
      <c r="WRH3" s="70"/>
      <c r="WRI3" s="70"/>
      <c r="WRJ3" s="70"/>
      <c r="WRK3" s="70"/>
      <c r="WRL3" s="70"/>
      <c r="WRM3" s="70"/>
      <c r="WRN3" s="70"/>
      <c r="WRO3" s="70"/>
      <c r="WRP3" s="70"/>
      <c r="WRQ3" s="70"/>
      <c r="WRR3" s="70"/>
      <c r="WRS3" s="70"/>
      <c r="WRT3" s="70"/>
      <c r="WRU3" s="70"/>
      <c r="WRV3" s="70"/>
      <c r="WRW3" s="70"/>
      <c r="WRX3" s="70"/>
      <c r="WRY3" s="70"/>
      <c r="WRZ3" s="70"/>
      <c r="WSA3" s="70"/>
      <c r="WSB3" s="70"/>
      <c r="WSC3" s="70"/>
      <c r="WSD3" s="70"/>
      <c r="WSE3" s="70"/>
      <c r="WSF3" s="70"/>
      <c r="WSG3" s="70"/>
      <c r="WSH3" s="70"/>
      <c r="WSI3" s="70"/>
      <c r="WSJ3" s="70"/>
      <c r="WSK3" s="70"/>
      <c r="WSL3" s="70"/>
      <c r="WSM3" s="70"/>
      <c r="WSN3" s="70"/>
      <c r="WSO3" s="70"/>
      <c r="WSP3" s="70"/>
      <c r="WSQ3" s="70"/>
      <c r="WSR3" s="70"/>
      <c r="WSS3" s="70"/>
      <c r="WST3" s="70"/>
      <c r="WSU3" s="70"/>
      <c r="WSV3" s="70"/>
      <c r="WSW3" s="70"/>
      <c r="WSX3" s="70"/>
      <c r="WSY3" s="70"/>
      <c r="WSZ3" s="70"/>
      <c r="WTA3" s="70"/>
      <c r="WTB3" s="70"/>
      <c r="WTC3" s="70"/>
      <c r="WTD3" s="70"/>
      <c r="WTE3" s="70"/>
      <c r="WTF3" s="70"/>
      <c r="WTG3" s="70"/>
      <c r="WTH3" s="70"/>
      <c r="WTI3" s="70"/>
      <c r="WTJ3" s="70"/>
      <c r="WTK3" s="70"/>
      <c r="WTL3" s="70"/>
      <c r="WTM3" s="70"/>
      <c r="WTN3" s="70"/>
      <c r="WTO3" s="70"/>
      <c r="WTP3" s="70"/>
      <c r="WTQ3" s="70"/>
      <c r="WTR3" s="70"/>
      <c r="WTS3" s="70"/>
      <c r="WTT3" s="70"/>
      <c r="WTU3" s="70"/>
      <c r="WTV3" s="70"/>
      <c r="WTW3" s="70"/>
      <c r="WTX3" s="70"/>
      <c r="WTY3" s="70"/>
      <c r="WTZ3" s="70"/>
      <c r="WUA3" s="70"/>
      <c r="WUB3" s="70"/>
      <c r="WUC3" s="70"/>
      <c r="WUD3" s="70"/>
      <c r="WUE3" s="70"/>
      <c r="WUF3" s="70"/>
      <c r="WUG3" s="70"/>
      <c r="WUH3" s="70"/>
      <c r="WUI3" s="70"/>
      <c r="WUJ3" s="70"/>
      <c r="WUK3" s="70"/>
      <c r="WUL3" s="70"/>
      <c r="WUM3" s="70"/>
      <c r="WUN3" s="70"/>
      <c r="WUO3" s="70"/>
      <c r="WUP3" s="70"/>
      <c r="WUQ3" s="70"/>
      <c r="WUR3" s="70"/>
      <c r="WUS3" s="70"/>
      <c r="WUT3" s="70"/>
      <c r="WUU3" s="70"/>
      <c r="WUV3" s="70"/>
      <c r="WUW3" s="70"/>
      <c r="WUX3" s="70"/>
      <c r="WUY3" s="70"/>
      <c r="WUZ3" s="70"/>
      <c r="WVA3" s="70"/>
      <c r="WVB3" s="70"/>
      <c r="WVC3" s="70"/>
      <c r="WVD3" s="70"/>
      <c r="WVE3" s="70"/>
      <c r="WVF3" s="70"/>
      <c r="WVG3" s="70"/>
      <c r="WVH3" s="70"/>
      <c r="WVI3" s="70"/>
      <c r="WVJ3" s="70"/>
      <c r="WVK3" s="70"/>
      <c r="WVL3" s="70"/>
      <c r="WVM3" s="70"/>
      <c r="WVN3" s="70"/>
      <c r="WVO3" s="70"/>
      <c r="WVP3" s="70"/>
      <c r="WVQ3" s="70"/>
      <c r="WVR3" s="70"/>
      <c r="WVS3" s="70"/>
      <c r="WVT3" s="70"/>
      <c r="WVU3" s="70"/>
      <c r="WVV3" s="70"/>
      <c r="WVW3" s="70"/>
      <c r="WVX3" s="70"/>
      <c r="WVY3" s="70"/>
      <c r="WVZ3" s="70"/>
      <c r="WWA3" s="70"/>
      <c r="WWB3" s="70"/>
      <c r="WWC3" s="70"/>
      <c r="WWD3" s="70"/>
      <c r="WWE3" s="70"/>
      <c r="WWF3" s="70"/>
      <c r="WWG3" s="70"/>
      <c r="WWH3" s="70"/>
      <c r="WWI3" s="70"/>
      <c r="WWJ3" s="70"/>
      <c r="WWK3" s="70"/>
      <c r="WWL3" s="70"/>
      <c r="WWM3" s="70"/>
      <c r="WWN3" s="70"/>
      <c r="WWO3" s="70"/>
      <c r="WWP3" s="70"/>
      <c r="WWQ3" s="70"/>
      <c r="WWR3" s="70"/>
      <c r="WWS3" s="70"/>
      <c r="WWT3" s="70"/>
      <c r="WWU3" s="70"/>
      <c r="WWV3" s="70"/>
      <c r="WWW3" s="70"/>
      <c r="WWX3" s="70"/>
      <c r="WWY3" s="70"/>
      <c r="WWZ3" s="70"/>
      <c r="WXA3" s="70"/>
      <c r="WXB3" s="70"/>
      <c r="WXC3" s="70"/>
      <c r="WXD3" s="70"/>
      <c r="WXE3" s="70"/>
      <c r="WXF3" s="70"/>
      <c r="WXG3" s="70"/>
      <c r="WXH3" s="70"/>
      <c r="WXI3" s="70"/>
      <c r="WXJ3" s="70"/>
      <c r="WXK3" s="70"/>
      <c r="WXL3" s="70"/>
      <c r="WXM3" s="70"/>
      <c r="WXN3" s="70"/>
      <c r="WXO3" s="70"/>
      <c r="WXP3" s="70"/>
      <c r="WXQ3" s="70"/>
      <c r="WXR3" s="70"/>
      <c r="WXS3" s="70"/>
      <c r="WXT3" s="70"/>
      <c r="WXU3" s="70"/>
      <c r="WXV3" s="70"/>
      <c r="WXW3" s="70"/>
      <c r="WXX3" s="70"/>
      <c r="WXY3" s="70"/>
      <c r="WXZ3" s="70"/>
      <c r="WYA3" s="70"/>
      <c r="WYB3" s="70"/>
      <c r="WYC3" s="70"/>
      <c r="WYD3" s="70"/>
      <c r="WYE3" s="70"/>
      <c r="WYF3" s="70"/>
      <c r="WYG3" s="70"/>
      <c r="WYH3" s="70"/>
      <c r="WYI3" s="70"/>
      <c r="WYJ3" s="70"/>
      <c r="WYK3" s="70"/>
      <c r="WYL3" s="70"/>
      <c r="WYM3" s="70"/>
      <c r="WYN3" s="70"/>
      <c r="WYO3" s="70"/>
      <c r="WYP3" s="70"/>
      <c r="WYQ3" s="70"/>
      <c r="WYR3" s="70"/>
      <c r="WYS3" s="70"/>
      <c r="WYT3" s="70"/>
      <c r="WYU3" s="70"/>
      <c r="WYV3" s="70"/>
      <c r="WYW3" s="70"/>
      <c r="WYX3" s="70"/>
      <c r="WYY3" s="70"/>
      <c r="WYZ3" s="70"/>
      <c r="WZA3" s="70"/>
      <c r="WZB3" s="70"/>
      <c r="WZC3" s="70"/>
      <c r="WZD3" s="70"/>
      <c r="WZE3" s="70"/>
      <c r="WZF3" s="70"/>
      <c r="WZG3" s="70"/>
      <c r="WZH3" s="70"/>
      <c r="WZI3" s="70"/>
      <c r="WZJ3" s="70"/>
      <c r="WZK3" s="70"/>
      <c r="WZL3" s="70"/>
      <c r="WZM3" s="70"/>
      <c r="WZN3" s="70"/>
      <c r="WZO3" s="70"/>
      <c r="WZP3" s="70"/>
      <c r="WZQ3" s="70"/>
      <c r="WZR3" s="70"/>
      <c r="WZS3" s="70"/>
      <c r="WZT3" s="70"/>
      <c r="WZU3" s="70"/>
      <c r="WZV3" s="70"/>
      <c r="WZW3" s="70"/>
      <c r="WZX3" s="70"/>
      <c r="WZY3" s="70"/>
      <c r="WZZ3" s="70"/>
      <c r="XAA3" s="70"/>
      <c r="XAB3" s="70"/>
      <c r="XAC3" s="70"/>
      <c r="XAD3" s="70"/>
      <c r="XAE3" s="70"/>
      <c r="XAF3" s="70"/>
      <c r="XAG3" s="70"/>
      <c r="XAH3" s="70"/>
      <c r="XAI3" s="70"/>
      <c r="XAJ3" s="70"/>
      <c r="XAK3" s="70"/>
      <c r="XAL3" s="70"/>
      <c r="XAM3" s="70"/>
      <c r="XAN3" s="70"/>
      <c r="XAO3" s="70"/>
      <c r="XAP3" s="70"/>
      <c r="XAQ3" s="70"/>
      <c r="XAR3" s="70"/>
      <c r="XAS3" s="70"/>
      <c r="XAT3" s="70"/>
      <c r="XAU3" s="70"/>
      <c r="XAV3" s="70"/>
      <c r="XAW3" s="70"/>
      <c r="XAX3" s="70"/>
      <c r="XAY3" s="70"/>
      <c r="XAZ3" s="70"/>
      <c r="XBA3" s="70"/>
      <c r="XBB3" s="70"/>
      <c r="XBC3" s="70"/>
      <c r="XBD3" s="70"/>
      <c r="XBE3" s="70"/>
      <c r="XBF3" s="70"/>
      <c r="XBG3" s="70"/>
      <c r="XBH3" s="70"/>
      <c r="XBI3" s="70"/>
      <c r="XBJ3" s="70"/>
      <c r="XBK3" s="70"/>
      <c r="XBL3" s="70"/>
      <c r="XBM3" s="70"/>
      <c r="XBN3" s="70"/>
      <c r="XBO3" s="70"/>
      <c r="XBP3" s="70"/>
      <c r="XBQ3" s="70"/>
      <c r="XBR3" s="70"/>
      <c r="XBS3" s="70"/>
      <c r="XBT3" s="70"/>
      <c r="XBU3" s="70"/>
      <c r="XBV3" s="70"/>
      <c r="XBW3" s="70"/>
      <c r="XBX3" s="70"/>
      <c r="XBY3" s="70"/>
      <c r="XBZ3" s="70"/>
      <c r="XCA3" s="70"/>
      <c r="XCB3" s="70"/>
      <c r="XCC3" s="70"/>
      <c r="XCD3" s="70"/>
      <c r="XCE3" s="70"/>
      <c r="XCF3" s="70"/>
      <c r="XCG3" s="70"/>
      <c r="XCH3" s="70"/>
      <c r="XCI3" s="70"/>
      <c r="XCJ3" s="70"/>
      <c r="XCK3" s="70"/>
      <c r="XCL3" s="70"/>
      <c r="XCM3" s="70"/>
      <c r="XCN3" s="70"/>
      <c r="XCO3" s="70"/>
      <c r="XCP3" s="70"/>
      <c r="XCQ3" s="70"/>
      <c r="XCR3" s="70"/>
      <c r="XCS3" s="70"/>
      <c r="XCT3" s="70"/>
      <c r="XCU3" s="70"/>
      <c r="XCV3" s="70"/>
      <c r="XCW3" s="70"/>
      <c r="XCX3" s="70"/>
      <c r="XCY3" s="70"/>
      <c r="XCZ3" s="70"/>
      <c r="XDA3" s="70"/>
      <c r="XDB3" s="70"/>
      <c r="XDC3" s="70"/>
      <c r="XDD3" s="70"/>
      <c r="XDE3" s="70"/>
      <c r="XDF3" s="70"/>
      <c r="XDG3" s="70"/>
      <c r="XDH3" s="70"/>
      <c r="XDI3" s="70"/>
      <c r="XDJ3" s="70"/>
      <c r="XDK3" s="70"/>
      <c r="XDL3" s="70"/>
      <c r="XDM3" s="70"/>
      <c r="XDN3" s="70"/>
      <c r="XDO3" s="70"/>
      <c r="XDP3" s="70"/>
      <c r="XDQ3" s="70"/>
      <c r="XDR3" s="70"/>
      <c r="XDS3" s="70"/>
      <c r="XDT3" s="70"/>
      <c r="XDU3" s="70"/>
      <c r="XDV3" s="70"/>
      <c r="XDW3" s="70"/>
      <c r="XDX3" s="70"/>
      <c r="XDY3" s="70"/>
      <c r="XDZ3" s="70"/>
      <c r="XEA3" s="70"/>
      <c r="XEB3" s="70"/>
      <c r="XEC3" s="70"/>
      <c r="XED3" s="70"/>
      <c r="XEE3" s="70"/>
      <c r="XEF3" s="70"/>
      <c r="XEG3" s="70"/>
      <c r="XEH3" s="70"/>
      <c r="XEI3" s="70"/>
      <c r="XEJ3" s="70"/>
      <c r="XEK3" s="70"/>
      <c r="XEL3" s="70"/>
      <c r="XEM3" s="70"/>
      <c r="XEN3" s="70"/>
      <c r="XEO3" s="70"/>
      <c r="XEP3" s="70"/>
      <c r="XEQ3" s="70"/>
      <c r="XER3" s="70"/>
      <c r="XES3" s="70"/>
      <c r="XET3" s="70"/>
      <c r="XEU3" s="70"/>
      <c r="XEV3" s="70"/>
      <c r="XEW3" s="70"/>
      <c r="XEX3" s="70"/>
      <c r="XEY3" s="70"/>
      <c r="XEZ3" s="70"/>
      <c r="XFA3" s="70"/>
      <c r="XFB3" s="70"/>
      <c r="XFC3" s="70"/>
      <c r="XFD3" s="70"/>
    </row>
    <row r="4" spans="1:16384" x14ac:dyDescent="0.3">
      <c r="A4" s="363"/>
      <c r="B4" s="364"/>
      <c r="C4" s="364"/>
      <c r="D4" s="364"/>
      <c r="E4" s="364"/>
      <c r="F4" s="364"/>
      <c r="G4" s="365"/>
      <c r="H4" s="364"/>
      <c r="I4" s="364"/>
      <c r="J4" s="364"/>
      <c r="K4" s="364"/>
      <c r="L4" s="364"/>
      <c r="M4" s="364"/>
      <c r="N4" s="362"/>
    </row>
    <row r="5" spans="1:16384" x14ac:dyDescent="0.3">
      <c r="A5" s="363"/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2"/>
    </row>
    <row r="6" spans="1:16384" x14ac:dyDescent="0.3">
      <c r="A6" s="363"/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2"/>
    </row>
    <row r="7" spans="1:16384" x14ac:dyDescent="0.3">
      <c r="A7" s="363" t="s">
        <v>546</v>
      </c>
      <c r="B7" s="364"/>
      <c r="C7" s="364" t="s">
        <v>954</v>
      </c>
      <c r="D7" s="366" t="s">
        <v>355</v>
      </c>
      <c r="E7" s="366" t="s">
        <v>355</v>
      </c>
      <c r="F7" s="366" t="s">
        <v>355</v>
      </c>
      <c r="G7" s="367" t="s">
        <v>544</v>
      </c>
      <c r="H7" s="367" t="s">
        <v>366</v>
      </c>
      <c r="I7" s="367" t="s">
        <v>367</v>
      </c>
      <c r="J7" s="367" t="s">
        <v>907</v>
      </c>
      <c r="K7" s="367" t="s">
        <v>909</v>
      </c>
      <c r="L7" s="367" t="s">
        <v>910</v>
      </c>
      <c r="M7" s="367" t="s">
        <v>912</v>
      </c>
      <c r="N7" s="368" t="s">
        <v>913</v>
      </c>
    </row>
    <row r="8" spans="1:16384" x14ac:dyDescent="0.3">
      <c r="A8" s="363" t="s">
        <v>359</v>
      </c>
      <c r="B8" s="364"/>
      <c r="C8" s="364" t="s">
        <v>360</v>
      </c>
      <c r="D8" s="366" t="s">
        <v>948</v>
      </c>
      <c r="E8" s="366" t="s">
        <v>947</v>
      </c>
      <c r="F8" s="366" t="s">
        <v>364</v>
      </c>
      <c r="G8" s="367" t="s">
        <v>946</v>
      </c>
      <c r="H8" s="367" t="s">
        <v>946</v>
      </c>
      <c r="I8" s="367" t="s">
        <v>946</v>
      </c>
      <c r="J8" s="367" t="s">
        <v>946</v>
      </c>
      <c r="K8" s="367" t="s">
        <v>946</v>
      </c>
      <c r="L8" s="367" t="s">
        <v>946</v>
      </c>
      <c r="M8" s="367" t="s">
        <v>946</v>
      </c>
      <c r="N8" s="368" t="s">
        <v>946</v>
      </c>
      <c r="P8" s="70" t="s">
        <v>1054</v>
      </c>
    </row>
    <row r="9" spans="1:16384" ht="13.5" thickBot="1" x14ac:dyDescent="0.35">
      <c r="A9" s="369"/>
      <c r="B9" s="370"/>
      <c r="C9" s="371"/>
      <c r="D9" s="371" t="s">
        <v>815</v>
      </c>
      <c r="E9" s="371" t="s">
        <v>816</v>
      </c>
      <c r="F9" s="371" t="s">
        <v>817</v>
      </c>
      <c r="G9" s="372" t="s">
        <v>818</v>
      </c>
      <c r="H9" s="372" t="s">
        <v>819</v>
      </c>
      <c r="I9" s="372" t="s">
        <v>820</v>
      </c>
      <c r="J9" s="372" t="s">
        <v>821</v>
      </c>
      <c r="K9" s="372" t="s">
        <v>822</v>
      </c>
      <c r="L9" s="372" t="s">
        <v>823</v>
      </c>
      <c r="M9" s="372" t="s">
        <v>908</v>
      </c>
      <c r="N9" s="373" t="s">
        <v>914</v>
      </c>
    </row>
    <row r="10" spans="1:16384" x14ac:dyDescent="0.3">
      <c r="A10" s="374"/>
      <c r="B10" s="76"/>
      <c r="C10" s="76"/>
      <c r="D10" s="76"/>
      <c r="E10" s="76"/>
      <c r="F10" s="76"/>
      <c r="G10" s="77"/>
      <c r="H10" s="77"/>
      <c r="I10" s="40"/>
      <c r="J10" s="77"/>
      <c r="K10" s="72"/>
      <c r="L10" s="72"/>
      <c r="M10" s="72"/>
      <c r="N10" s="360"/>
    </row>
    <row r="11" spans="1:16384" x14ac:dyDescent="0.3">
      <c r="A11" s="375" t="s">
        <v>1022</v>
      </c>
      <c r="B11" s="72"/>
      <c r="C11" s="76" t="s">
        <v>19</v>
      </c>
      <c r="D11" s="79">
        <v>389578077.58999997</v>
      </c>
      <c r="E11" s="79">
        <v>19514685.52</v>
      </c>
      <c r="F11" s="79">
        <f>D11-E11</f>
        <v>370063392.06999999</v>
      </c>
      <c r="G11" s="79">
        <v>194662355.63</v>
      </c>
      <c r="H11" s="79">
        <v>32542419.640000001</v>
      </c>
      <c r="I11" s="79">
        <v>131670414.92717849</v>
      </c>
      <c r="J11" s="79">
        <v>9523874.5472310148</v>
      </c>
      <c r="K11" s="79">
        <v>555779.08889031655</v>
      </c>
      <c r="L11" s="79">
        <v>2606336.511108852</v>
      </c>
      <c r="M11" s="79">
        <v>518421.72659935633</v>
      </c>
      <c r="N11" s="376">
        <v>-2016210.0210080447</v>
      </c>
      <c r="P11" s="70">
        <f>D11-E11-SUM(G11:N11)</f>
        <v>2.0000040531158447E-2</v>
      </c>
    </row>
    <row r="12" spans="1:16384" s="71" customFormat="1" x14ac:dyDescent="0.3">
      <c r="A12" s="377"/>
      <c r="B12" s="81"/>
      <c r="C12" s="82"/>
      <c r="D12" s="79"/>
      <c r="E12" s="79"/>
      <c r="F12" s="79"/>
      <c r="G12" s="79"/>
      <c r="H12" s="79"/>
      <c r="I12" s="79"/>
      <c r="J12" s="490"/>
      <c r="K12" s="490"/>
      <c r="L12" s="490"/>
      <c r="M12" s="490"/>
      <c r="N12" s="491"/>
    </row>
    <row r="13" spans="1:16384" s="71" customFormat="1" x14ac:dyDescent="0.3">
      <c r="A13" s="378" t="s">
        <v>1023</v>
      </c>
      <c r="B13" s="84"/>
      <c r="C13" s="76" t="s">
        <v>19</v>
      </c>
      <c r="D13" s="79">
        <v>5125110.84</v>
      </c>
      <c r="E13" s="79">
        <v>252030.61</v>
      </c>
      <c r="F13" s="79">
        <f>SUM(G13:N13)</f>
        <v>4873080.2000000011</v>
      </c>
      <c r="G13" s="79">
        <v>2943425.5400000005</v>
      </c>
      <c r="H13" s="79">
        <v>324108.45</v>
      </c>
      <c r="I13" s="79">
        <v>1479805.2817564094</v>
      </c>
      <c r="J13" s="79">
        <v>107036.04044668967</v>
      </c>
      <c r="K13" s="79">
        <v>6246.2386230385628</v>
      </c>
      <c r="L13" s="79">
        <v>29291.853734238852</v>
      </c>
      <c r="M13" s="79">
        <v>5826.3901547154037</v>
      </c>
      <c r="N13" s="376">
        <v>-22659.594715092317</v>
      </c>
      <c r="P13" s="71">
        <f>D13-E13-SUM(G13:N13)</f>
        <v>2.9999998398125172E-2</v>
      </c>
    </row>
    <row r="14" spans="1:16384" s="71" customFormat="1" x14ac:dyDescent="0.3">
      <c r="A14" s="377"/>
      <c r="B14" s="82"/>
      <c r="C14" s="82"/>
      <c r="D14" s="79"/>
      <c r="E14" s="79"/>
      <c r="F14" s="79"/>
      <c r="G14" s="79"/>
      <c r="H14" s="79"/>
      <c r="I14" s="79"/>
      <c r="J14" s="490"/>
      <c r="K14" s="490"/>
      <c r="L14" s="490"/>
      <c r="M14" s="490"/>
      <c r="N14" s="491"/>
    </row>
    <row r="15" spans="1:16384" s="71" customFormat="1" ht="14.5" x14ac:dyDescent="0.3">
      <c r="A15" s="377" t="s">
        <v>1224</v>
      </c>
      <c r="B15" s="82"/>
      <c r="C15" s="82"/>
      <c r="D15" s="79">
        <f>SUM(D16:D18)</f>
        <v>0</v>
      </c>
      <c r="E15" s="79">
        <f t="shared" ref="E15:N15" si="0">SUM(E16:E18)</f>
        <v>0</v>
      </c>
      <c r="F15" s="79">
        <f t="shared" si="0"/>
        <v>0</v>
      </c>
      <c r="G15" s="79">
        <f t="shared" si="0"/>
        <v>0</v>
      </c>
      <c r="H15" s="79">
        <f t="shared" si="0"/>
        <v>0</v>
      </c>
      <c r="I15" s="79">
        <f t="shared" si="0"/>
        <v>0</v>
      </c>
      <c r="J15" s="79">
        <f t="shared" si="0"/>
        <v>0</v>
      </c>
      <c r="K15" s="79">
        <f t="shared" si="0"/>
        <v>0</v>
      </c>
      <c r="L15" s="79">
        <f t="shared" si="0"/>
        <v>0</v>
      </c>
      <c r="M15" s="79">
        <f t="shared" si="0"/>
        <v>0</v>
      </c>
      <c r="N15" s="376">
        <f t="shared" si="0"/>
        <v>0</v>
      </c>
      <c r="P15" s="71">
        <f t="shared" ref="P15:P20" si="1">D15-E15-SUM(G15:N15)</f>
        <v>0</v>
      </c>
    </row>
    <row r="16" spans="1:16384" s="71" customFormat="1" x14ac:dyDescent="0.3">
      <c r="A16" s="377"/>
      <c r="B16" s="82" t="s">
        <v>109</v>
      </c>
      <c r="C16" s="82"/>
      <c r="D16" s="79">
        <v>0</v>
      </c>
      <c r="E16" s="79"/>
      <c r="F16" s="79">
        <f>SUM(G16:N16)</f>
        <v>0</v>
      </c>
      <c r="G16" s="79"/>
      <c r="H16" s="79">
        <v>0</v>
      </c>
      <c r="I16" s="79"/>
      <c r="J16" s="490"/>
      <c r="K16" s="490"/>
      <c r="L16" s="490"/>
      <c r="M16" s="490"/>
      <c r="N16" s="491"/>
      <c r="P16" s="71">
        <f t="shared" si="1"/>
        <v>0</v>
      </c>
    </row>
    <row r="17" spans="1:16" s="71" customFormat="1" x14ac:dyDescent="0.3">
      <c r="A17" s="377"/>
      <c r="B17" s="82" t="s">
        <v>110</v>
      </c>
      <c r="C17" s="82"/>
      <c r="D17" s="79">
        <f>E17+F17</f>
        <v>0</v>
      </c>
      <c r="E17" s="79">
        <v>0</v>
      </c>
      <c r="F17" s="79">
        <f>SUM(G17:N17)</f>
        <v>0</v>
      </c>
      <c r="G17" s="79">
        <v>0</v>
      </c>
      <c r="H17" s="79">
        <v>0</v>
      </c>
      <c r="I17" s="79">
        <v>0</v>
      </c>
      <c r="J17" s="490"/>
      <c r="K17" s="490"/>
      <c r="L17" s="490"/>
      <c r="M17" s="490"/>
      <c r="N17" s="491"/>
      <c r="P17" s="71">
        <f t="shared" si="1"/>
        <v>0</v>
      </c>
    </row>
    <row r="18" spans="1:16" s="71" customFormat="1" x14ac:dyDescent="0.3">
      <c r="A18" s="377"/>
      <c r="B18" s="82" t="s">
        <v>111</v>
      </c>
      <c r="C18" s="82"/>
      <c r="D18" s="79">
        <f>E18+F18</f>
        <v>0</v>
      </c>
      <c r="E18" s="79">
        <v>0</v>
      </c>
      <c r="F18" s="79">
        <f>SUM(G18:N18)</f>
        <v>0</v>
      </c>
      <c r="G18" s="79">
        <v>0</v>
      </c>
      <c r="H18" s="79">
        <v>0</v>
      </c>
      <c r="I18" s="79">
        <v>0</v>
      </c>
      <c r="J18" s="490"/>
      <c r="K18" s="490"/>
      <c r="L18" s="490"/>
      <c r="M18" s="490"/>
      <c r="N18" s="491"/>
      <c r="P18" s="71">
        <f t="shared" si="1"/>
        <v>0</v>
      </c>
    </row>
    <row r="19" spans="1:16" s="71" customFormat="1" x14ac:dyDescent="0.3">
      <c r="A19" s="377"/>
      <c r="B19" s="82"/>
      <c r="C19" s="82"/>
      <c r="D19" s="79"/>
      <c r="E19" s="79"/>
      <c r="F19" s="79"/>
      <c r="G19" s="79"/>
      <c r="H19" s="79"/>
      <c r="I19" s="79"/>
      <c r="J19" s="490"/>
      <c r="K19" s="490"/>
      <c r="L19" s="490"/>
      <c r="M19" s="490"/>
      <c r="N19" s="491"/>
    </row>
    <row r="20" spans="1:16" s="71" customFormat="1" x14ac:dyDescent="0.3">
      <c r="A20" s="377" t="s">
        <v>1017</v>
      </c>
      <c r="B20" s="83"/>
      <c r="C20" s="82" t="s">
        <v>1201</v>
      </c>
      <c r="D20" s="79">
        <v>212643907.95685038</v>
      </c>
      <c r="E20" s="79">
        <v>25225409.230132557</v>
      </c>
      <c r="F20" s="79">
        <f>SUM(G20:N20)</f>
        <v>187418498.72671783</v>
      </c>
      <c r="G20" s="79">
        <v>83781010.040029466</v>
      </c>
      <c r="H20" s="79">
        <v>30701008.972941764</v>
      </c>
      <c r="I20" s="79">
        <v>39556513.133117981</v>
      </c>
      <c r="J20" s="79">
        <v>24357903.798237972</v>
      </c>
      <c r="K20" s="79">
        <v>1128816.6600074177</v>
      </c>
      <c r="L20" s="79">
        <v>5765239.3589558424</v>
      </c>
      <c r="M20" s="79">
        <v>2128006.7634274056</v>
      </c>
      <c r="N20" s="376">
        <v>0</v>
      </c>
      <c r="O20" s="176"/>
      <c r="P20" s="70">
        <f t="shared" si="1"/>
        <v>0</v>
      </c>
    </row>
    <row r="21" spans="1:16" s="71" customFormat="1" x14ac:dyDescent="0.3">
      <c r="A21" s="377"/>
      <c r="B21" s="83"/>
      <c r="C21" s="82"/>
      <c r="D21" s="79"/>
      <c r="E21" s="79"/>
      <c r="F21" s="79"/>
      <c r="G21" s="79"/>
      <c r="H21" s="79"/>
      <c r="I21" s="79"/>
      <c r="J21" s="490"/>
      <c r="K21" s="490"/>
      <c r="L21" s="490"/>
      <c r="M21" s="490"/>
      <c r="N21" s="491"/>
    </row>
    <row r="22" spans="1:16" s="71" customFormat="1" x14ac:dyDescent="0.3">
      <c r="A22" s="377"/>
      <c r="B22" s="82"/>
      <c r="C22" s="82"/>
      <c r="D22" s="79"/>
      <c r="E22" s="79"/>
      <c r="F22" s="79"/>
      <c r="G22" s="79"/>
      <c r="H22" s="79"/>
      <c r="I22" s="79"/>
      <c r="J22" s="490"/>
      <c r="K22" s="490"/>
      <c r="L22" s="490"/>
      <c r="M22" s="490"/>
      <c r="N22" s="491"/>
    </row>
    <row r="23" spans="1:16" s="71" customFormat="1" x14ac:dyDescent="0.3">
      <c r="A23" s="377"/>
      <c r="B23" s="82"/>
      <c r="C23" s="82"/>
      <c r="D23" s="79"/>
      <c r="E23" s="79"/>
      <c r="F23" s="79"/>
      <c r="G23" s="79"/>
      <c r="H23" s="79"/>
      <c r="I23" s="79"/>
      <c r="J23" s="490"/>
      <c r="K23" s="490"/>
      <c r="L23" s="490"/>
      <c r="M23" s="490"/>
      <c r="N23" s="491"/>
    </row>
    <row r="24" spans="1:16" s="71" customFormat="1" ht="14.5" x14ac:dyDescent="0.3">
      <c r="A24" s="377" t="s">
        <v>1225</v>
      </c>
      <c r="B24" s="82"/>
      <c r="C24" s="82"/>
      <c r="D24" s="492">
        <v>12954658.130000001</v>
      </c>
      <c r="E24" s="79">
        <f>E$27/$D$27*$D24</f>
        <v>1073192.0056876966</v>
      </c>
      <c r="F24" s="79">
        <f>SUM(G24:N24)</f>
        <v>11881466.124312302</v>
      </c>
      <c r="G24" s="79">
        <f t="shared" ref="G24:N24" si="2">G$27/$D$27*$D24</f>
        <v>6149759.370575917</v>
      </c>
      <c r="H24" s="79">
        <f>H$27/$D$27*$D24</f>
        <v>1495592.9520059982</v>
      </c>
      <c r="I24" s="79">
        <f>I$27/$D$27*$D24</f>
        <v>3904355.7512052124</v>
      </c>
      <c r="J24" s="79">
        <f t="shared" si="2"/>
        <v>282406.6010557047</v>
      </c>
      <c r="K24" s="79">
        <f t="shared" si="2"/>
        <v>16480.23418976742</v>
      </c>
      <c r="L24" s="79">
        <f t="shared" si="2"/>
        <v>77284.368777903845</v>
      </c>
      <c r="M24" s="79">
        <f t="shared" si="2"/>
        <v>15372.495370829587</v>
      </c>
      <c r="N24" s="376">
        <f t="shared" si="2"/>
        <v>-59785.648869029399</v>
      </c>
      <c r="P24" s="71">
        <f t="shared" ref="P24" si="3">D24-E24-SUM(G24:N24)</f>
        <v>0</v>
      </c>
    </row>
    <row r="25" spans="1:16" s="71" customFormat="1" x14ac:dyDescent="0.3">
      <c r="A25" s="377"/>
      <c r="B25" s="82"/>
      <c r="C25" s="82"/>
      <c r="D25" s="493"/>
      <c r="E25" s="493"/>
      <c r="F25" s="493"/>
      <c r="G25" s="493"/>
      <c r="H25" s="493"/>
      <c r="I25" s="493"/>
      <c r="J25" s="490"/>
      <c r="K25" s="490"/>
      <c r="L25" s="490"/>
      <c r="M25" s="490"/>
      <c r="N25" s="491"/>
    </row>
    <row r="26" spans="1:16" s="71" customFormat="1" x14ac:dyDescent="0.3">
      <c r="A26" s="379" t="s">
        <v>1226</v>
      </c>
      <c r="B26" s="82"/>
      <c r="C26" s="82"/>
      <c r="D26" s="493"/>
      <c r="E26" s="493"/>
      <c r="F26" s="493"/>
      <c r="G26" s="493"/>
      <c r="H26" s="493"/>
      <c r="I26" s="493"/>
      <c r="J26" s="490"/>
      <c r="K26" s="490"/>
      <c r="L26" s="490"/>
      <c r="M26" s="490"/>
      <c r="N26" s="491"/>
    </row>
    <row r="27" spans="1:16" s="71" customFormat="1" x14ac:dyDescent="0.3">
      <c r="A27" s="352" t="s">
        <v>1277</v>
      </c>
      <c r="B27" s="82"/>
      <c r="C27" s="82"/>
      <c r="D27" s="494">
        <f>E27+F27</f>
        <v>8207767993.1881895</v>
      </c>
      <c r="E27" s="494">
        <f>'2a. RB-np'!G197</f>
        <v>679949320.65636182</v>
      </c>
      <c r="F27" s="79">
        <f>SUM(G27:N27)</f>
        <v>7527818672.5318279</v>
      </c>
      <c r="G27" s="494">
        <f>'2a. RB-np'!J197</f>
        <v>3896343509.8863668</v>
      </c>
      <c r="H27" s="494">
        <f>'2a. RB-np'!K197</f>
        <v>947572667.61717868</v>
      </c>
      <c r="I27" s="494">
        <f>'2a. RB-np'!L197</f>
        <v>2473708363.986165</v>
      </c>
      <c r="J27" s="494">
        <f>'2a. RB-np'!M197</f>
        <v>178926208.46877405</v>
      </c>
      <c r="K27" s="494">
        <f>'2a. RB-np'!N197</f>
        <v>10441490.41569642</v>
      </c>
      <c r="L27" s="494">
        <f>'2a. RB-np'!O197</f>
        <v>48965566.058440767</v>
      </c>
      <c r="M27" s="494">
        <f>'2a. RB-np'!P197</f>
        <v>9739653.0432508364</v>
      </c>
      <c r="N27" s="495">
        <f>'2a. RB-np'!Q197</f>
        <v>-37878786.944044746</v>
      </c>
      <c r="P27" s="71">
        <f t="shared" ref="P27" si="4">D27-E27-SUM(G27:N27)</f>
        <v>0</v>
      </c>
    </row>
    <row r="28" spans="1:16" s="71" customFormat="1" x14ac:dyDescent="0.3">
      <c r="A28" s="377"/>
      <c r="B28" s="82"/>
      <c r="C28" s="82"/>
      <c r="D28" s="493"/>
      <c r="E28" s="493"/>
      <c r="F28" s="493"/>
      <c r="G28" s="493"/>
      <c r="H28" s="493"/>
      <c r="I28" s="493"/>
      <c r="J28" s="490"/>
      <c r="K28" s="490"/>
      <c r="L28" s="490"/>
      <c r="M28" s="490"/>
      <c r="N28" s="491"/>
    </row>
    <row r="29" spans="1:16" s="71" customFormat="1" x14ac:dyDescent="0.3">
      <c r="A29" s="379" t="s">
        <v>1227</v>
      </c>
      <c r="B29" s="84"/>
      <c r="C29" s="82"/>
      <c r="D29" s="79"/>
      <c r="E29" s="79"/>
      <c r="F29" s="79"/>
      <c r="G29" s="79"/>
      <c r="H29" s="79"/>
      <c r="I29" s="79"/>
      <c r="J29" s="490"/>
      <c r="K29" s="490"/>
      <c r="L29" s="490"/>
      <c r="M29" s="490"/>
      <c r="N29" s="491"/>
    </row>
    <row r="30" spans="1:16" s="71" customFormat="1" ht="13.5" thickBot="1" x14ac:dyDescent="0.35">
      <c r="A30" s="380" t="s">
        <v>1018</v>
      </c>
      <c r="B30" s="381"/>
      <c r="C30" s="381"/>
      <c r="D30" s="496">
        <f>E30+F30</f>
        <v>609231887.64029431</v>
      </c>
      <c r="E30" s="496">
        <f>'2a. RB-np'!G132</f>
        <v>68444494.180720225</v>
      </c>
      <c r="F30" s="496">
        <f>SUM(G30:N30)</f>
        <v>540787393.4595741</v>
      </c>
      <c r="G30" s="496">
        <f>'2a. RB-np'!J132</f>
        <v>251765004.97653562</v>
      </c>
      <c r="H30" s="496">
        <f>'2a. RB-np'!K132</f>
        <v>78543501.693038464</v>
      </c>
      <c r="I30" s="496">
        <f>'2a. RB-np'!L132</f>
        <v>129622121.84600741</v>
      </c>
      <c r="J30" s="496">
        <f>'2a. RB-np'!M132</f>
        <v>28623771.707195975</v>
      </c>
      <c r="K30" s="496">
        <f>'2a. RB-np'!N132</f>
        <v>7645179.4379166793</v>
      </c>
      <c r="L30" s="496">
        <f>'2a. RB-np'!O132</f>
        <v>39046455.428348765</v>
      </c>
      <c r="M30" s="496">
        <f>'2a. RB-np'!P132</f>
        <v>5541358.3705311799</v>
      </c>
      <c r="N30" s="497">
        <f>'2a. RB-np'!Q132</f>
        <v>0</v>
      </c>
      <c r="P30" s="71">
        <f t="shared" ref="P30" si="5">D30-E30-SUM(G30:N30)</f>
        <v>0</v>
      </c>
    </row>
    <row r="31" spans="1:16" s="71" customFormat="1" x14ac:dyDescent="0.3">
      <c r="A31" s="84"/>
      <c r="B31" s="84"/>
      <c r="C31" s="84"/>
      <c r="D31" s="84"/>
      <c r="E31" s="84"/>
      <c r="F31" s="84"/>
      <c r="G31" s="84"/>
      <c r="H31" s="84"/>
      <c r="I31" s="84"/>
    </row>
    <row r="32" spans="1:16" s="71" customFormat="1" x14ac:dyDescent="0.3">
      <c r="A32" s="84"/>
      <c r="B32" s="84"/>
      <c r="C32" s="84"/>
      <c r="D32" s="84"/>
      <c r="E32" s="84"/>
      <c r="F32" s="84"/>
      <c r="G32" s="84"/>
      <c r="H32" s="84"/>
      <c r="I32" s="84"/>
    </row>
    <row r="33" s="71" customFormat="1" x14ac:dyDescent="0.3"/>
    <row r="34" s="71" customFormat="1" x14ac:dyDescent="0.3"/>
  </sheetData>
  <customSheetViews>
    <customSheetView guid="{121E4431-22F3-11D5-8242-00600818425F}" scale="75" showRuler="0">
      <selection activeCell="C25" sqref="C25"/>
      <pageMargins left="0" right="0" top="0.5" bottom="0.4" header="0.2" footer="0.2"/>
      <printOptions horizontalCentered="1"/>
      <pageSetup scale="60" orientation="landscape" horizontalDpi="300" vertic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showRuler="0">
      <selection activeCell="D26" sqref="D26"/>
      <pageMargins left="0" right="0" top="0.5" bottom="0.4" header="0.2" footer="0.2"/>
      <printOptions horizontalCentered="1"/>
      <pageSetup scale="60" orientation="landscape" horizontalDpi="300" vertic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showRuler="0">
      <selection activeCell="D26" sqref="D26"/>
      <pageMargins left="0" right="0" top="0.5" bottom="0.4" header="0.2" footer="0.2"/>
      <printOptions horizontalCentered="1"/>
      <pageSetup scale="60" orientation="landscape" horizontalDpi="300" verticalDpi="30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/>
  <pageMargins left="0" right="0" top="0.5" bottom="0.4" header="0.2" footer="0.2"/>
  <pageSetup scale="60" orientation="landscape" horizontalDpi="300" verticalDpi="300" r:id="rId4"/>
  <headerFooter alignWithMargins="0">
    <oddFooter>&amp;L&amp;8&amp;F&amp;C&amp;8&amp;A
page &amp;P&amp;R&amp;8&amp;D
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L26"/>
  <sheetViews>
    <sheetView zoomScale="75" zoomScaleNormal="75" workbookViewId="0">
      <pane xSplit="2" ySplit="9" topLeftCell="C10" activePane="bottomRight" state="frozen"/>
      <selection activeCell="AK9" sqref="AK9"/>
      <selection pane="topRight" activeCell="AK9" sqref="AK9"/>
      <selection pane="bottomLeft" activeCell="AK9" sqref="AK9"/>
      <selection pane="bottomRight" activeCell="C10" sqref="C10"/>
    </sheetView>
  </sheetViews>
  <sheetFormatPr defaultColWidth="9.1796875" defaultRowHeight="13" x14ac:dyDescent="0.3"/>
  <cols>
    <col min="1" max="1" width="9.1796875" style="70" customWidth="1"/>
    <col min="2" max="2" width="22.54296875" style="70" customWidth="1"/>
    <col min="3" max="3" width="11.54296875" style="70" bestFit="1" customWidth="1"/>
    <col min="4" max="4" width="15.1796875" style="70" bestFit="1" customWidth="1"/>
    <col min="5" max="8" width="16" style="70" customWidth="1"/>
    <col min="9" max="9" width="13.54296875" style="70" bestFit="1" customWidth="1"/>
    <col min="10" max="10" width="11.453125" style="70" bestFit="1" customWidth="1"/>
    <col min="11" max="11" width="13.54296875" style="70" customWidth="1"/>
    <col min="12" max="12" width="12.453125" style="70" bestFit="1" customWidth="1"/>
    <col min="13" max="13" width="13.54296875" style="70" bestFit="1" customWidth="1"/>
    <col min="14" max="14" width="13.453125" style="70" bestFit="1" customWidth="1"/>
    <col min="15" max="15" width="11.81640625" style="70" bestFit="1" customWidth="1"/>
    <col min="16" max="16" width="11.453125" style="70" bestFit="1" customWidth="1"/>
    <col min="17" max="17" width="12.1796875" style="70" customWidth="1"/>
    <col min="18" max="18" width="11.81640625" style="70" bestFit="1" customWidth="1"/>
    <col min="19" max="20" width="12.1796875" style="70" bestFit="1" customWidth="1"/>
    <col min="21" max="21" width="11.81640625" style="70" bestFit="1" customWidth="1"/>
    <col min="22" max="22" width="12" style="70" bestFit="1" customWidth="1"/>
    <col min="23" max="23" width="11.81640625" style="70" bestFit="1" customWidth="1"/>
    <col min="24" max="25" width="12" style="70" bestFit="1" customWidth="1"/>
    <col min="26" max="27" width="11.81640625" style="70" bestFit="1" customWidth="1"/>
    <col min="28" max="28" width="12.1796875" style="70" bestFit="1" customWidth="1"/>
    <col min="29" max="31" width="12" style="70" customWidth="1"/>
    <col min="32" max="32" width="12.1796875" style="70" bestFit="1" customWidth="1"/>
    <col min="33" max="33" width="11.81640625" style="70" bestFit="1" customWidth="1"/>
    <col min="34" max="34" width="13.1796875" style="70" bestFit="1" customWidth="1"/>
    <col min="35" max="35" width="9.1796875" style="70"/>
    <col min="36" max="37" width="15" style="70" bestFit="1" customWidth="1"/>
    <col min="38" max="38" width="11" style="70" bestFit="1" customWidth="1"/>
    <col min="39" max="16384" width="9.1796875" style="70"/>
  </cols>
  <sheetData>
    <row r="1" spans="1:38" x14ac:dyDescent="0.3">
      <c r="A1" s="385" t="s">
        <v>154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88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61"/>
    </row>
    <row r="2" spans="1:38" x14ac:dyDescent="0.3">
      <c r="A2" s="386" t="s">
        <v>1042</v>
      </c>
      <c r="B2" s="383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387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2"/>
    </row>
    <row r="3" spans="1:38" ht="13.5" thickBot="1" x14ac:dyDescent="0.35">
      <c r="A3" s="389" t="s">
        <v>1300</v>
      </c>
      <c r="B3" s="390"/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2"/>
      <c r="O3" s="370"/>
      <c r="P3" s="394"/>
      <c r="Q3" s="370"/>
      <c r="R3" s="370"/>
      <c r="S3" s="370"/>
      <c r="T3" s="370"/>
      <c r="U3" s="370"/>
      <c r="V3" s="370"/>
      <c r="W3" s="370"/>
      <c r="X3" s="370"/>
      <c r="Y3" s="370"/>
      <c r="Z3" s="370"/>
      <c r="AA3" s="370"/>
      <c r="AB3" s="370"/>
      <c r="AC3" s="370"/>
      <c r="AD3" s="370"/>
      <c r="AE3" s="370"/>
      <c r="AF3" s="370"/>
      <c r="AG3" s="370"/>
      <c r="AH3" s="395"/>
    </row>
    <row r="4" spans="1:38" x14ac:dyDescent="0.3">
      <c r="A4" s="363"/>
      <c r="B4" s="364"/>
      <c r="C4" s="364"/>
      <c r="D4" s="364"/>
      <c r="E4" s="364"/>
      <c r="F4" s="364"/>
      <c r="G4" s="364"/>
      <c r="H4" s="364"/>
      <c r="I4" s="364"/>
      <c r="J4" s="365"/>
      <c r="K4" s="365"/>
      <c r="L4" s="364"/>
      <c r="M4" s="364"/>
      <c r="N4" s="364"/>
      <c r="O4" s="364"/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64"/>
      <c r="AA4" s="364"/>
      <c r="AB4" s="364"/>
      <c r="AC4" s="364"/>
      <c r="AD4" s="364"/>
      <c r="AE4" s="364"/>
      <c r="AF4" s="364"/>
      <c r="AG4" s="364"/>
      <c r="AH4" s="362"/>
    </row>
    <row r="5" spans="1:38" x14ac:dyDescent="0.3">
      <c r="A5" s="363"/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96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2"/>
    </row>
    <row r="6" spans="1:38" x14ac:dyDescent="0.3">
      <c r="A6" s="397"/>
      <c r="B6" s="396"/>
      <c r="C6" s="396"/>
      <c r="D6" s="257" t="s">
        <v>544</v>
      </c>
      <c r="E6" s="258"/>
      <c r="F6" s="258"/>
      <c r="G6" s="258"/>
      <c r="H6" s="258"/>
      <c r="I6" s="259"/>
      <c r="J6" s="258"/>
      <c r="K6" s="259"/>
      <c r="L6" s="262"/>
      <c r="M6" s="262"/>
      <c r="N6" s="265" t="s">
        <v>922</v>
      </c>
      <c r="O6" s="265"/>
      <c r="P6" s="265"/>
      <c r="Q6" s="266"/>
      <c r="R6" s="264" t="s">
        <v>923</v>
      </c>
      <c r="S6" s="288"/>
      <c r="T6" s="265"/>
      <c r="U6" s="265"/>
      <c r="V6" s="266"/>
      <c r="W6" s="265"/>
      <c r="X6" s="257" t="s">
        <v>907</v>
      </c>
      <c r="Y6" s="258"/>
      <c r="Z6" s="259"/>
      <c r="AA6" s="191"/>
      <c r="AB6" s="257" t="s">
        <v>85</v>
      </c>
      <c r="AC6" s="258"/>
      <c r="AD6" s="258"/>
      <c r="AE6" s="258"/>
      <c r="AF6" s="257" t="s">
        <v>912</v>
      </c>
      <c r="AG6" s="258"/>
      <c r="AH6" s="398"/>
      <c r="AI6" s="35"/>
      <c r="AJ6" s="35"/>
    </row>
    <row r="7" spans="1:38" x14ac:dyDescent="0.3">
      <c r="A7" s="399" t="s">
        <v>546</v>
      </c>
      <c r="B7" s="400"/>
      <c r="C7" s="364"/>
      <c r="D7" s="195" t="s">
        <v>357</v>
      </c>
      <c r="E7" s="196" t="s">
        <v>924</v>
      </c>
      <c r="F7" s="196"/>
      <c r="G7" s="196"/>
      <c r="H7" s="196"/>
      <c r="I7" s="196" t="s">
        <v>924</v>
      </c>
      <c r="J7" s="269"/>
      <c r="K7" s="197" t="s">
        <v>79</v>
      </c>
      <c r="L7" s="198" t="s">
        <v>357</v>
      </c>
      <c r="M7" s="198" t="s">
        <v>357</v>
      </c>
      <c r="N7" s="271"/>
      <c r="O7" s="271" t="s">
        <v>925</v>
      </c>
      <c r="P7" s="271" t="s">
        <v>926</v>
      </c>
      <c r="Q7" s="216"/>
      <c r="R7" s="270" t="s">
        <v>925</v>
      </c>
      <c r="S7" s="271" t="s">
        <v>926</v>
      </c>
      <c r="T7" s="271"/>
      <c r="U7" s="263"/>
      <c r="V7" s="263"/>
      <c r="W7" s="216" t="s">
        <v>1010</v>
      </c>
      <c r="X7" s="271" t="s">
        <v>357</v>
      </c>
      <c r="Y7" s="270"/>
      <c r="Z7" s="270" t="s">
        <v>994</v>
      </c>
      <c r="AA7" s="215" t="s">
        <v>357</v>
      </c>
      <c r="AB7" s="215" t="s">
        <v>357</v>
      </c>
      <c r="AC7" s="215" t="s">
        <v>86</v>
      </c>
      <c r="AD7" s="215" t="s">
        <v>1003</v>
      </c>
      <c r="AE7" s="272"/>
      <c r="AF7" s="215" t="s">
        <v>911</v>
      </c>
      <c r="AG7" s="270"/>
      <c r="AH7" s="217" t="s">
        <v>357</v>
      </c>
      <c r="AI7" s="35"/>
    </row>
    <row r="8" spans="1:38" x14ac:dyDescent="0.3">
      <c r="A8" s="363" t="s">
        <v>359</v>
      </c>
      <c r="B8" s="401"/>
      <c r="C8" s="364"/>
      <c r="D8" s="186" t="s">
        <v>544</v>
      </c>
      <c r="E8" s="196" t="s">
        <v>928</v>
      </c>
      <c r="F8" s="196" t="s">
        <v>1140</v>
      </c>
      <c r="G8" s="196" t="s">
        <v>1139</v>
      </c>
      <c r="H8" s="196" t="s">
        <v>947</v>
      </c>
      <c r="I8" s="196" t="s">
        <v>927</v>
      </c>
      <c r="J8" s="196" t="s">
        <v>617</v>
      </c>
      <c r="K8" s="187" t="s">
        <v>80</v>
      </c>
      <c r="L8" s="198" t="s">
        <v>366</v>
      </c>
      <c r="M8" s="198" t="s">
        <v>367</v>
      </c>
      <c r="N8" s="196" t="s">
        <v>929</v>
      </c>
      <c r="O8" s="196" t="s">
        <v>930</v>
      </c>
      <c r="P8" s="196" t="s">
        <v>930</v>
      </c>
      <c r="Q8" s="187" t="s">
        <v>931</v>
      </c>
      <c r="R8" s="200" t="s">
        <v>930</v>
      </c>
      <c r="S8" s="196" t="s">
        <v>930</v>
      </c>
      <c r="T8" s="196" t="s">
        <v>931</v>
      </c>
      <c r="U8" s="196" t="s">
        <v>456</v>
      </c>
      <c r="V8" s="196" t="s">
        <v>932</v>
      </c>
      <c r="W8" s="187" t="s">
        <v>1011</v>
      </c>
      <c r="X8" s="196" t="s">
        <v>907</v>
      </c>
      <c r="Y8" s="200" t="s">
        <v>907</v>
      </c>
      <c r="Z8" s="200" t="s">
        <v>995</v>
      </c>
      <c r="AA8" s="186" t="s">
        <v>84</v>
      </c>
      <c r="AB8" s="186" t="s">
        <v>82</v>
      </c>
      <c r="AC8" s="186" t="s">
        <v>87</v>
      </c>
      <c r="AD8" s="186" t="s">
        <v>1004</v>
      </c>
      <c r="AE8" s="186" t="s">
        <v>1005</v>
      </c>
      <c r="AF8" s="186" t="s">
        <v>912</v>
      </c>
      <c r="AG8" s="200" t="s">
        <v>1006</v>
      </c>
      <c r="AH8" s="219" t="s">
        <v>913</v>
      </c>
      <c r="AI8" s="35"/>
      <c r="AJ8" s="5" t="s">
        <v>357</v>
      </c>
      <c r="AK8" s="4"/>
      <c r="AL8" s="4"/>
    </row>
    <row r="9" spans="1:38" ht="13.5" thickBot="1" x14ac:dyDescent="0.35">
      <c r="A9" s="369"/>
      <c r="B9" s="402"/>
      <c r="C9" s="370"/>
      <c r="D9" s="281" t="s">
        <v>815</v>
      </c>
      <c r="E9" s="282" t="s">
        <v>816</v>
      </c>
      <c r="F9" s="282"/>
      <c r="G9" s="282"/>
      <c r="H9" s="282"/>
      <c r="I9" s="282" t="s">
        <v>817</v>
      </c>
      <c r="J9" s="282" t="s">
        <v>818</v>
      </c>
      <c r="K9" s="282" t="s">
        <v>819</v>
      </c>
      <c r="L9" s="234" t="s">
        <v>820</v>
      </c>
      <c r="M9" s="282" t="s">
        <v>821</v>
      </c>
      <c r="N9" s="281" t="s">
        <v>822</v>
      </c>
      <c r="O9" s="282" t="s">
        <v>823</v>
      </c>
      <c r="P9" s="282" t="s">
        <v>908</v>
      </c>
      <c r="Q9" s="282" t="s">
        <v>914</v>
      </c>
      <c r="R9" s="281" t="s">
        <v>915</v>
      </c>
      <c r="S9" s="282" t="s">
        <v>916</v>
      </c>
      <c r="T9" s="282" t="s">
        <v>917</v>
      </c>
      <c r="U9" s="282" t="s">
        <v>918</v>
      </c>
      <c r="V9" s="282" t="s">
        <v>934</v>
      </c>
      <c r="W9" s="283" t="s">
        <v>935</v>
      </c>
      <c r="X9" s="282" t="s">
        <v>936</v>
      </c>
      <c r="Y9" s="234" t="s">
        <v>937</v>
      </c>
      <c r="Z9" s="234" t="s">
        <v>938</v>
      </c>
      <c r="AA9" s="234" t="s">
        <v>939</v>
      </c>
      <c r="AB9" s="234" t="s">
        <v>985</v>
      </c>
      <c r="AC9" s="234" t="s">
        <v>986</v>
      </c>
      <c r="AD9" s="234" t="s">
        <v>987</v>
      </c>
      <c r="AE9" s="234" t="s">
        <v>988</v>
      </c>
      <c r="AF9" s="234" t="s">
        <v>989</v>
      </c>
      <c r="AG9" s="234" t="s">
        <v>990</v>
      </c>
      <c r="AH9" s="235" t="s">
        <v>991</v>
      </c>
      <c r="AI9" s="35"/>
      <c r="AJ9" s="5" t="s">
        <v>365</v>
      </c>
      <c r="AK9" s="6" t="s">
        <v>933</v>
      </c>
      <c r="AL9" s="6" t="s">
        <v>824</v>
      </c>
    </row>
    <row r="10" spans="1:38" x14ac:dyDescent="0.3">
      <c r="A10" s="75"/>
      <c r="B10" s="76"/>
      <c r="C10" s="76"/>
      <c r="D10" s="76"/>
      <c r="E10" s="76"/>
      <c r="F10" s="660"/>
      <c r="G10" s="660"/>
      <c r="H10" s="660"/>
      <c r="I10" s="76"/>
      <c r="J10" s="76"/>
      <c r="K10" s="76"/>
      <c r="L10" s="76"/>
      <c r="M10" s="76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3"/>
      <c r="AI10" s="72"/>
      <c r="AJ10" s="72"/>
    </row>
    <row r="11" spans="1:38" ht="14.5" x14ac:dyDescent="0.3">
      <c r="A11" s="78" t="s">
        <v>1228</v>
      </c>
      <c r="B11" s="72"/>
      <c r="C11" s="76"/>
      <c r="D11" s="40">
        <f>'8a. DS-Cash '!G11</f>
        <v>194662355.63</v>
      </c>
      <c r="E11" s="40">
        <f>E$22/$D$22*$D11</f>
        <v>188277390.89865169</v>
      </c>
      <c r="F11" s="661"/>
      <c r="G11" s="661"/>
      <c r="H11" s="661"/>
      <c r="I11" s="40">
        <f>I$22/$D$22*$D11</f>
        <v>6384964.7313483134</v>
      </c>
      <c r="J11" s="40">
        <f>J$22/$D$22*$D11</f>
        <v>0</v>
      </c>
      <c r="K11" s="40"/>
      <c r="L11" s="40">
        <f>'8a. DS-Cash '!H11</f>
        <v>32542419.640000001</v>
      </c>
      <c r="M11" s="40">
        <f>'8a. DS-Cash '!I11</f>
        <v>131670414.92717849</v>
      </c>
      <c r="N11" s="40">
        <f t="shared" ref="N11:W11" si="0">N22/$M$22*$M11</f>
        <v>22423783.062046431</v>
      </c>
      <c r="O11" s="40">
        <f t="shared" si="0"/>
        <v>37350409.854147315</v>
      </c>
      <c r="P11" s="40">
        <f t="shared" si="0"/>
        <v>9991424.7403450608</v>
      </c>
      <c r="Q11" s="40">
        <f t="shared" si="0"/>
        <v>10392936.14867891</v>
      </c>
      <c r="R11" s="40">
        <f t="shared" si="0"/>
        <v>20816970.366229925</v>
      </c>
      <c r="S11" s="40">
        <f t="shared" si="0"/>
        <v>5156383.189330101</v>
      </c>
      <c r="T11" s="40">
        <f t="shared" si="0"/>
        <v>11361017.740505479</v>
      </c>
      <c r="U11" s="40">
        <f t="shared" si="0"/>
        <v>7598813.9970407877</v>
      </c>
      <c r="V11" s="40">
        <f t="shared" si="0"/>
        <v>6547797.7392697642</v>
      </c>
      <c r="W11" s="40">
        <f t="shared" si="0"/>
        <v>30878.089584732337</v>
      </c>
      <c r="X11" s="72">
        <f>'8a. DS-Cash '!J11</f>
        <v>9523874.5472310148</v>
      </c>
      <c r="Y11" s="72">
        <f>Y$22/$X$22*$X11</f>
        <v>8795932.2154557519</v>
      </c>
      <c r="Z11" s="72">
        <f>Z$22/$X$22*$X11</f>
        <v>727942.33177526272</v>
      </c>
      <c r="AA11" s="72">
        <f>'8a. DS-Cash '!K11</f>
        <v>555779.08889031655</v>
      </c>
      <c r="AB11" s="72">
        <f>'8a. DS-Cash '!L11</f>
        <v>2606336.511108852</v>
      </c>
      <c r="AC11" s="72">
        <f>AC$22/$AB$22*$AB11</f>
        <v>2375147.2773248046</v>
      </c>
      <c r="AD11" s="72">
        <f>AD$22/$AB$22*$AB11</f>
        <v>231189.2337840471</v>
      </c>
      <c r="AE11" s="72">
        <f>AE$22/$AB$22*$AB11</f>
        <v>0</v>
      </c>
      <c r="AF11" s="72">
        <f>'8a. DS-Cash '!M11</f>
        <v>518421.72659935633</v>
      </c>
      <c r="AG11" s="72">
        <f>$AF11*AG22/$AF22</f>
        <v>518421.72659935639</v>
      </c>
      <c r="AH11" s="73">
        <f>'8a. DS-Cash '!N11</f>
        <v>-2016210.0210080447</v>
      </c>
      <c r="AI11" s="72"/>
      <c r="AJ11" s="72">
        <f>'8a. DS-Cash '!F11</f>
        <v>370063392.06999999</v>
      </c>
      <c r="AK11" s="4">
        <f>SUM(E11,I11:K11,L11,N11:W11,Y11:Z11,AA11:AA11,AC11:AE11,AG11:AH11)</f>
        <v>370063392.04999989</v>
      </c>
      <c r="AL11" s="70">
        <f>AK11-AJ11</f>
        <v>-2.0000100135803223E-2</v>
      </c>
    </row>
    <row r="12" spans="1:38" x14ac:dyDescent="0.3">
      <c r="A12" s="75"/>
      <c r="B12" s="87"/>
      <c r="C12" s="76"/>
      <c r="D12" s="77"/>
      <c r="E12" s="40"/>
      <c r="F12" s="661"/>
      <c r="G12" s="661"/>
      <c r="H12" s="661"/>
      <c r="I12" s="40"/>
      <c r="J12" s="40"/>
      <c r="K12" s="40"/>
      <c r="L12" s="40"/>
      <c r="M12" s="40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3"/>
      <c r="AI12" s="72"/>
      <c r="AJ12" s="72"/>
      <c r="AK12" s="4"/>
    </row>
    <row r="13" spans="1:38" ht="14.5" x14ac:dyDescent="0.3">
      <c r="A13" s="78" t="s">
        <v>1229</v>
      </c>
      <c r="B13" s="72"/>
      <c r="C13" s="76"/>
      <c r="D13" s="40">
        <f>'8a. DS-Cash '!G13</f>
        <v>2943425.5400000005</v>
      </c>
      <c r="E13" s="40">
        <f>$D13*E22/$D22</f>
        <v>2846880.585525231</v>
      </c>
      <c r="F13" s="661"/>
      <c r="G13" s="661"/>
      <c r="H13" s="661"/>
      <c r="I13" s="40">
        <f>$D13*I22/$D22</f>
        <v>96544.954474770158</v>
      </c>
      <c r="J13" s="40">
        <f>$D13*J22/$D22</f>
        <v>0</v>
      </c>
      <c r="K13" s="40"/>
      <c r="L13" s="40">
        <f>'8a. DS-Cash '!H13</f>
        <v>324108.45</v>
      </c>
      <c r="M13" s="40">
        <f>'8a. DS-Cash '!I13</f>
        <v>1479805.2817564094</v>
      </c>
      <c r="N13" s="40">
        <f t="shared" ref="N13:W13" si="1">$M13*N22/$M22</f>
        <v>252014.33921605154</v>
      </c>
      <c r="O13" s="40">
        <f t="shared" si="1"/>
        <v>419770.33191930124</v>
      </c>
      <c r="P13" s="40">
        <f t="shared" si="1"/>
        <v>112290.70031571985</v>
      </c>
      <c r="Q13" s="40">
        <f t="shared" si="1"/>
        <v>116803.16959795372</v>
      </c>
      <c r="R13" s="40">
        <f t="shared" si="1"/>
        <v>233955.84129624499</v>
      </c>
      <c r="S13" s="40">
        <f t="shared" si="1"/>
        <v>57951.082500580931</v>
      </c>
      <c r="T13" s="40">
        <f t="shared" si="1"/>
        <v>127683.15545923021</v>
      </c>
      <c r="U13" s="40">
        <f t="shared" si="1"/>
        <v>85400.847974273565</v>
      </c>
      <c r="V13" s="40">
        <f t="shared" si="1"/>
        <v>73588.783659586115</v>
      </c>
      <c r="W13" s="40">
        <f t="shared" si="1"/>
        <v>347.02981746739175</v>
      </c>
      <c r="X13" s="40">
        <f>'8a. DS-Cash '!J13</f>
        <v>107036.04044668967</v>
      </c>
      <c r="Y13" s="72">
        <f>Y$22/$X$22*$X13</f>
        <v>98854.909492018705</v>
      </c>
      <c r="Z13" s="72">
        <f>Z$22/$X$22*$X13</f>
        <v>8181.130954670969</v>
      </c>
      <c r="AA13" s="40">
        <f>'8a. DS-Cash '!K13</f>
        <v>6246.2386230385628</v>
      </c>
      <c r="AB13" s="40">
        <f>'8a. DS-Cash '!L13</f>
        <v>29291.853734238852</v>
      </c>
      <c r="AC13" s="72">
        <f>AC$22/$AB$22*$AB13</f>
        <v>26693.585555103389</v>
      </c>
      <c r="AD13" s="72">
        <f>AD$22/$AB$22*$AB13</f>
        <v>2598.268179135458</v>
      </c>
      <c r="AE13" s="72">
        <f>AE$22/$AB$22*$AB13</f>
        <v>0</v>
      </c>
      <c r="AF13" s="40">
        <f>'8a. DS-Cash '!M13</f>
        <v>5826.3901547154037</v>
      </c>
      <c r="AG13" s="72">
        <f>$AF13*AG22/$AF22</f>
        <v>5826.3901547154037</v>
      </c>
      <c r="AH13" s="88">
        <f>'8a. DS-Cash '!N13</f>
        <v>-22659.594715092317</v>
      </c>
      <c r="AI13" s="72"/>
      <c r="AJ13" s="72">
        <f>'8a. DS-Cash '!F13</f>
        <v>4873080.2000000011</v>
      </c>
      <c r="AK13" s="4">
        <f t="shared" ref="AK13:AK25" si="2">SUM(E13,I13:K13,L13,N13:W13,Y13:Z13,AA13:AA13,AC13:AE13,AG13:AH13)</f>
        <v>4873080.2</v>
      </c>
      <c r="AL13" s="70">
        <f>AK13-AJ13</f>
        <v>0</v>
      </c>
    </row>
    <row r="14" spans="1:38" x14ac:dyDescent="0.3">
      <c r="A14" s="75"/>
      <c r="B14" s="76"/>
      <c r="C14" s="76"/>
      <c r="D14" s="40"/>
      <c r="E14" s="40"/>
      <c r="F14" s="661"/>
      <c r="G14" s="661"/>
      <c r="H14" s="661"/>
      <c r="I14" s="40"/>
      <c r="J14" s="40"/>
      <c r="K14" s="40"/>
      <c r="L14" s="40"/>
      <c r="M14" s="40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3"/>
      <c r="AI14" s="72"/>
      <c r="AJ14" s="72"/>
      <c r="AK14" s="4"/>
    </row>
    <row r="15" spans="1:38" ht="14.5" x14ac:dyDescent="0.3">
      <c r="A15" s="75" t="s">
        <v>1224</v>
      </c>
      <c r="B15" s="76"/>
      <c r="C15" s="76"/>
      <c r="D15" s="40">
        <f>'8a. DS-Cash '!G15</f>
        <v>0</v>
      </c>
      <c r="E15" s="40">
        <f>$D15*E22/$D22</f>
        <v>0</v>
      </c>
      <c r="F15" s="661"/>
      <c r="G15" s="661"/>
      <c r="H15" s="661"/>
      <c r="I15" s="40">
        <f>$D15*I22/$D22</f>
        <v>0</v>
      </c>
      <c r="J15" s="40">
        <f>$D15*J22/$D22</f>
        <v>0</v>
      </c>
      <c r="K15" s="40"/>
      <c r="L15" s="40">
        <f>'8a. DS-Cash '!H15</f>
        <v>0</v>
      </c>
      <c r="M15" s="40">
        <f>'8a. DS-Cash '!I15</f>
        <v>0</v>
      </c>
      <c r="N15" s="40">
        <f t="shared" ref="N15:W15" si="3">$M15*N22/$M22</f>
        <v>0</v>
      </c>
      <c r="O15" s="40">
        <f t="shared" si="3"/>
        <v>0</v>
      </c>
      <c r="P15" s="40">
        <f t="shared" si="3"/>
        <v>0</v>
      </c>
      <c r="Q15" s="40">
        <f t="shared" si="3"/>
        <v>0</v>
      </c>
      <c r="R15" s="40">
        <f t="shared" si="3"/>
        <v>0</v>
      </c>
      <c r="S15" s="40">
        <f t="shared" si="3"/>
        <v>0</v>
      </c>
      <c r="T15" s="40">
        <f t="shared" si="3"/>
        <v>0</v>
      </c>
      <c r="U15" s="40">
        <f t="shared" si="3"/>
        <v>0</v>
      </c>
      <c r="V15" s="40">
        <f t="shared" si="3"/>
        <v>0</v>
      </c>
      <c r="W15" s="40">
        <f t="shared" si="3"/>
        <v>0</v>
      </c>
      <c r="X15" s="72">
        <f>'8a. DS-Cash '!J15</f>
        <v>0</v>
      </c>
      <c r="Y15" s="72">
        <f>$X15*Y22/$X22</f>
        <v>0</v>
      </c>
      <c r="Z15" s="72">
        <f>$X15*Z22/$X22</f>
        <v>0</v>
      </c>
      <c r="AA15" s="72">
        <f>'8a. DS-Cash '!K15</f>
        <v>0</v>
      </c>
      <c r="AB15" s="72">
        <f>'8a. DS-Cash '!L15</f>
        <v>0</v>
      </c>
      <c r="AC15" s="72">
        <f>AC$22/$AB$22*$AB15</f>
        <v>0</v>
      </c>
      <c r="AD15" s="72">
        <f>AD$22/$AB$22*$AB15</f>
        <v>0</v>
      </c>
      <c r="AE15" s="72">
        <f>AE$22/$AB$22*$AB15</f>
        <v>0</v>
      </c>
      <c r="AF15" s="72">
        <f>'8a. DS-Cash '!M15</f>
        <v>0</v>
      </c>
      <c r="AG15" s="72">
        <f>$AF15*AG22/$AF22</f>
        <v>0</v>
      </c>
      <c r="AH15" s="73">
        <f>'8a. DS-Cash '!N15</f>
        <v>0</v>
      </c>
      <c r="AI15" s="72"/>
      <c r="AJ15" s="72">
        <f>'8a. DS-Cash '!F15</f>
        <v>0</v>
      </c>
      <c r="AK15" s="4">
        <f t="shared" si="2"/>
        <v>0</v>
      </c>
      <c r="AL15" s="70">
        <f>AK15-AJ15</f>
        <v>0</v>
      </c>
    </row>
    <row r="16" spans="1:38" x14ac:dyDescent="0.3">
      <c r="A16" s="75"/>
      <c r="B16" s="76"/>
      <c r="C16" s="76"/>
      <c r="D16" s="40"/>
      <c r="E16" s="40"/>
      <c r="F16" s="661"/>
      <c r="G16" s="661"/>
      <c r="H16" s="661"/>
      <c r="I16" s="40"/>
      <c r="J16" s="40"/>
      <c r="K16" s="40"/>
      <c r="L16" s="40"/>
      <c r="M16" s="40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3"/>
      <c r="AI16" s="72"/>
      <c r="AJ16" s="72"/>
      <c r="AK16" s="4"/>
    </row>
    <row r="17" spans="1:38" s="71" customFormat="1" x14ac:dyDescent="0.3">
      <c r="A17" s="80" t="s">
        <v>1017</v>
      </c>
      <c r="B17" s="83"/>
      <c r="C17" s="82"/>
      <c r="D17" s="83">
        <f>'8a. DS-Cash '!G20</f>
        <v>83781010.040029466</v>
      </c>
      <c r="E17" s="83">
        <f>$D17*E22/$D22</f>
        <v>81032975.924593717</v>
      </c>
      <c r="F17" s="661"/>
      <c r="G17" s="661"/>
      <c r="H17" s="661"/>
      <c r="I17" s="83">
        <f>$D17*I22/$D22</f>
        <v>2748034.1154357539</v>
      </c>
      <c r="J17" s="83">
        <f>$D17*J22/$D22</f>
        <v>0</v>
      </c>
      <c r="K17" s="83"/>
      <c r="L17" s="83">
        <f>'8a. DS-Cash '!H20</f>
        <v>30701008.972941764</v>
      </c>
      <c r="M17" s="83">
        <f>'8a. DS-Cash '!I20</f>
        <v>39556513.133117981</v>
      </c>
      <c r="N17" s="83">
        <f>$M17*N22/$M22</f>
        <v>6736567.7375482954</v>
      </c>
      <c r="O17" s="83">
        <f t="shared" ref="O17:W17" si="4">$M17*O22/$M22</f>
        <v>11220834.830208711</v>
      </c>
      <c r="P17" s="83">
        <f t="shared" si="4"/>
        <v>3001630.4283585846</v>
      </c>
      <c r="Q17" s="83">
        <f t="shared" si="4"/>
        <v>3122252.7511912305</v>
      </c>
      <c r="R17" s="83">
        <f t="shared" si="4"/>
        <v>6253848.0047998372</v>
      </c>
      <c r="S17" s="83">
        <f t="shared" si="4"/>
        <v>1549084.0479308248</v>
      </c>
      <c r="T17" s="83">
        <f t="shared" si="4"/>
        <v>3413084.4632519567</v>
      </c>
      <c r="U17" s="83">
        <f t="shared" si="4"/>
        <v>2282840.72649353</v>
      </c>
      <c r="V17" s="83">
        <f t="shared" si="4"/>
        <v>1967093.7272406367</v>
      </c>
      <c r="W17" s="83">
        <f t="shared" si="4"/>
        <v>9276.416094379143</v>
      </c>
      <c r="X17" s="84">
        <f>'8a. DS-Cash '!J20</f>
        <v>24357903.798237972</v>
      </c>
      <c r="Y17" s="83">
        <f>$X17*Y22/$X22</f>
        <v>22496145.834069695</v>
      </c>
      <c r="Z17" s="83">
        <f>$X17*Z22/$X22</f>
        <v>1861757.9641682764</v>
      </c>
      <c r="AA17" s="84">
        <f>'8a. DS-Cash '!K20</f>
        <v>1128816.6600074177</v>
      </c>
      <c r="AB17" s="84">
        <f>'8a. DS-Cash '!L20</f>
        <v>5765239.3589558424</v>
      </c>
      <c r="AC17" s="84">
        <f>AC$22/$AB$22*$AB17</f>
        <v>5253846.7339829542</v>
      </c>
      <c r="AD17" s="84">
        <f>AD$22/$AB$22*$AB17</f>
        <v>511392.6249728871</v>
      </c>
      <c r="AE17" s="84">
        <f>AE$22/$AB$22*$AB17</f>
        <v>0</v>
      </c>
      <c r="AF17" s="84">
        <f>'8a. DS-Cash '!M20</f>
        <v>2128006.7634274056</v>
      </c>
      <c r="AG17" s="83">
        <f>$AF17*AG22/$AF22</f>
        <v>2128006.7634274056</v>
      </c>
      <c r="AH17" s="85">
        <f>'8a. DS-Cash '!N20</f>
        <v>0</v>
      </c>
      <c r="AI17" s="84"/>
      <c r="AJ17" s="84">
        <f>'8a. DS-Cash '!F20</f>
        <v>187418498.72671783</v>
      </c>
      <c r="AK17" s="4">
        <f t="shared" si="2"/>
        <v>187418498.72671786</v>
      </c>
      <c r="AL17" s="71">
        <f>AK17-AJ17</f>
        <v>0</v>
      </c>
    </row>
    <row r="18" spans="1:38" x14ac:dyDescent="0.3">
      <c r="A18" s="75"/>
      <c r="B18" s="76"/>
      <c r="C18" s="76"/>
      <c r="D18" s="40"/>
      <c r="E18" s="40"/>
      <c r="F18" s="661"/>
      <c r="G18" s="661"/>
      <c r="H18" s="661"/>
      <c r="I18" s="40"/>
      <c r="J18" s="40"/>
      <c r="K18" s="40"/>
      <c r="L18" s="40"/>
      <c r="M18" s="40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3"/>
      <c r="AI18" s="72"/>
      <c r="AJ18" s="72"/>
      <c r="AK18" s="4"/>
    </row>
    <row r="19" spans="1:38" ht="14.5" x14ac:dyDescent="0.3">
      <c r="A19" s="75" t="s">
        <v>1225</v>
      </c>
      <c r="B19" s="76"/>
      <c r="C19" s="76"/>
      <c r="D19" s="89">
        <f>'8a. DS-Cash '!G24</f>
        <v>6149759.370575917</v>
      </c>
      <c r="E19" s="40">
        <f>D19*E22/D22</f>
        <v>5948046.0163923278</v>
      </c>
      <c r="F19" s="661"/>
      <c r="G19" s="661"/>
      <c r="H19" s="661"/>
      <c r="I19" s="40">
        <f>E19*I22/E22</f>
        <v>201713.35418358946</v>
      </c>
      <c r="J19" s="40">
        <f>I19*J22/I22</f>
        <v>0</v>
      </c>
      <c r="K19" s="40"/>
      <c r="L19" s="89">
        <f>'8a. DS-Cash '!H24</f>
        <v>1495592.9520059982</v>
      </c>
      <c r="M19" s="89">
        <f>'8a. DS-Cash '!I24</f>
        <v>3904355.7512052124</v>
      </c>
      <c r="N19" s="40">
        <f>$M19*N22/$M22</f>
        <v>664921.01821430086</v>
      </c>
      <c r="O19" s="40">
        <f t="shared" ref="O19:W19" si="5">$M19*O22/$M22</f>
        <v>1107532.6800220392</v>
      </c>
      <c r="P19" s="40">
        <f t="shared" si="5"/>
        <v>296270.62897367764</v>
      </c>
      <c r="Q19" s="40">
        <f t="shared" si="5"/>
        <v>308176.44226643414</v>
      </c>
      <c r="R19" s="40">
        <f t="shared" si="5"/>
        <v>617275.01973020425</v>
      </c>
      <c r="S19" s="40">
        <f t="shared" si="5"/>
        <v>152899.60445414591</v>
      </c>
      <c r="T19" s="40">
        <f t="shared" si="5"/>
        <v>336882.47264367866</v>
      </c>
      <c r="U19" s="40">
        <f t="shared" si="5"/>
        <v>225323.76121160766</v>
      </c>
      <c r="V19" s="40">
        <f t="shared" si="5"/>
        <v>194158.51142555685</v>
      </c>
      <c r="W19" s="40">
        <f t="shared" si="5"/>
        <v>915.61226356775524</v>
      </c>
      <c r="X19" s="89">
        <f>'8a. DS-Cash '!J24</f>
        <v>282406.6010557047</v>
      </c>
      <c r="Y19" s="72">
        <f>$X19*Y22/$X22</f>
        <v>260821.2978619551</v>
      </c>
      <c r="Z19" s="72">
        <f>$X19*Z22/$X22</f>
        <v>21585.303193749587</v>
      </c>
      <c r="AA19" s="89">
        <f>'8a. DS-Cash '!K24</f>
        <v>16480.23418976742</v>
      </c>
      <c r="AB19" s="89">
        <f>'8a. DS-Cash '!L24</f>
        <v>77284.368777903845</v>
      </c>
      <c r="AC19" s="72">
        <f>AC$22/$AB$22*$AB19</f>
        <v>70429.032206784788</v>
      </c>
      <c r="AD19" s="72">
        <f>AD$22/$AB$22*$AB19</f>
        <v>6855.3365711190418</v>
      </c>
      <c r="AE19" s="72">
        <f>AE$22/$AB$22*$AB19</f>
        <v>0</v>
      </c>
      <c r="AF19" s="89">
        <f>'8a. DS-Cash '!M24</f>
        <v>15372.495370829587</v>
      </c>
      <c r="AG19" s="72">
        <f>$AF19*AG22/$AF22</f>
        <v>15372.495370829585</v>
      </c>
      <c r="AH19" s="90">
        <f>'8a. DS-Cash '!N24</f>
        <v>-59785.648869029399</v>
      </c>
      <c r="AI19" s="72"/>
      <c r="AJ19" s="72">
        <f>'8a. DS-Cash '!F24</f>
        <v>11881466.124312302</v>
      </c>
      <c r="AK19" s="4">
        <f t="shared" si="2"/>
        <v>11881466.124312306</v>
      </c>
      <c r="AL19" s="70">
        <f>AK19-AJ19</f>
        <v>0</v>
      </c>
    </row>
    <row r="20" spans="1:38" x14ac:dyDescent="0.3">
      <c r="A20" s="75"/>
      <c r="B20" s="76"/>
      <c r="C20" s="76"/>
      <c r="D20" s="76"/>
      <c r="E20" s="76"/>
      <c r="F20" s="660"/>
      <c r="G20" s="660"/>
      <c r="H20" s="660"/>
      <c r="I20" s="76"/>
      <c r="J20" s="76"/>
      <c r="K20" s="76"/>
      <c r="L20" s="76"/>
      <c r="M20" s="76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3"/>
      <c r="AI20" s="72"/>
      <c r="AJ20" s="72"/>
      <c r="AK20" s="4"/>
    </row>
    <row r="21" spans="1:38" x14ac:dyDescent="0.3">
      <c r="A21" s="91" t="s">
        <v>1226</v>
      </c>
      <c r="B21" s="76"/>
      <c r="C21" s="76"/>
      <c r="D21" s="76"/>
      <c r="E21" s="76"/>
      <c r="F21" s="660"/>
      <c r="G21" s="660"/>
      <c r="H21" s="660"/>
      <c r="I21" s="76"/>
      <c r="J21" s="76"/>
      <c r="K21" s="76"/>
      <c r="L21" s="76"/>
      <c r="M21" s="76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3"/>
      <c r="AI21" s="72"/>
      <c r="AJ21" s="72"/>
      <c r="AK21" s="4"/>
    </row>
    <row r="22" spans="1:38" x14ac:dyDescent="0.3">
      <c r="A22" s="4" t="s">
        <v>129</v>
      </c>
      <c r="B22" s="76"/>
      <c r="C22" s="76"/>
      <c r="D22" s="92">
        <f>SUM(E22,I22:J22)</f>
        <v>3896343509.8863659</v>
      </c>
      <c r="E22" s="92">
        <f>'2b. RB-sf'!E197</f>
        <v>3768542652.8006301</v>
      </c>
      <c r="F22" s="662"/>
      <c r="G22" s="662"/>
      <c r="H22" s="662"/>
      <c r="I22" s="92">
        <f>'2b. RB-sf'!I197</f>
        <v>127800857.08573601</v>
      </c>
      <c r="J22" s="92">
        <f>'2b. RB-sf'!J197</f>
        <v>0</v>
      </c>
      <c r="K22" s="92"/>
      <c r="L22" s="92">
        <f>'2b. RB-sf'!L197</f>
        <v>947572667.61717868</v>
      </c>
      <c r="M22" s="92">
        <f>SUM(N22:W22)</f>
        <v>2473708363.9861646</v>
      </c>
      <c r="N22" s="92">
        <f>'2b. RB-sf'!N197</f>
        <v>421278384.69616479</v>
      </c>
      <c r="O22" s="92">
        <f>'2b. RB-sf'!O197</f>
        <v>701706767.65630925</v>
      </c>
      <c r="P22" s="92">
        <f>'2b. RB-sf'!P197</f>
        <v>187710131.86218944</v>
      </c>
      <c r="Q22" s="92">
        <f>'2b. RB-sf'!Q197</f>
        <v>195253376.33043703</v>
      </c>
      <c r="R22" s="92">
        <f>'2b. RB-sf'!R197</f>
        <v>391090995.9255079</v>
      </c>
      <c r="S22" s="92">
        <f>'2b. RB-sf'!S197</f>
        <v>96873608.474751219</v>
      </c>
      <c r="T22" s="92">
        <f>'2b. RB-sf'!T197</f>
        <v>213440844.8824794</v>
      </c>
      <c r="U22" s="92">
        <f>'2b. RB-sf'!U197</f>
        <v>142759858.02316278</v>
      </c>
      <c r="V22" s="92">
        <f>'2b. RB-sf'!V197</f>
        <v>123014285.6485977</v>
      </c>
      <c r="W22" s="92">
        <f>'2b. RB-sf'!W197</f>
        <v>580110.48656534555</v>
      </c>
      <c r="X22" s="72">
        <f>Y22+Z22</f>
        <v>178926208.46877405</v>
      </c>
      <c r="Y22" s="92">
        <f>'2b. RB-sf'!Y197</f>
        <v>165250265.89282584</v>
      </c>
      <c r="Z22" s="92">
        <f>'2b. RB-sf'!Z197</f>
        <v>13675942.575948212</v>
      </c>
      <c r="AA22" s="92">
        <f>'2b. RB-sf'!AA197</f>
        <v>10441490.41569642</v>
      </c>
      <c r="AB22" s="92">
        <f>'2b. RB-sf'!AB197</f>
        <v>48965566.058440767</v>
      </c>
      <c r="AC22" s="92">
        <f>'2b. RB-sf'!AC197</f>
        <v>44622185.358902119</v>
      </c>
      <c r="AD22" s="92">
        <f>'2b. RB-sf'!AD197</f>
        <v>4343380.6995386407</v>
      </c>
      <c r="AE22" s="92">
        <f>'2b. RB-sf'!AE197</f>
        <v>0</v>
      </c>
      <c r="AF22" s="72">
        <f>SUM(AG22:AG22)</f>
        <v>9739653.0432508364</v>
      </c>
      <c r="AG22" s="92">
        <f>'2b. RB-sf'!AG197</f>
        <v>9739653.0432508364</v>
      </c>
      <c r="AH22" s="93">
        <f>'2b. RB-sf'!AH197</f>
        <v>-37878786.944044746</v>
      </c>
      <c r="AI22" s="72"/>
      <c r="AJ22" s="72">
        <f>'8a. DS-Cash '!F27</f>
        <v>7527818672.5318279</v>
      </c>
      <c r="AK22" s="4">
        <f t="shared" si="2"/>
        <v>7527818672.531826</v>
      </c>
      <c r="AL22" s="70">
        <f>AK22-AJ22</f>
        <v>0</v>
      </c>
    </row>
    <row r="23" spans="1:38" x14ac:dyDescent="0.3">
      <c r="A23" s="75"/>
      <c r="B23" s="76"/>
      <c r="C23" s="76"/>
      <c r="D23" s="76"/>
      <c r="E23" s="76"/>
      <c r="F23" s="660"/>
      <c r="G23" s="660"/>
      <c r="H23" s="660"/>
      <c r="I23" s="76"/>
      <c r="J23" s="76"/>
      <c r="K23" s="76"/>
      <c r="L23" s="76"/>
      <c r="M23" s="76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3"/>
      <c r="AI23" s="72"/>
      <c r="AJ23" s="72"/>
      <c r="AK23" s="4"/>
    </row>
    <row r="24" spans="1:38" x14ac:dyDescent="0.3">
      <c r="A24" s="91" t="s">
        <v>1227</v>
      </c>
      <c r="B24" s="72"/>
      <c r="C24" s="76"/>
      <c r="D24" s="40"/>
      <c r="E24" s="40"/>
      <c r="F24" s="661"/>
      <c r="G24" s="661"/>
      <c r="H24" s="661"/>
      <c r="I24" s="40"/>
      <c r="J24" s="40"/>
      <c r="K24" s="40"/>
      <c r="L24" s="40"/>
      <c r="M24" s="40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3"/>
      <c r="AI24" s="72"/>
      <c r="AJ24" s="72"/>
      <c r="AK24" s="4"/>
    </row>
    <row r="25" spans="1:38" x14ac:dyDescent="0.3">
      <c r="A25" s="94" t="s">
        <v>1018</v>
      </c>
      <c r="B25" s="95"/>
      <c r="C25" s="95"/>
      <c r="D25" s="96">
        <f>SUM(E25,I25:J25)</f>
        <v>251765004.97653562</v>
      </c>
      <c r="E25" s="96">
        <f>'2b. RB-sf'!E132</f>
        <v>172693611.58863872</v>
      </c>
      <c r="F25" s="663"/>
      <c r="G25" s="663"/>
      <c r="H25" s="663"/>
      <c r="I25" s="96">
        <f>'2b. RB-sf'!I132</f>
        <v>79071393.387896895</v>
      </c>
      <c r="J25" s="96">
        <f>'2b. RB-sf'!J132</f>
        <v>0</v>
      </c>
      <c r="K25" s="96"/>
      <c r="L25" s="96">
        <f>'2b. RB-sf'!L132</f>
        <v>78543501.693038464</v>
      </c>
      <c r="M25" s="96">
        <f>SUM(N25:W25)</f>
        <v>129622121.84600744</v>
      </c>
      <c r="N25" s="96">
        <f>'2b. RB-sf'!N132</f>
        <v>36551114.414431736</v>
      </c>
      <c r="O25" s="96">
        <f>'2b. RB-sf'!O132</f>
        <v>37001780.178190954</v>
      </c>
      <c r="P25" s="96">
        <f>'2b. RB-sf'!P132</f>
        <v>10120962.2551952</v>
      </c>
      <c r="Q25" s="96">
        <f>'2b. RB-sf'!Q132</f>
        <v>3841584.7989588315</v>
      </c>
      <c r="R25" s="96">
        <f>'2b. RB-sf'!R132</f>
        <v>25035788.721610256</v>
      </c>
      <c r="S25" s="96">
        <f>'2b. RB-sf'!S132</f>
        <v>6578531.0798142049</v>
      </c>
      <c r="T25" s="96">
        <f>'2b. RB-sf'!T132</f>
        <v>4199420.878591205</v>
      </c>
      <c r="U25" s="96">
        <f>'2b. RB-sf'!U132</f>
        <v>1674343.3708938316</v>
      </c>
      <c r="V25" s="96">
        <f>'2b. RB-sf'!V132</f>
        <v>4297138.3049375787</v>
      </c>
      <c r="W25" s="96">
        <f>'2b. RB-sf'!W132</f>
        <v>321457.84338360757</v>
      </c>
      <c r="X25" s="74">
        <f>Y25+Z25</f>
        <v>28623771.707195975</v>
      </c>
      <c r="Y25" s="96">
        <f>'2b. RB-sf'!Y132</f>
        <v>17021134.644086476</v>
      </c>
      <c r="Z25" s="96">
        <f>'2b. RB-sf'!Z132</f>
        <v>11602637.063109498</v>
      </c>
      <c r="AA25" s="96">
        <f>'2b. RB-sf'!AA132</f>
        <v>7645179.4379166793</v>
      </c>
      <c r="AB25" s="96">
        <f>'2b. RB-sf'!AB132</f>
        <v>39046455.428348765</v>
      </c>
      <c r="AC25" s="96">
        <f>'2b. RB-sf'!AC132</f>
        <v>35431144.438197859</v>
      </c>
      <c r="AD25" s="96">
        <f>'2b. RB-sf'!AD132</f>
        <v>3615310.9901508992</v>
      </c>
      <c r="AE25" s="96">
        <f>'2b. RB-sf'!AE132</f>
        <v>0</v>
      </c>
      <c r="AF25" s="74">
        <f>SUM(AG25:AG25)</f>
        <v>5541358.3705311799</v>
      </c>
      <c r="AG25" s="96">
        <f>'2b. RB-sf'!AG132</f>
        <v>5541358.3705311799</v>
      </c>
      <c r="AH25" s="97">
        <f>'2b. RB-sf'!AH132</f>
        <v>0</v>
      </c>
      <c r="AI25" s="72"/>
      <c r="AJ25" s="72">
        <f>'8a. DS-Cash '!F30</f>
        <v>540787393.4595741</v>
      </c>
      <c r="AK25" s="4">
        <f t="shared" si="2"/>
        <v>540787393.4595741</v>
      </c>
      <c r="AL25" s="70">
        <f>AK25-AJ25</f>
        <v>0</v>
      </c>
    </row>
    <row r="26" spans="1:38" x14ac:dyDescent="0.3">
      <c r="A26" s="72"/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AH26" s="72"/>
      <c r="AI26" s="72"/>
      <c r="AJ26" s="72"/>
    </row>
  </sheetData>
  <customSheetViews>
    <customSheetView guid="{121E4431-22F3-11D5-8242-00600818425F}" scale="75" showRuler="0">
      <selection activeCell="D29" sqref="D29"/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/>
      <pageSetup scale="65" orientation="landscape" horizontalDpi="300" vertic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showRuler="0">
      <selection activeCell="D26" sqref="D26"/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/>
      <pageSetup scale="65" orientation="landscape" horizontalDpi="300" vertic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showRuler="0">
      <selection activeCell="D26" sqref="D26"/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/>
      <pageSetup scale="65" orientation="landscape" horizontalDpi="300" verticalDpi="30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/>
  <pageMargins left="0" right="0" top="0.5" bottom="0.4" header="0.2" footer="0.2"/>
  <pageSetup scale="75" orientation="landscape" horizontalDpi="300" verticalDpi="300" r:id="rId4"/>
  <headerFooter alignWithMargins="0">
    <oddFooter>&amp;L&amp;8&amp;F&amp;C&amp;8&amp;A
page &amp;P&amp;R&amp;8&amp;D
&amp;T</oddFooter>
  </headerFooter>
  <colBreaks count="2" manualBreakCount="2">
    <brk id="12" max="29" man="1"/>
    <brk id="23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T223"/>
  <sheetViews>
    <sheetView zoomScale="70" zoomScaleNormal="70" workbookViewId="0">
      <pane xSplit="1" ySplit="7" topLeftCell="B8" activePane="bottomRight" state="frozen"/>
      <selection activeCell="A149" sqref="A1:XFD1048576"/>
      <selection pane="topRight" activeCell="A149" sqref="A1:XFD1048576"/>
      <selection pane="bottomLeft" activeCell="A149" sqref="A1:XFD1048576"/>
      <selection pane="bottomRight" activeCell="B8" sqref="B8"/>
    </sheetView>
  </sheetViews>
  <sheetFormatPr defaultColWidth="9.1796875" defaultRowHeight="13" x14ac:dyDescent="0.3"/>
  <cols>
    <col min="1" max="1" width="34" style="32" customWidth="1"/>
    <col min="2" max="2" width="16.1796875" style="32" customWidth="1"/>
    <col min="3" max="3" width="15.453125" style="32" bestFit="1" customWidth="1"/>
    <col min="4" max="4" width="12.453125" style="32" customWidth="1"/>
    <col min="5" max="5" width="15.453125" style="32" bestFit="1" customWidth="1"/>
    <col min="6" max="6" width="16.81640625" style="32" bestFit="1" customWidth="1"/>
    <col min="7" max="7" width="12.54296875" style="32" customWidth="1"/>
    <col min="8" max="8" width="13.453125" style="32" bestFit="1" customWidth="1"/>
    <col min="9" max="12" width="12.54296875" style="32" customWidth="1"/>
    <col min="13" max="13" width="12.54296875" style="32" bestFit="1" customWidth="1"/>
    <col min="14" max="14" width="9.1796875" style="16"/>
    <col min="15" max="15" width="12.81640625" style="32" bestFit="1" customWidth="1"/>
    <col min="16" max="16384" width="9.1796875" style="32"/>
  </cols>
  <sheetData>
    <row r="1" spans="1:14" x14ac:dyDescent="0.3">
      <c r="A1" s="205" t="str">
        <f xml:space="preserve"> '1. RB-i'!A1</f>
        <v>CPS Energy</v>
      </c>
      <c r="B1" s="206"/>
      <c r="C1" s="207"/>
      <c r="D1" s="207"/>
      <c r="E1" s="206"/>
      <c r="F1" s="206"/>
      <c r="G1" s="206"/>
      <c r="H1" s="206"/>
      <c r="I1" s="206"/>
      <c r="J1" s="206"/>
      <c r="K1" s="206"/>
      <c r="L1" s="206"/>
      <c r="M1" s="208"/>
    </row>
    <row r="2" spans="1:14" x14ac:dyDescent="0.3">
      <c r="A2" s="209" t="s">
        <v>945</v>
      </c>
      <c r="B2" s="182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210"/>
    </row>
    <row r="3" spans="1:14" x14ac:dyDescent="0.3">
      <c r="A3" s="211" t="s">
        <v>1237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210"/>
    </row>
    <row r="4" spans="1:14" x14ac:dyDescent="0.3">
      <c r="A4" s="212"/>
      <c r="B4" s="184"/>
      <c r="C4" s="183"/>
      <c r="D4" s="184"/>
      <c r="E4" s="184"/>
      <c r="F4" s="183"/>
      <c r="G4" s="183"/>
      <c r="H4" s="183"/>
      <c r="I4" s="183"/>
      <c r="J4" s="183"/>
      <c r="K4" s="183"/>
      <c r="L4" s="183"/>
      <c r="M4" s="210"/>
    </row>
    <row r="5" spans="1:14" x14ac:dyDescent="0.3">
      <c r="A5" s="213" t="s">
        <v>546</v>
      </c>
      <c r="B5" s="214" t="s">
        <v>352</v>
      </c>
      <c r="C5" s="215" t="s">
        <v>355</v>
      </c>
      <c r="D5" s="216" t="s">
        <v>355</v>
      </c>
      <c r="E5" s="215" t="s">
        <v>355</v>
      </c>
      <c r="F5" s="215" t="s">
        <v>544</v>
      </c>
      <c r="G5" s="215" t="s">
        <v>366</v>
      </c>
      <c r="H5" s="215" t="s">
        <v>367</v>
      </c>
      <c r="I5" s="215" t="s">
        <v>907</v>
      </c>
      <c r="J5" s="215" t="s">
        <v>909</v>
      </c>
      <c r="K5" s="215" t="s">
        <v>910</v>
      </c>
      <c r="L5" s="215" t="s">
        <v>912</v>
      </c>
      <c r="M5" s="217" t="s">
        <v>913</v>
      </c>
    </row>
    <row r="6" spans="1:14" x14ac:dyDescent="0.3">
      <c r="A6" s="218" t="s">
        <v>359</v>
      </c>
      <c r="B6" s="185" t="s">
        <v>360</v>
      </c>
      <c r="C6" s="186" t="s">
        <v>948</v>
      </c>
      <c r="D6" s="187" t="s">
        <v>947</v>
      </c>
      <c r="E6" s="186" t="s">
        <v>364</v>
      </c>
      <c r="F6" s="186" t="s">
        <v>946</v>
      </c>
      <c r="G6" s="186" t="s">
        <v>946</v>
      </c>
      <c r="H6" s="186" t="s">
        <v>946</v>
      </c>
      <c r="I6" s="186" t="s">
        <v>946</v>
      </c>
      <c r="J6" s="186" t="s">
        <v>946</v>
      </c>
      <c r="K6" s="186" t="s">
        <v>946</v>
      </c>
      <c r="L6" s="186" t="s">
        <v>946</v>
      </c>
      <c r="M6" s="219" t="s">
        <v>946</v>
      </c>
    </row>
    <row r="7" spans="1:14" ht="13.5" thickBot="1" x14ac:dyDescent="0.35">
      <c r="A7" s="232"/>
      <c r="B7" s="233"/>
      <c r="C7" s="234" t="s">
        <v>949</v>
      </c>
      <c r="D7" s="234" t="s">
        <v>815</v>
      </c>
      <c r="E7" s="234" t="s">
        <v>816</v>
      </c>
      <c r="F7" s="234" t="s">
        <v>817</v>
      </c>
      <c r="G7" s="234" t="s">
        <v>818</v>
      </c>
      <c r="H7" s="234" t="s">
        <v>819</v>
      </c>
      <c r="I7" s="234" t="s">
        <v>820</v>
      </c>
      <c r="J7" s="234" t="s">
        <v>821</v>
      </c>
      <c r="K7" s="234" t="s">
        <v>822</v>
      </c>
      <c r="L7" s="234" t="s">
        <v>823</v>
      </c>
      <c r="M7" s="235" t="s">
        <v>908</v>
      </c>
    </row>
    <row r="8" spans="1:14" x14ac:dyDescent="0.3">
      <c r="A8" s="157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158"/>
    </row>
    <row r="9" spans="1:14" s="101" customFormat="1" x14ac:dyDescent="0.3">
      <c r="A9" s="180" t="s">
        <v>950</v>
      </c>
      <c r="B9" s="39"/>
      <c r="C9" s="99">
        <f>+E9+D9</f>
        <v>7449303370.760293</v>
      </c>
      <c r="D9" s="99">
        <f>'2a. RB-np'!G142</f>
        <v>626039589.20072007</v>
      </c>
      <c r="E9" s="39">
        <f>SUM(F9:M9)</f>
        <v>6823263781.5595732</v>
      </c>
      <c r="F9" s="99">
        <f>'2a. RB-np'!J142</f>
        <v>3509750538.4622955</v>
      </c>
      <c r="G9" s="99">
        <f>'2a. RB-np'!K142</f>
        <v>853049006.95694482</v>
      </c>
      <c r="H9" s="99">
        <f>'2a. RB-np'!L142</f>
        <v>2238093162.236341</v>
      </c>
      <c r="I9" s="99">
        <f>'2a. RB-np'!M142</f>
        <v>170138080.66719595</v>
      </c>
      <c r="J9" s="99">
        <f>'2a. RB-np'!N142</f>
        <v>7645179.4379166793</v>
      </c>
      <c r="K9" s="99">
        <f>'2a. RB-np'!O142</f>
        <v>39046455.428348765</v>
      </c>
      <c r="L9" s="99">
        <f>'2a. RB-np'!P142</f>
        <v>5541358.3705311799</v>
      </c>
      <c r="M9" s="221">
        <f>'2a. RB-np'!Q142</f>
        <v>0</v>
      </c>
      <c r="N9" s="100"/>
    </row>
    <row r="10" spans="1:14" s="101" customFormat="1" x14ac:dyDescent="0.3">
      <c r="A10" s="180"/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181"/>
      <c r="N10" s="100"/>
    </row>
    <row r="11" spans="1:14" s="100" customFormat="1" x14ac:dyDescent="0.3">
      <c r="A11" s="222" t="s">
        <v>951</v>
      </c>
      <c r="B11" s="103"/>
      <c r="C11" s="104">
        <f t="shared" ref="C11:C18" si="0">+E11+D11</f>
        <v>604000573.24000001</v>
      </c>
      <c r="D11" s="104">
        <f>'2a. RB-np'!G156</f>
        <v>43440743.357950628</v>
      </c>
      <c r="E11" s="39">
        <f t="shared" ref="E11:E19" si="1">SUM(F11:M11)</f>
        <v>560559829.88204932</v>
      </c>
      <c r="F11" s="104">
        <f>'2a. RB-np'!J156</f>
        <v>249599970.53407323</v>
      </c>
      <c r="G11" s="104">
        <f>'2a. RB-np'!K156</f>
        <v>90839870.28130953</v>
      </c>
      <c r="H11" s="104">
        <f>'2a. RB-np'!L156</f>
        <v>207852704.94391328</v>
      </c>
      <c r="I11" s="104">
        <f>'2a. RB-np'!M156</f>
        <v>3903861.5496431245</v>
      </c>
      <c r="J11" s="104">
        <f>'2a. RB-np'!N156</f>
        <v>1483865.9682655758</v>
      </c>
      <c r="K11" s="104">
        <f>'2a. RB-np'!O156</f>
        <v>4425298.1509868335</v>
      </c>
      <c r="L11" s="104">
        <f>'2a. RB-np'!P156</f>
        <v>2454258.4538577343</v>
      </c>
      <c r="M11" s="223">
        <f>'2a. RB-np'!Q156</f>
        <v>0</v>
      </c>
    </row>
    <row r="12" spans="1:14" s="101" customFormat="1" x14ac:dyDescent="0.3">
      <c r="A12" s="180" t="s">
        <v>952</v>
      </c>
      <c r="B12" s="39"/>
      <c r="C12" s="99">
        <f t="shared" si="0"/>
        <v>274385917.27789557</v>
      </c>
      <c r="D12" s="99">
        <f>'2a. RB-np'!G172</f>
        <v>5958721.4669975545</v>
      </c>
      <c r="E12" s="39">
        <f t="shared" si="1"/>
        <v>268427195.81089804</v>
      </c>
      <c r="F12" s="99">
        <f>'2a. RB-np'!J172</f>
        <v>219505030.21077758</v>
      </c>
      <c r="G12" s="99">
        <f>'2a. RB-np'!K172</f>
        <v>6531929.7904038541</v>
      </c>
      <c r="H12" s="99">
        <f>'2a. RB-np'!L172</f>
        <v>34286581.443658262</v>
      </c>
      <c r="I12" s="99">
        <f>'2a. RB-np'!M172</f>
        <v>2827639.5746785677</v>
      </c>
      <c r="J12" s="99">
        <f>'2a. RB-np'!N172</f>
        <v>763136.54851638642</v>
      </c>
      <c r="K12" s="99">
        <f>'2a. RB-np'!O172</f>
        <v>2688312.8158285483</v>
      </c>
      <c r="L12" s="99">
        <f>'2a. RB-np'!P172</f>
        <v>1825501.1895347987</v>
      </c>
      <c r="M12" s="221">
        <f>'2a. RB-np'!Q172</f>
        <v>-935.76250000000005</v>
      </c>
      <c r="N12" s="100"/>
    </row>
    <row r="13" spans="1:14" s="100" customFormat="1" x14ac:dyDescent="0.3">
      <c r="A13" s="222" t="s">
        <v>503</v>
      </c>
      <c r="B13" s="103"/>
      <c r="C13" s="104">
        <f t="shared" si="0"/>
        <v>0</v>
      </c>
      <c r="D13" s="105">
        <v>0</v>
      </c>
      <c r="E13" s="103">
        <f t="shared" si="1"/>
        <v>0</v>
      </c>
      <c r="F13" s="105">
        <v>0</v>
      </c>
      <c r="G13" s="105">
        <v>0</v>
      </c>
      <c r="H13" s="105">
        <v>0</v>
      </c>
      <c r="I13" s="105">
        <v>0</v>
      </c>
      <c r="J13" s="105">
        <v>0</v>
      </c>
      <c r="K13" s="105">
        <v>0</v>
      </c>
      <c r="L13" s="105">
        <v>0</v>
      </c>
      <c r="M13" s="224">
        <v>0</v>
      </c>
    </row>
    <row r="14" spans="1:14" s="101" customFormat="1" x14ac:dyDescent="0.3">
      <c r="A14" s="225" t="s">
        <v>511</v>
      </c>
      <c r="B14" s="106"/>
      <c r="C14" s="99">
        <f t="shared" si="0"/>
        <v>0</v>
      </c>
      <c r="D14" s="99"/>
      <c r="E14" s="39">
        <f t="shared" si="1"/>
        <v>0</v>
      </c>
      <c r="F14" s="99">
        <v>0</v>
      </c>
      <c r="G14" s="99">
        <v>0</v>
      </c>
      <c r="H14" s="99">
        <v>0</v>
      </c>
      <c r="I14" s="99">
        <v>0</v>
      </c>
      <c r="J14" s="99">
        <v>0</v>
      </c>
      <c r="K14" s="99">
        <v>0</v>
      </c>
      <c r="L14" s="99">
        <v>0</v>
      </c>
      <c r="M14" s="221">
        <v>0</v>
      </c>
      <c r="N14" s="100"/>
    </row>
    <row r="15" spans="1:14" s="101" customFormat="1" x14ac:dyDescent="0.3">
      <c r="A15" s="180" t="s">
        <v>504</v>
      </c>
      <c r="B15" s="39"/>
      <c r="C15" s="99">
        <f t="shared" si="0"/>
        <v>-40936023</v>
      </c>
      <c r="D15" s="99">
        <f>'2a. RB-np'!G147</f>
        <v>-3058171.8184552598</v>
      </c>
      <c r="E15" s="39">
        <f t="shared" si="1"/>
        <v>-37877851.181544743</v>
      </c>
      <c r="F15" s="99">
        <f>'2a. RB-np'!J147</f>
        <v>0</v>
      </c>
      <c r="G15" s="99">
        <f>'2a. RB-np'!K147</f>
        <v>0</v>
      </c>
      <c r="H15" s="99">
        <f>'2a. RB-np'!L147</f>
        <v>0</v>
      </c>
      <c r="I15" s="99">
        <f>'2a. RB-np'!M147</f>
        <v>0</v>
      </c>
      <c r="J15" s="99">
        <f>'2a. RB-np'!N147</f>
        <v>0</v>
      </c>
      <c r="K15" s="99">
        <f>'2a. RB-np'!O147</f>
        <v>0</v>
      </c>
      <c r="L15" s="99">
        <f>'2a. RB-np'!P147</f>
        <v>0</v>
      </c>
      <c r="M15" s="221">
        <f>'2a. RB-np'!Q147</f>
        <v>-37877851.181544743</v>
      </c>
      <c r="N15" s="100"/>
    </row>
    <row r="16" spans="1:14" s="101" customFormat="1" x14ac:dyDescent="0.3">
      <c r="A16" s="180" t="s">
        <v>505</v>
      </c>
      <c r="B16" s="39"/>
      <c r="C16" s="99">
        <f t="shared" si="0"/>
        <v>-6798585.8499999996</v>
      </c>
      <c r="D16" s="99">
        <f>'2a. RB-np'!G152</f>
        <v>0</v>
      </c>
      <c r="E16" s="39">
        <f t="shared" si="1"/>
        <v>-6798585.8499999996</v>
      </c>
      <c r="F16" s="99">
        <f>'2a. RB-np'!J152</f>
        <v>-6798585.8499999996</v>
      </c>
      <c r="G16" s="99">
        <f>'2a. RB-np'!K152</f>
        <v>0</v>
      </c>
      <c r="H16" s="99">
        <f>'2a. RB-np'!L152</f>
        <v>0</v>
      </c>
      <c r="I16" s="99">
        <f>'2a. RB-np'!M152</f>
        <v>0</v>
      </c>
      <c r="J16" s="99">
        <f>'2a. RB-np'!N152</f>
        <v>0</v>
      </c>
      <c r="K16" s="99">
        <f>'2a. RB-np'!O152</f>
        <v>0</v>
      </c>
      <c r="L16" s="99">
        <f>'2a. RB-np'!P152</f>
        <v>0</v>
      </c>
      <c r="M16" s="221">
        <f>'2a. RB-np'!Q152</f>
        <v>0</v>
      </c>
      <c r="N16" s="100"/>
    </row>
    <row r="17" spans="1:15" s="101" customFormat="1" x14ac:dyDescent="0.3">
      <c r="A17" s="180" t="s">
        <v>509</v>
      </c>
      <c r="B17" s="39"/>
      <c r="C17" s="99">
        <f t="shared" si="0"/>
        <v>-22033674.589999996</v>
      </c>
      <c r="D17" s="99">
        <f>'2a. RB-np'!G154</f>
        <v>-5462423.4699999997</v>
      </c>
      <c r="E17" s="39">
        <f t="shared" si="1"/>
        <v>-16571251.119999997</v>
      </c>
      <c r="F17" s="99">
        <f>'2a. RB-np'!J154</f>
        <v>-2258861.19</v>
      </c>
      <c r="G17" s="99">
        <f>'2a. RB-np'!K154</f>
        <v>-2986757.6499999994</v>
      </c>
      <c r="H17" s="99">
        <f>'2a. RB-np'!L154</f>
        <v>-10635337.899999999</v>
      </c>
      <c r="I17" s="99">
        <f>'2a. RB-np'!M154</f>
        <v>0</v>
      </c>
      <c r="J17" s="99">
        <f>'2a. RB-np'!N154</f>
        <v>0</v>
      </c>
      <c r="K17" s="99">
        <f>'2a. RB-np'!O154</f>
        <v>0</v>
      </c>
      <c r="L17" s="99">
        <f>'2a. RB-np'!P154</f>
        <v>-690294.37999999989</v>
      </c>
      <c r="M17" s="221">
        <f>'2a. RB-np'!Q154</f>
        <v>0</v>
      </c>
      <c r="N17" s="100"/>
    </row>
    <row r="18" spans="1:15" s="101" customFormat="1" x14ac:dyDescent="0.3">
      <c r="A18" s="180" t="s">
        <v>529</v>
      </c>
      <c r="B18" s="39"/>
      <c r="C18" s="107">
        <f t="shared" si="0"/>
        <v>57419603.640000001</v>
      </c>
      <c r="D18" s="107">
        <f>'2a. RB-np'!G185</f>
        <v>14255709.389148939</v>
      </c>
      <c r="E18" s="108">
        <f t="shared" si="1"/>
        <v>43163894.250851065</v>
      </c>
      <c r="F18" s="107">
        <f>'2a. RB-np'!J185</f>
        <v>32893758.539220218</v>
      </c>
      <c r="G18" s="107">
        <f>'2a. RB-np'!K185</f>
        <v>138618.23852046242</v>
      </c>
      <c r="H18" s="107">
        <f>'2a. RB-np'!L185</f>
        <v>4111253.2622524542</v>
      </c>
      <c r="I18" s="107">
        <f>'2a. RB-np'!M185</f>
        <v>2056626.6772564026</v>
      </c>
      <c r="J18" s="107">
        <f>'2a. RB-np'!N185</f>
        <v>549308.46099777764</v>
      </c>
      <c r="K18" s="107">
        <f>'2a. RB-np'!O185</f>
        <v>2805499.6632766193</v>
      </c>
      <c r="L18" s="107">
        <f>'2a. RB-np'!P185</f>
        <v>608829.40932712401</v>
      </c>
      <c r="M18" s="226">
        <f>'2a. RB-np'!Q185</f>
        <v>0</v>
      </c>
      <c r="N18" s="100"/>
    </row>
    <row r="19" spans="1:15" s="101" customFormat="1" x14ac:dyDescent="0.3">
      <c r="A19" s="225" t="s">
        <v>524</v>
      </c>
      <c r="B19" s="106"/>
      <c r="C19" s="39">
        <f>SUM(C11:C18)</f>
        <v>866037810.71789551</v>
      </c>
      <c r="D19" s="39">
        <f>SUM(D11:D18)</f>
        <v>55134578.925641865</v>
      </c>
      <c r="E19" s="39">
        <f t="shared" si="1"/>
        <v>810903231.79225361</v>
      </c>
      <c r="F19" s="39">
        <f t="shared" ref="F19:M19" si="2">SUM(F11:F18)</f>
        <v>492941312.24407101</v>
      </c>
      <c r="G19" s="39">
        <f t="shared" si="2"/>
        <v>94523660.66023384</v>
      </c>
      <c r="H19" s="39">
        <f t="shared" si="2"/>
        <v>235615201.74982399</v>
      </c>
      <c r="I19" s="39">
        <f t="shared" si="2"/>
        <v>8788127.8015780933</v>
      </c>
      <c r="J19" s="39">
        <f t="shared" si="2"/>
        <v>2796310.97777974</v>
      </c>
      <c r="K19" s="39">
        <f t="shared" si="2"/>
        <v>9919110.6300920025</v>
      </c>
      <c r="L19" s="39">
        <f t="shared" si="2"/>
        <v>4198294.6727196574</v>
      </c>
      <c r="M19" s="181">
        <f t="shared" si="2"/>
        <v>-37878786.944044746</v>
      </c>
      <c r="N19" s="100"/>
    </row>
    <row r="20" spans="1:15" s="101" customFormat="1" x14ac:dyDescent="0.3">
      <c r="A20" s="180"/>
      <c r="B20" s="39"/>
      <c r="C20" s="99"/>
      <c r="D20" s="99"/>
      <c r="E20" s="39"/>
      <c r="F20" s="39"/>
      <c r="G20" s="39"/>
      <c r="H20" s="39"/>
      <c r="I20" s="39"/>
      <c r="J20" s="39"/>
      <c r="K20" s="39"/>
      <c r="L20" s="39"/>
      <c r="M20" s="181"/>
      <c r="N20" s="100"/>
    </row>
    <row r="21" spans="1:15" s="101" customFormat="1" x14ac:dyDescent="0.3">
      <c r="A21" s="180" t="s">
        <v>953</v>
      </c>
      <c r="B21" s="39"/>
      <c r="C21" s="99">
        <f>+E21+D21</f>
        <v>8315341181.4781885</v>
      </c>
      <c r="D21" s="39">
        <f>D9+D19</f>
        <v>681174168.12636197</v>
      </c>
      <c r="E21" s="39">
        <f>E9+E19</f>
        <v>7634167013.3518267</v>
      </c>
      <c r="F21" s="39">
        <f t="shared" ref="F21:M21" si="3">F9+F19</f>
        <v>4002691850.7063665</v>
      </c>
      <c r="G21" s="39">
        <f t="shared" si="3"/>
        <v>947572667.61717868</v>
      </c>
      <c r="H21" s="39">
        <f t="shared" si="3"/>
        <v>2473708363.986165</v>
      </c>
      <c r="I21" s="39">
        <f t="shared" si="3"/>
        <v>178926208.46877405</v>
      </c>
      <c r="J21" s="39">
        <f t="shared" si="3"/>
        <v>10441490.41569642</v>
      </c>
      <c r="K21" s="39">
        <f t="shared" si="3"/>
        <v>48965566.058440767</v>
      </c>
      <c r="L21" s="39">
        <f t="shared" si="3"/>
        <v>9739653.0432508364</v>
      </c>
      <c r="M21" s="181">
        <f t="shared" si="3"/>
        <v>-37878786.944044746</v>
      </c>
      <c r="N21" s="100"/>
      <c r="O21" s="101">
        <f>C21-'1. RB-i'!F467</f>
        <v>1.8756933212280273</v>
      </c>
    </row>
    <row r="22" spans="1:15" s="101" customFormat="1" ht="13.5" thickBot="1" x14ac:dyDescent="0.35">
      <c r="A22" s="227"/>
      <c r="B22" s="228"/>
      <c r="C22" s="229"/>
      <c r="D22" s="229"/>
      <c r="E22" s="228"/>
      <c r="F22" s="228"/>
      <c r="G22" s="228"/>
      <c r="H22" s="228"/>
      <c r="I22" s="228"/>
      <c r="J22" s="228"/>
      <c r="K22" s="228"/>
      <c r="L22" s="228"/>
      <c r="M22" s="230"/>
      <c r="N22" s="100"/>
    </row>
    <row r="23" spans="1:15" s="100" customFormat="1" x14ac:dyDescent="0.3">
      <c r="A23" s="102"/>
      <c r="B23" s="103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</row>
    <row r="24" spans="1:15" s="100" customFormat="1" x14ac:dyDescent="0.3">
      <c r="A24" s="102"/>
      <c r="B24" s="103"/>
      <c r="C24" s="104"/>
      <c r="D24" s="104"/>
      <c r="E24" s="103"/>
      <c r="F24" s="110"/>
      <c r="G24" s="110"/>
      <c r="H24" s="110"/>
      <c r="I24" s="110"/>
      <c r="J24" s="110"/>
      <c r="K24" s="110"/>
      <c r="L24" s="110"/>
      <c r="M24" s="110"/>
    </row>
    <row r="25" spans="1:15" s="100" customFormat="1" x14ac:dyDescent="0.3">
      <c r="A25" s="103"/>
      <c r="B25" s="103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</row>
    <row r="26" spans="1:15" s="16" customFormat="1" x14ac:dyDescent="0.3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</row>
    <row r="27" spans="1:15" s="16" customFormat="1" x14ac:dyDescent="0.3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</row>
    <row r="28" spans="1:15" x14ac:dyDescent="0.3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</row>
    <row r="30" spans="1:15" ht="13.5" thickBot="1" x14ac:dyDescent="0.35"/>
    <row r="31" spans="1:15" x14ac:dyDescent="0.3">
      <c r="A31" s="205" t="str">
        <f>A1</f>
        <v>CPS Energy</v>
      </c>
      <c r="B31" s="206"/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8"/>
    </row>
    <row r="32" spans="1:15" x14ac:dyDescent="0.3">
      <c r="A32" s="211" t="s">
        <v>1245</v>
      </c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210"/>
    </row>
    <row r="33" spans="1:13" x14ac:dyDescent="0.3">
      <c r="A33" s="211" t="str">
        <f>A3</f>
        <v>FYE 2017 UCOS</v>
      </c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210"/>
    </row>
    <row r="34" spans="1:13" s="16" customFormat="1" x14ac:dyDescent="0.3">
      <c r="A34" s="212"/>
      <c r="B34" s="184"/>
      <c r="C34" s="183"/>
      <c r="D34" s="184"/>
      <c r="E34" s="183"/>
      <c r="F34" s="183"/>
      <c r="G34" s="183"/>
      <c r="H34" s="183"/>
      <c r="I34" s="183"/>
      <c r="J34" s="183"/>
      <c r="K34" s="183"/>
      <c r="L34" s="183"/>
      <c r="M34" s="210"/>
    </row>
    <row r="35" spans="1:13" x14ac:dyDescent="0.3">
      <c r="A35" s="213" t="s">
        <v>546</v>
      </c>
      <c r="B35" s="214" t="s">
        <v>954</v>
      </c>
      <c r="C35" s="215" t="s">
        <v>355</v>
      </c>
      <c r="D35" s="216" t="s">
        <v>355</v>
      </c>
      <c r="E35" s="215" t="s">
        <v>355</v>
      </c>
      <c r="F35" s="215" t="s">
        <v>544</v>
      </c>
      <c r="G35" s="215" t="s">
        <v>366</v>
      </c>
      <c r="H35" s="215" t="s">
        <v>367</v>
      </c>
      <c r="I35" s="215" t="s">
        <v>907</v>
      </c>
      <c r="J35" s="215" t="s">
        <v>909</v>
      </c>
      <c r="K35" s="215" t="s">
        <v>910</v>
      </c>
      <c r="L35" s="215" t="s">
        <v>912</v>
      </c>
      <c r="M35" s="217" t="s">
        <v>913</v>
      </c>
    </row>
    <row r="36" spans="1:13" x14ac:dyDescent="0.3">
      <c r="A36" s="218" t="s">
        <v>359</v>
      </c>
      <c r="B36" s="185" t="s">
        <v>360</v>
      </c>
      <c r="C36" s="186" t="s">
        <v>948</v>
      </c>
      <c r="D36" s="187" t="s">
        <v>947</v>
      </c>
      <c r="E36" s="186" t="s">
        <v>364</v>
      </c>
      <c r="F36" s="186" t="s">
        <v>946</v>
      </c>
      <c r="G36" s="186" t="s">
        <v>946</v>
      </c>
      <c r="H36" s="186" t="s">
        <v>946</v>
      </c>
      <c r="I36" s="186" t="s">
        <v>946</v>
      </c>
      <c r="J36" s="186" t="s">
        <v>946</v>
      </c>
      <c r="K36" s="186" t="s">
        <v>946</v>
      </c>
      <c r="L36" s="186" t="s">
        <v>946</v>
      </c>
      <c r="M36" s="219" t="s">
        <v>946</v>
      </c>
    </row>
    <row r="37" spans="1:13" ht="13.5" thickBot="1" x14ac:dyDescent="0.35">
      <c r="A37" s="232"/>
      <c r="B37" s="233"/>
      <c r="C37" s="234" t="s">
        <v>949</v>
      </c>
      <c r="D37" s="234" t="s">
        <v>815</v>
      </c>
      <c r="E37" s="234" t="s">
        <v>816</v>
      </c>
      <c r="F37" s="234" t="s">
        <v>817</v>
      </c>
      <c r="G37" s="234" t="s">
        <v>818</v>
      </c>
      <c r="H37" s="234" t="s">
        <v>819</v>
      </c>
      <c r="I37" s="234" t="s">
        <v>820</v>
      </c>
      <c r="J37" s="234" t="s">
        <v>821</v>
      </c>
      <c r="K37" s="234" t="s">
        <v>822</v>
      </c>
      <c r="L37" s="234" t="s">
        <v>823</v>
      </c>
      <c r="M37" s="235" t="s">
        <v>908</v>
      </c>
    </row>
    <row r="38" spans="1:13" x14ac:dyDescent="0.3">
      <c r="A38" s="157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158"/>
    </row>
    <row r="39" spans="1:13" x14ac:dyDescent="0.3">
      <c r="A39" s="162" t="s">
        <v>955</v>
      </c>
      <c r="B39" s="35"/>
      <c r="C39" s="111">
        <f>+E39+D39</f>
        <v>72749734.219999999</v>
      </c>
      <c r="D39" s="111">
        <f>'3a. OM_AG-i'!G165</f>
        <v>72749734.219999999</v>
      </c>
      <c r="E39" s="39">
        <f>SUM(F39:M39)</f>
        <v>0</v>
      </c>
      <c r="F39" s="112">
        <f>'3a. OM_AG-i'!J14+'3a. OM_AG-i'!J38+'3a. OM_AG-i'!J93</f>
        <v>0</v>
      </c>
      <c r="G39" s="111">
        <f>'3a. OM_AG-i'!K14+'3a. OM_AG-i'!K38+'3a. OM_AG-i'!K93</f>
        <v>0</v>
      </c>
      <c r="H39" s="111">
        <f>'3a. OM_AG-i'!L14+'3a. OM_AG-i'!L38+'3a. OM_AG-i'!L93</f>
        <v>0</v>
      </c>
      <c r="I39" s="111">
        <f>'3a. OM_AG-i'!M14+'3a. OM_AG-i'!M38+'3a. OM_AG-i'!M93</f>
        <v>0</v>
      </c>
      <c r="J39" s="111">
        <f>'3a. OM_AG-i'!N14+'3a. OM_AG-i'!N38+'3a. OM_AG-i'!N93</f>
        <v>0</v>
      </c>
      <c r="K39" s="111">
        <f>'3a. OM_AG-i'!O14+'3a. OM_AG-i'!O38+'3a. OM_AG-i'!O93</f>
        <v>0</v>
      </c>
      <c r="L39" s="111">
        <f>'3a. OM_AG-i'!P14+'3a. OM_AG-i'!P38+'3a. OM_AG-i'!P93</f>
        <v>0</v>
      </c>
      <c r="M39" s="236">
        <f>'3a. OM_AG-i'!Q14+'3a. OM_AG-i'!Q38+'3a. OM_AG-i'!Q93</f>
        <v>0</v>
      </c>
    </row>
    <row r="40" spans="1:13" x14ac:dyDescent="0.3">
      <c r="A40" s="162"/>
      <c r="B40" s="35"/>
      <c r="C40" s="111"/>
      <c r="D40" s="113"/>
      <c r="E40" s="39"/>
      <c r="F40" s="111"/>
      <c r="G40" s="111"/>
      <c r="H40" s="111"/>
      <c r="I40" s="111"/>
      <c r="J40" s="111"/>
      <c r="K40" s="111"/>
      <c r="L40" s="111"/>
      <c r="M40" s="236"/>
    </row>
    <row r="41" spans="1:13" x14ac:dyDescent="0.3">
      <c r="A41" s="157" t="s">
        <v>810</v>
      </c>
      <c r="B41" s="35"/>
      <c r="C41" s="111">
        <f t="shared" ref="C41:C46" si="4">+E41+D41</f>
        <v>1102533819.7299998</v>
      </c>
      <c r="D41" s="111">
        <f>'3a. OM_AG-i'!G243-D39</f>
        <v>32863415.13513431</v>
      </c>
      <c r="E41" s="39">
        <f t="shared" ref="E41:E47" si="5">SUM(F41:M41)</f>
        <v>1069670404.5948656</v>
      </c>
      <c r="F41" s="111">
        <f>'3a. OM_AG-i'!J243-'9a. Summary Schedules'!F39</f>
        <v>906097319.02999997</v>
      </c>
      <c r="G41" s="111">
        <f>'3a. OM_AG-i'!K243-'9a. Summary Schedules'!G39</f>
        <v>19376670.590000004</v>
      </c>
      <c r="H41" s="111">
        <f>'3a. OM_AG-i'!L243-'9a. Summary Schedules'!H39</f>
        <v>88810905.387649953</v>
      </c>
      <c r="I41" s="111">
        <f>'3a. OM_AG-i'!M243-'9a. Summary Schedules'!I39</f>
        <v>20098455.643104106</v>
      </c>
      <c r="J41" s="111">
        <f>'3a. OM_AG-i'!N243-'9a. Summary Schedules'!J39</f>
        <v>5698530.8631646633</v>
      </c>
      <c r="K41" s="111">
        <f>'3a. OM_AG-i'!O243-'9a. Summary Schedules'!K39</f>
        <v>18288002.820946973</v>
      </c>
      <c r="L41" s="111">
        <f>'3a. OM_AG-i'!P243-'9a. Summary Schedules'!L39</f>
        <v>11300520.26</v>
      </c>
      <c r="M41" s="236">
        <f>'3a. OM_AG-i'!Q243-'9a. Summary Schedules'!M39</f>
        <v>0</v>
      </c>
    </row>
    <row r="42" spans="1:13" x14ac:dyDescent="0.3">
      <c r="A42" s="157" t="s">
        <v>956</v>
      </c>
      <c r="B42" s="35"/>
      <c r="C42" s="111">
        <f t="shared" si="4"/>
        <v>170940125.57999998</v>
      </c>
      <c r="D42" s="111">
        <f>'3a. OM_AG-i'!G275</f>
        <v>10959473.199999999</v>
      </c>
      <c r="E42" s="39">
        <f t="shared" si="5"/>
        <v>159980652.38</v>
      </c>
      <c r="F42" s="111">
        <f>'3a. OM_AG-i'!J275</f>
        <v>82392138.50394249</v>
      </c>
      <c r="G42" s="111">
        <f>'3a. OM_AG-i'!K275</f>
        <v>10438204.93948359</v>
      </c>
      <c r="H42" s="111">
        <f>'3a. OM_AG-i'!L275</f>
        <v>54807107.926939994</v>
      </c>
      <c r="I42" s="111">
        <f>'3a. OM_AG-i'!M275</f>
        <v>3654562.964662313</v>
      </c>
      <c r="J42" s="111">
        <f>'3a. OM_AG-i'!N275</f>
        <v>1190617.5640386445</v>
      </c>
      <c r="K42" s="111">
        <f>'3a. OM_AG-i'!O275</f>
        <v>3683021.925998183</v>
      </c>
      <c r="L42" s="111">
        <f>'3a. OM_AG-i'!P275</f>
        <v>3822484.6549347816</v>
      </c>
      <c r="M42" s="236">
        <f>'3a. OM_AG-i'!Q275</f>
        <v>-7486.1</v>
      </c>
    </row>
    <row r="43" spans="1:13" x14ac:dyDescent="0.3">
      <c r="A43" s="162" t="s">
        <v>957</v>
      </c>
      <c r="B43" s="35"/>
      <c r="C43" s="111">
        <f t="shared" si="4"/>
        <v>119038.52</v>
      </c>
      <c r="D43" s="111">
        <f>'6a. OE_OR-i'!G82</f>
        <v>8892.9070411804132</v>
      </c>
      <c r="E43" s="39">
        <f t="shared" si="5"/>
        <v>110145.61295881959</v>
      </c>
      <c r="F43" s="111">
        <f>'6a. OE_OR-i'!J82</f>
        <v>0</v>
      </c>
      <c r="G43" s="111">
        <f>'6a. OE_OR-i'!K82</f>
        <v>0</v>
      </c>
      <c r="H43" s="111">
        <f>'6a. OE_OR-i'!L82</f>
        <v>0</v>
      </c>
      <c r="I43" s="111">
        <f>'6a. OE_OR-i'!M82</f>
        <v>0</v>
      </c>
      <c r="J43" s="111">
        <f>'6a. OE_OR-i'!N82</f>
        <v>0</v>
      </c>
      <c r="K43" s="111">
        <f>'6a. OE_OR-i'!O82</f>
        <v>0</v>
      </c>
      <c r="L43" s="111">
        <f>'6a. OE_OR-i'!P82</f>
        <v>0</v>
      </c>
      <c r="M43" s="236">
        <f>'6a. OE_OR-i'!Q82</f>
        <v>110145.61295881959</v>
      </c>
    </row>
    <row r="44" spans="1:13" x14ac:dyDescent="0.3">
      <c r="A44" s="157" t="s">
        <v>88</v>
      </c>
      <c r="B44" s="35"/>
      <c r="C44" s="111">
        <f t="shared" si="4"/>
        <v>26741243.059999999</v>
      </c>
      <c r="D44" s="111">
        <f>'6a. OE_OR-i'!G83</f>
        <v>0</v>
      </c>
      <c r="E44" s="39">
        <f t="shared" si="5"/>
        <v>26741243.059999999</v>
      </c>
      <c r="F44" s="111">
        <f>'6a. OE_OR-i'!J83</f>
        <v>26741243.059999999</v>
      </c>
      <c r="G44" s="111">
        <f>'6a. OE_OR-i'!K83</f>
        <v>0</v>
      </c>
      <c r="H44" s="111">
        <f>'6a. OE_OR-i'!L83</f>
        <v>0</v>
      </c>
      <c r="I44" s="111">
        <f>'6a. OE_OR-i'!M83</f>
        <v>0</v>
      </c>
      <c r="J44" s="111">
        <f>'6a. OE_OR-i'!N83</f>
        <v>0</v>
      </c>
      <c r="K44" s="111">
        <f>'6a. OE_OR-i'!O83</f>
        <v>0</v>
      </c>
      <c r="L44" s="111">
        <f>'6a. OE_OR-i'!P83</f>
        <v>0</v>
      </c>
      <c r="M44" s="236">
        <f>'6a. OE_OR-i'!Q83</f>
        <v>0</v>
      </c>
    </row>
    <row r="45" spans="1:13" x14ac:dyDescent="0.3">
      <c r="A45" s="162" t="s">
        <v>959</v>
      </c>
      <c r="B45" s="35"/>
      <c r="C45" s="111">
        <f t="shared" si="4"/>
        <v>6843089.2800000012</v>
      </c>
      <c r="D45" s="111">
        <f>'6a. OE_OR-i'!G47</f>
        <v>0</v>
      </c>
      <c r="E45" s="39">
        <f t="shared" si="5"/>
        <v>6843089.2800000012</v>
      </c>
      <c r="F45" s="111">
        <f>'6a. OE_OR-i'!J47</f>
        <v>6843089.2800000012</v>
      </c>
      <c r="G45" s="111">
        <f>'6a. OE_OR-i'!K47</f>
        <v>0</v>
      </c>
      <c r="H45" s="111">
        <f>'6a. OE_OR-i'!L47</f>
        <v>0</v>
      </c>
      <c r="I45" s="111">
        <f>'6a. OE_OR-i'!M47</f>
        <v>0</v>
      </c>
      <c r="J45" s="111">
        <f>'6a. OE_OR-i'!N47</f>
        <v>0</v>
      </c>
      <c r="K45" s="111">
        <f>'6a. OE_OR-i'!O47</f>
        <v>0</v>
      </c>
      <c r="L45" s="111">
        <f>'6a. OE_OR-i'!P47</f>
        <v>0</v>
      </c>
      <c r="M45" s="236">
        <f>'6a. OE_OR-i'!Q47</f>
        <v>0</v>
      </c>
    </row>
    <row r="46" spans="1:13" ht="14.5" x14ac:dyDescent="0.45">
      <c r="A46" s="157" t="s">
        <v>960</v>
      </c>
      <c r="B46" s="35"/>
      <c r="C46" s="114">
        <f t="shared" si="4"/>
        <v>0</v>
      </c>
      <c r="D46" s="115"/>
      <c r="E46" s="114">
        <f t="shared" si="5"/>
        <v>0</v>
      </c>
      <c r="F46" s="114">
        <v>0</v>
      </c>
      <c r="G46" s="114">
        <v>0</v>
      </c>
      <c r="H46" s="114">
        <v>0</v>
      </c>
      <c r="I46" s="114">
        <v>0</v>
      </c>
      <c r="J46" s="114">
        <v>0</v>
      </c>
      <c r="K46" s="114">
        <v>0</v>
      </c>
      <c r="L46" s="114">
        <v>0</v>
      </c>
      <c r="M46" s="237">
        <v>0</v>
      </c>
    </row>
    <row r="47" spans="1:13" x14ac:dyDescent="0.3">
      <c r="A47" s="157" t="s">
        <v>1020</v>
      </c>
      <c r="B47" s="35"/>
      <c r="C47" s="111">
        <f>SUM(C41:C46)</f>
        <v>1307177316.1699996</v>
      </c>
      <c r="D47" s="111">
        <f>SUM(D41:D46)</f>
        <v>43831781.24217549</v>
      </c>
      <c r="E47" s="39">
        <f t="shared" si="5"/>
        <v>1263345534.9278245</v>
      </c>
      <c r="F47" s="111">
        <f>SUM(F41:F46)</f>
        <v>1022073789.8739424</v>
      </c>
      <c r="G47" s="111">
        <f t="shared" ref="G47:M47" si="6">SUM(G41:G46)</f>
        <v>29814875.529483594</v>
      </c>
      <c r="H47" s="111">
        <f t="shared" si="6"/>
        <v>143618013.31458995</v>
      </c>
      <c r="I47" s="111">
        <f t="shared" si="6"/>
        <v>23753018.60776642</v>
      </c>
      <c r="J47" s="111">
        <f t="shared" si="6"/>
        <v>6889148.4272033079</v>
      </c>
      <c r="K47" s="111">
        <f t="shared" si="6"/>
        <v>21971024.746945158</v>
      </c>
      <c r="L47" s="111">
        <f t="shared" si="6"/>
        <v>15123004.91493478</v>
      </c>
      <c r="M47" s="236">
        <f t="shared" si="6"/>
        <v>102659.51295881959</v>
      </c>
    </row>
    <row r="48" spans="1:13" x14ac:dyDescent="0.3">
      <c r="A48" s="157"/>
      <c r="B48" s="35"/>
      <c r="C48" s="111"/>
      <c r="D48" s="35"/>
      <c r="E48" s="39"/>
      <c r="F48" s="111"/>
      <c r="G48" s="111"/>
      <c r="H48" s="111"/>
      <c r="I48" s="111"/>
      <c r="J48" s="111"/>
      <c r="K48" s="111"/>
      <c r="L48" s="111"/>
      <c r="M48" s="236"/>
    </row>
    <row r="49" spans="1:15" x14ac:dyDescent="0.3">
      <c r="A49" s="157" t="s">
        <v>1019</v>
      </c>
      <c r="B49" s="35"/>
      <c r="C49" s="111">
        <f>C39+C47</f>
        <v>1379927050.3899996</v>
      </c>
      <c r="D49" s="111">
        <f>D39+D47</f>
        <v>116581515.46217549</v>
      </c>
      <c r="E49" s="39">
        <f>SUM(F49:M49)</f>
        <v>1263345534.9278245</v>
      </c>
      <c r="F49" s="111">
        <f>F39+F47</f>
        <v>1022073789.8739424</v>
      </c>
      <c r="G49" s="111">
        <f t="shared" ref="G49:M49" si="7">G39+G47</f>
        <v>29814875.529483594</v>
      </c>
      <c r="H49" s="111">
        <f t="shared" si="7"/>
        <v>143618013.31458995</v>
      </c>
      <c r="I49" s="111">
        <f t="shared" si="7"/>
        <v>23753018.60776642</v>
      </c>
      <c r="J49" s="111">
        <f t="shared" si="7"/>
        <v>6889148.4272033079</v>
      </c>
      <c r="K49" s="111">
        <f t="shared" si="7"/>
        <v>21971024.746945158</v>
      </c>
      <c r="L49" s="111">
        <f t="shared" si="7"/>
        <v>15123004.91493478</v>
      </c>
      <c r="M49" s="236">
        <f t="shared" si="7"/>
        <v>102659.51295881959</v>
      </c>
      <c r="O49" s="32">
        <f>'3a. OM_AG-i'!F279+'6a. OE_OR-i'!F32+'6a. OE_OR-i'!F82+'6a. OE_OR-i'!F83-C49</f>
        <v>0</v>
      </c>
    </row>
    <row r="50" spans="1:15" s="16" customFormat="1" ht="14.5" x14ac:dyDescent="0.45">
      <c r="A50" s="153" t="s">
        <v>958</v>
      </c>
      <c r="B50" s="53"/>
      <c r="C50" s="117">
        <f>+E50+D50</f>
        <v>0</v>
      </c>
      <c r="D50" s="117">
        <v>0</v>
      </c>
      <c r="E50" s="114">
        <f>SUM(F50:M50)</f>
        <v>0</v>
      </c>
      <c r="F50" s="117">
        <v>0</v>
      </c>
      <c r="G50" s="117">
        <v>0</v>
      </c>
      <c r="H50" s="117">
        <v>0</v>
      </c>
      <c r="I50" s="117">
        <v>0</v>
      </c>
      <c r="J50" s="117">
        <v>0</v>
      </c>
      <c r="K50" s="117">
        <v>0</v>
      </c>
      <c r="L50" s="117">
        <v>0</v>
      </c>
      <c r="M50" s="238">
        <v>0</v>
      </c>
    </row>
    <row r="51" spans="1:15" x14ac:dyDescent="0.3">
      <c r="A51" s="157" t="s">
        <v>1021</v>
      </c>
      <c r="B51" s="35"/>
      <c r="C51" s="111">
        <f>C49+C50</f>
        <v>1379927050.3899996</v>
      </c>
      <c r="D51" s="111">
        <f>D49+D50</f>
        <v>116581515.46217549</v>
      </c>
      <c r="E51" s="111">
        <f>E49+E50</f>
        <v>1263345534.9278245</v>
      </c>
      <c r="F51" s="111">
        <f>F49+F50</f>
        <v>1022073789.8739424</v>
      </c>
      <c r="G51" s="111">
        <f t="shared" ref="G51:M51" si="8">G49+G50</f>
        <v>29814875.529483594</v>
      </c>
      <c r="H51" s="111">
        <f t="shared" si="8"/>
        <v>143618013.31458995</v>
      </c>
      <c r="I51" s="111">
        <f t="shared" si="8"/>
        <v>23753018.60776642</v>
      </c>
      <c r="J51" s="111">
        <f t="shared" si="8"/>
        <v>6889148.4272033079</v>
      </c>
      <c r="K51" s="111">
        <f t="shared" si="8"/>
        <v>21971024.746945158</v>
      </c>
      <c r="L51" s="111">
        <f t="shared" si="8"/>
        <v>15123004.91493478</v>
      </c>
      <c r="M51" s="236">
        <f t="shared" si="8"/>
        <v>102659.51295881959</v>
      </c>
    </row>
    <row r="52" spans="1:15" x14ac:dyDescent="0.3">
      <c r="A52" s="157"/>
      <c r="B52" s="35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236"/>
    </row>
    <row r="53" spans="1:15" x14ac:dyDescent="0.3">
      <c r="A53" s="157" t="s">
        <v>1022</v>
      </c>
      <c r="B53" s="35"/>
      <c r="C53" s="111">
        <f>+E53+D53</f>
        <v>389578077.56999993</v>
      </c>
      <c r="D53" s="111">
        <f>'8a. DS-Cash '!E11</f>
        <v>19514685.52</v>
      </c>
      <c r="E53" s="39">
        <f>SUM(F53:M53)</f>
        <v>370063392.04999995</v>
      </c>
      <c r="F53" s="111">
        <f>'8a. DS-Cash '!G11</f>
        <v>194662355.63</v>
      </c>
      <c r="G53" s="111">
        <f>'8a. DS-Cash '!H11</f>
        <v>32542419.640000001</v>
      </c>
      <c r="H53" s="111">
        <f>'8a. DS-Cash '!I11</f>
        <v>131670414.92717849</v>
      </c>
      <c r="I53" s="111">
        <f>'8a. DS-Cash '!J11</f>
        <v>9523874.5472310148</v>
      </c>
      <c r="J53" s="111">
        <f>'8a. DS-Cash '!K11</f>
        <v>555779.08889031655</v>
      </c>
      <c r="K53" s="111">
        <f>'8a. DS-Cash '!L11</f>
        <v>2606336.511108852</v>
      </c>
      <c r="L53" s="111">
        <f>'8a. DS-Cash '!M11</f>
        <v>518421.72659935633</v>
      </c>
      <c r="M53" s="236">
        <f>'8a. DS-Cash '!N11</f>
        <v>-2016210.0210080447</v>
      </c>
    </row>
    <row r="54" spans="1:15" ht="14.5" x14ac:dyDescent="0.45">
      <c r="A54" s="157" t="s">
        <v>1023</v>
      </c>
      <c r="B54" s="35"/>
      <c r="C54" s="114">
        <f>+E54+D54</f>
        <v>5125110.8100000015</v>
      </c>
      <c r="D54" s="114">
        <f>'8a. DS-Cash '!E13</f>
        <v>252030.61</v>
      </c>
      <c r="E54" s="116">
        <f>SUM(F54:M54)</f>
        <v>4873080.2000000011</v>
      </c>
      <c r="F54" s="114">
        <f>'8a. DS-Cash '!G13</f>
        <v>2943425.5400000005</v>
      </c>
      <c r="G54" s="114">
        <f>'8a. DS-Cash '!H13</f>
        <v>324108.45</v>
      </c>
      <c r="H54" s="114">
        <f>'8a. DS-Cash '!I13</f>
        <v>1479805.2817564094</v>
      </c>
      <c r="I54" s="114">
        <f>'8a. DS-Cash '!J13</f>
        <v>107036.04044668967</v>
      </c>
      <c r="J54" s="114">
        <f>'8a. DS-Cash '!K13</f>
        <v>6246.2386230385628</v>
      </c>
      <c r="K54" s="114">
        <f>'8a. DS-Cash '!L13</f>
        <v>29291.853734238852</v>
      </c>
      <c r="L54" s="114">
        <f>'8a. DS-Cash '!M13</f>
        <v>5826.3901547154037</v>
      </c>
      <c r="M54" s="237">
        <f>'8a. DS-Cash '!N13</f>
        <v>-22659.594715092317</v>
      </c>
    </row>
    <row r="55" spans="1:15" x14ac:dyDescent="0.3">
      <c r="A55" s="157" t="s">
        <v>1024</v>
      </c>
      <c r="B55" s="35"/>
      <c r="C55" s="111">
        <f>SUM(C53:C54)</f>
        <v>394703188.37999994</v>
      </c>
      <c r="D55" s="111">
        <f>SUM(D53:D54)</f>
        <v>19766716.129999999</v>
      </c>
      <c r="E55" s="111">
        <f>SUM(E53:E54)</f>
        <v>374936472.24999994</v>
      </c>
      <c r="F55" s="111">
        <f>SUM(F53:F54)</f>
        <v>197605781.16999999</v>
      </c>
      <c r="G55" s="111">
        <f t="shared" ref="G55:M55" si="9">SUM(G53:G54)</f>
        <v>32866528.09</v>
      </c>
      <c r="H55" s="111">
        <f t="shared" si="9"/>
        <v>133150220.2089349</v>
      </c>
      <c r="I55" s="111">
        <f t="shared" si="9"/>
        <v>9630910.5876777042</v>
      </c>
      <c r="J55" s="111">
        <f t="shared" si="9"/>
        <v>562025.32751335506</v>
      </c>
      <c r="K55" s="111">
        <f t="shared" si="9"/>
        <v>2635628.364843091</v>
      </c>
      <c r="L55" s="111">
        <f t="shared" si="9"/>
        <v>524248.11675407173</v>
      </c>
      <c r="M55" s="236">
        <f t="shared" si="9"/>
        <v>-2038869.615723137</v>
      </c>
      <c r="O55" s="32">
        <f>C55-'8a. DS-Cash '!D11-'8a. DS-Cash '!D13</f>
        <v>-5.0000037997961044E-2</v>
      </c>
    </row>
    <row r="56" spans="1:15" x14ac:dyDescent="0.3">
      <c r="A56" s="157"/>
      <c r="B56" s="35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236"/>
    </row>
    <row r="57" spans="1:15" x14ac:dyDescent="0.3">
      <c r="A57" s="157" t="s">
        <v>1025</v>
      </c>
      <c r="B57" s="35"/>
      <c r="C57" s="111">
        <f>+E57+D57</f>
        <v>0</v>
      </c>
      <c r="D57" s="111">
        <f>'8a. DS-Cash '!E15</f>
        <v>0</v>
      </c>
      <c r="E57" s="111">
        <f>SUM(F57:M57)</f>
        <v>0</v>
      </c>
      <c r="F57" s="111">
        <f>'8a. DS-Cash '!G15</f>
        <v>0</v>
      </c>
      <c r="G57" s="111">
        <f>'8a. DS-Cash '!H15</f>
        <v>0</v>
      </c>
      <c r="H57" s="111">
        <f>'8a. DS-Cash '!I15</f>
        <v>0</v>
      </c>
      <c r="I57" s="111">
        <f>'8a. DS-Cash '!J15</f>
        <v>0</v>
      </c>
      <c r="J57" s="111">
        <f>'8a. DS-Cash '!K15</f>
        <v>0</v>
      </c>
      <c r="K57" s="111">
        <f>'8a. DS-Cash '!L15</f>
        <v>0</v>
      </c>
      <c r="L57" s="111">
        <f>'8a. DS-Cash '!M15</f>
        <v>0</v>
      </c>
      <c r="M57" s="236">
        <f>'8a. DS-Cash '!N15</f>
        <v>0</v>
      </c>
      <c r="O57" s="32">
        <f>C57-'8a. DS-Cash '!D18-'8a. DS-Cash '!D17-'8a. DS-Cash '!D15-'8a. DS-Cash '!D16</f>
        <v>0</v>
      </c>
    </row>
    <row r="58" spans="1:15" x14ac:dyDescent="0.3">
      <c r="A58" s="157"/>
      <c r="B58" s="35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236"/>
    </row>
    <row r="59" spans="1:15" ht="14.5" x14ac:dyDescent="0.45">
      <c r="A59" s="157" t="s">
        <v>1026</v>
      </c>
      <c r="B59" s="35"/>
      <c r="C59" s="114">
        <f>+E59+D59</f>
        <v>212643907.95685038</v>
      </c>
      <c r="D59" s="114">
        <f>'8a. DS-Cash '!E20</f>
        <v>25225409.230132557</v>
      </c>
      <c r="E59" s="116">
        <f>SUM(F59:M59)</f>
        <v>187418498.72671783</v>
      </c>
      <c r="F59" s="114">
        <f>'8a. DS-Cash '!G20</f>
        <v>83781010.040029466</v>
      </c>
      <c r="G59" s="114">
        <f>'8a. DS-Cash '!H20</f>
        <v>30701008.972941764</v>
      </c>
      <c r="H59" s="114">
        <f>'8a. DS-Cash '!I20</f>
        <v>39556513.133117981</v>
      </c>
      <c r="I59" s="114">
        <f>'8a. DS-Cash '!J20</f>
        <v>24357903.798237972</v>
      </c>
      <c r="J59" s="114">
        <f>'8a. DS-Cash '!K20</f>
        <v>1128816.6600074177</v>
      </c>
      <c r="K59" s="114">
        <f>'8a. DS-Cash '!L20</f>
        <v>5765239.3589558424</v>
      </c>
      <c r="L59" s="114">
        <f>'8a. DS-Cash '!M20</f>
        <v>2128006.7634274056</v>
      </c>
      <c r="M59" s="237">
        <f>'8a. DS-Cash '!N20</f>
        <v>0</v>
      </c>
      <c r="O59" s="32">
        <f>C59-'8a. DS-Cash '!D20</f>
        <v>0</v>
      </c>
    </row>
    <row r="60" spans="1:15" x14ac:dyDescent="0.3">
      <c r="A60" s="157" t="s">
        <v>1027</v>
      </c>
      <c r="B60" s="35"/>
      <c r="C60" s="111">
        <f>E60+D60</f>
        <v>1987274146.7268505</v>
      </c>
      <c r="D60" s="111">
        <f>D59+D57+D55+D51</f>
        <v>161573640.82230806</v>
      </c>
      <c r="E60" s="39">
        <f>SUM(F60:M60)</f>
        <v>1825700505.9045424</v>
      </c>
      <c r="F60" s="111">
        <f>F59+F57+F55+F51</f>
        <v>1303460581.083972</v>
      </c>
      <c r="G60" s="111">
        <f t="shared" ref="G60:M60" si="10">G59+G57+G55+G51</f>
        <v>93382412.592425346</v>
      </c>
      <c r="H60" s="111">
        <f t="shared" si="10"/>
        <v>316324746.65664279</v>
      </c>
      <c r="I60" s="111">
        <f t="shared" si="10"/>
        <v>57741832.993682094</v>
      </c>
      <c r="J60" s="111">
        <f t="shared" si="10"/>
        <v>8579990.4147240799</v>
      </c>
      <c r="K60" s="111">
        <f t="shared" si="10"/>
        <v>30371892.470744092</v>
      </c>
      <c r="L60" s="111">
        <f t="shared" si="10"/>
        <v>17775259.795116257</v>
      </c>
      <c r="M60" s="236">
        <f t="shared" si="10"/>
        <v>-1936210.1027643175</v>
      </c>
    </row>
    <row r="61" spans="1:15" ht="14.5" x14ac:dyDescent="0.45">
      <c r="A61" s="157" t="s">
        <v>1028</v>
      </c>
      <c r="B61" s="35"/>
      <c r="C61" s="114">
        <f>E61+D61</f>
        <v>323509744.81599885</v>
      </c>
      <c r="D61" s="114">
        <f>D60/0.86*0.14</f>
        <v>26302685.715259455</v>
      </c>
      <c r="E61" s="116">
        <f>SUM(F61:M61)</f>
        <v>297207059.10073942</v>
      </c>
      <c r="F61" s="114">
        <f t="shared" ref="F61:M61" si="11">F60/0.86*0.14</f>
        <v>212191257.3857629</v>
      </c>
      <c r="G61" s="114">
        <f t="shared" si="11"/>
        <v>15201788.096441338</v>
      </c>
      <c r="H61" s="114">
        <f t="shared" si="11"/>
        <v>51494726.199918605</v>
      </c>
      <c r="I61" s="114">
        <f t="shared" si="11"/>
        <v>9399833.2780412715</v>
      </c>
      <c r="J61" s="114">
        <f t="shared" si="11"/>
        <v>1396742.6256527572</v>
      </c>
      <c r="K61" s="114">
        <f t="shared" si="11"/>
        <v>4944261.5650048526</v>
      </c>
      <c r="L61" s="114">
        <f t="shared" si="11"/>
        <v>2893646.9433910185</v>
      </c>
      <c r="M61" s="237">
        <f t="shared" si="11"/>
        <v>-315196.99347326101</v>
      </c>
    </row>
    <row r="62" spans="1:15" x14ac:dyDescent="0.3">
      <c r="A62" s="157" t="s">
        <v>1141</v>
      </c>
      <c r="B62" s="35"/>
      <c r="C62" s="111">
        <f>E62+D62</f>
        <v>2310783891.5428491</v>
      </c>
      <c r="D62" s="111">
        <f>D60+D61</f>
        <v>187876326.53756753</v>
      </c>
      <c r="E62" s="39">
        <f>SUM(F62:M62)</f>
        <v>2122907565.0052817</v>
      </c>
      <c r="F62" s="111">
        <f>F60+F61</f>
        <v>1515651838.4697349</v>
      </c>
      <c r="G62" s="111">
        <f t="shared" ref="G62:M62" si="12">G60+G61</f>
        <v>108584200.68886669</v>
      </c>
      <c r="H62" s="111">
        <f t="shared" si="12"/>
        <v>367819472.85656142</v>
      </c>
      <c r="I62" s="111">
        <f t="shared" si="12"/>
        <v>67141666.27172336</v>
      </c>
      <c r="J62" s="111">
        <f t="shared" si="12"/>
        <v>9976733.0403768364</v>
      </c>
      <c r="K62" s="111">
        <f t="shared" si="12"/>
        <v>35316154.035748944</v>
      </c>
      <c r="L62" s="111">
        <f t="shared" si="12"/>
        <v>20668906.738507275</v>
      </c>
      <c r="M62" s="236">
        <f t="shared" si="12"/>
        <v>-2251407.0962375784</v>
      </c>
    </row>
    <row r="63" spans="1:15" x14ac:dyDescent="0.3">
      <c r="A63" s="157"/>
      <c r="B63" s="35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236"/>
    </row>
    <row r="64" spans="1:15" x14ac:dyDescent="0.3">
      <c r="A64" s="157" t="s">
        <v>175</v>
      </c>
      <c r="B64" s="35"/>
      <c r="C64" s="111">
        <f>E64+D64</f>
        <v>-7845002.1399999997</v>
      </c>
      <c r="D64" s="111">
        <f>'6a. OE_OR-i'!G90</f>
        <v>-670903.62</v>
      </c>
      <c r="E64" s="39">
        <f>SUM(F64:M64)</f>
        <v>-7174098.5199999996</v>
      </c>
      <c r="F64" s="111">
        <f>'6a. OE_OR-i'!J90</f>
        <v>0</v>
      </c>
      <c r="G64" s="111">
        <f>'6a. OE_OR-i'!K90</f>
        <v>0</v>
      </c>
      <c r="H64" s="111">
        <f>'6a. OE_OR-i'!L90</f>
        <v>0</v>
      </c>
      <c r="I64" s="111">
        <f>'6a. OE_OR-i'!M90</f>
        <v>0</v>
      </c>
      <c r="J64" s="111">
        <f>'6a. OE_OR-i'!N90</f>
        <v>0</v>
      </c>
      <c r="K64" s="111">
        <f>'6a. OE_OR-i'!O90</f>
        <v>0</v>
      </c>
      <c r="L64" s="111">
        <f>'6a. OE_OR-i'!P90</f>
        <v>0</v>
      </c>
      <c r="M64" s="236">
        <f>'6a. OE_OR-i'!Q90</f>
        <v>-7174098.5199999996</v>
      </c>
      <c r="O64" s="32">
        <f>C64-'6a. OE_OR-i'!F90</f>
        <v>0</v>
      </c>
    </row>
    <row r="65" spans="1:15" x14ac:dyDescent="0.3">
      <c r="A65" s="157" t="s">
        <v>176</v>
      </c>
      <c r="B65" s="35"/>
      <c r="C65" s="111">
        <f>E65+D65</f>
        <v>-23059178.073762514</v>
      </c>
      <c r="D65" s="111">
        <f>'6a. OE_OR-i'!G118</f>
        <v>-5686333.8977229428</v>
      </c>
      <c r="E65" s="39">
        <f>SUM(F65:M65)</f>
        <v>-17372844.176039569</v>
      </c>
      <c r="F65" s="111">
        <f>'6a. OE_OR-i'!J118</f>
        <v>-3175736.6711724643</v>
      </c>
      <c r="G65" s="111">
        <f>'6a. OE_OR-i'!K118</f>
        <v>-472318.52795562317</v>
      </c>
      <c r="H65" s="111">
        <f>'6a. OE_OR-i'!L118</f>
        <v>-7436415.7638784405</v>
      </c>
      <c r="I65" s="111">
        <f>'6a. OE_OR-i'!M118</f>
        <v>-415139.35028303484</v>
      </c>
      <c r="J65" s="111">
        <f>'6a. OE_OR-i'!N118</f>
        <v>-4208062.3516622186</v>
      </c>
      <c r="K65" s="111">
        <f>'6a. OE_OR-i'!O118</f>
        <v>-223503.29004645935</v>
      </c>
      <c r="L65" s="111">
        <f>'6a. OE_OR-i'!P118</f>
        <v>-62293.171041331167</v>
      </c>
      <c r="M65" s="236">
        <f>'6a. OE_OR-i'!Q118</f>
        <v>-1379375.0499999989</v>
      </c>
      <c r="O65" s="32">
        <f>C65-'6a. OE_OR-i'!F118</f>
        <v>6.2374882400035858E-3</v>
      </c>
    </row>
    <row r="66" spans="1:15" s="120" customFormat="1" x14ac:dyDescent="0.3">
      <c r="A66" s="157" t="s">
        <v>1029</v>
      </c>
      <c r="B66" s="118"/>
      <c r="C66" s="119">
        <f>E66+D66</f>
        <v>-12954658.129999999</v>
      </c>
      <c r="D66" s="119">
        <f>-'8a. DS-Cash '!E24</f>
        <v>-1073192.0056876966</v>
      </c>
      <c r="E66" s="108">
        <f>SUM(F66:M66)</f>
        <v>-11881466.124312302</v>
      </c>
      <c r="F66" s="119">
        <f>-'8a. DS-Cash '!G24</f>
        <v>-6149759.370575917</v>
      </c>
      <c r="G66" s="119">
        <f>-'8a. DS-Cash '!H24</f>
        <v>-1495592.9520059982</v>
      </c>
      <c r="H66" s="119">
        <f>-'8a. DS-Cash '!I24</f>
        <v>-3904355.7512052124</v>
      </c>
      <c r="I66" s="119">
        <f>-'8a. DS-Cash '!J24</f>
        <v>-282406.6010557047</v>
      </c>
      <c r="J66" s="119">
        <f>-'8a. DS-Cash '!K24</f>
        <v>-16480.23418976742</v>
      </c>
      <c r="K66" s="119">
        <f>-'8a. DS-Cash '!L24</f>
        <v>-77284.368777903845</v>
      </c>
      <c r="L66" s="119">
        <f>-'8a. DS-Cash '!M24</f>
        <v>-15372.495370829587</v>
      </c>
      <c r="M66" s="239">
        <f>-'8a. DS-Cash '!N24</f>
        <v>59785.648869029399</v>
      </c>
      <c r="N66" s="51"/>
      <c r="O66" s="120">
        <f>C66+'8a. DS-Cash '!D24</f>
        <v>0</v>
      </c>
    </row>
    <row r="67" spans="1:15" s="16" customFormat="1" x14ac:dyDescent="0.3">
      <c r="A67" s="153" t="s">
        <v>1246</v>
      </c>
      <c r="B67" s="53"/>
      <c r="C67" s="112">
        <f t="shared" ref="C67:M67" si="13">SUM(C62,C64:C66)</f>
        <v>2266925053.1990867</v>
      </c>
      <c r="D67" s="112">
        <f t="shared" si="13"/>
        <v>180445897.01415691</v>
      </c>
      <c r="E67" s="112">
        <f t="shared" si="13"/>
        <v>2086479156.1849298</v>
      </c>
      <c r="F67" s="112">
        <f t="shared" si="13"/>
        <v>1506326342.4279866</v>
      </c>
      <c r="G67" s="112">
        <f t="shared" si="13"/>
        <v>106616289.20890507</v>
      </c>
      <c r="H67" s="112">
        <f t="shared" si="13"/>
        <v>356478701.34147775</v>
      </c>
      <c r="I67" s="112">
        <f t="shared" si="13"/>
        <v>66444120.320384622</v>
      </c>
      <c r="J67" s="112">
        <f t="shared" si="13"/>
        <v>5752190.4545248505</v>
      </c>
      <c r="K67" s="112">
        <f t="shared" si="13"/>
        <v>35015366.376924582</v>
      </c>
      <c r="L67" s="112">
        <f t="shared" si="13"/>
        <v>20591241.072095111</v>
      </c>
      <c r="M67" s="248">
        <f t="shared" si="13"/>
        <v>-10745095.017368546</v>
      </c>
    </row>
    <row r="68" spans="1:15" x14ac:dyDescent="0.3">
      <c r="A68" s="157"/>
      <c r="B68" s="35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236"/>
    </row>
    <row r="69" spans="1:15" x14ac:dyDescent="0.3">
      <c r="A69" s="157" t="s">
        <v>30</v>
      </c>
      <c r="B69" s="35"/>
      <c r="C69" s="35"/>
      <c r="D69" s="35"/>
      <c r="E69" s="111"/>
      <c r="F69" s="35"/>
      <c r="G69" s="240"/>
      <c r="H69" s="35"/>
      <c r="I69" s="35"/>
      <c r="J69" s="35"/>
      <c r="K69" s="35"/>
      <c r="L69" s="35"/>
      <c r="M69" s="158"/>
    </row>
    <row r="70" spans="1:15" x14ac:dyDescent="0.3">
      <c r="A70" s="157"/>
      <c r="B70" s="35"/>
      <c r="C70" s="35"/>
      <c r="D70" s="35"/>
      <c r="E70" s="111"/>
      <c r="F70" s="35"/>
      <c r="G70" s="240"/>
      <c r="H70" s="35"/>
      <c r="I70" s="35"/>
      <c r="J70" s="35"/>
      <c r="K70" s="35"/>
      <c r="L70" s="35"/>
      <c r="M70" s="158"/>
    </row>
    <row r="71" spans="1:15" x14ac:dyDescent="0.3">
      <c r="A71" s="157" t="s">
        <v>1335</v>
      </c>
      <c r="B71" s="35"/>
      <c r="C71" s="111">
        <f>E71+D71</f>
        <v>0</v>
      </c>
      <c r="D71" s="111">
        <f>-D57</f>
        <v>0</v>
      </c>
      <c r="E71" s="111">
        <f>SUM(F71:M71)</f>
        <v>0</v>
      </c>
      <c r="F71" s="111">
        <f t="shared" ref="F71:M71" si="14">-F57</f>
        <v>0</v>
      </c>
      <c r="G71" s="111">
        <f t="shared" si="14"/>
        <v>0</v>
      </c>
      <c r="H71" s="111">
        <f t="shared" si="14"/>
        <v>0</v>
      </c>
      <c r="I71" s="111">
        <f t="shared" si="14"/>
        <v>0</v>
      </c>
      <c r="J71" s="111">
        <f t="shared" si="14"/>
        <v>0</v>
      </c>
      <c r="K71" s="111">
        <f t="shared" si="14"/>
        <v>0</v>
      </c>
      <c r="L71" s="111">
        <f t="shared" si="14"/>
        <v>0</v>
      </c>
      <c r="M71" s="236">
        <f t="shared" si="14"/>
        <v>0</v>
      </c>
    </row>
    <row r="72" spans="1:15" x14ac:dyDescent="0.3">
      <c r="A72" s="157" t="s">
        <v>1336</v>
      </c>
      <c r="B72" s="35"/>
      <c r="C72" s="111">
        <f>E72+D72</f>
        <v>0</v>
      </c>
      <c r="D72" s="111">
        <f>D71/0.86*0.14</f>
        <v>0</v>
      </c>
      <c r="E72" s="111">
        <f>SUM(F72:M72)</f>
        <v>0</v>
      </c>
      <c r="F72" s="111">
        <f t="shared" ref="F72:M72" si="15">F71/0.86*0.14</f>
        <v>0</v>
      </c>
      <c r="G72" s="111">
        <f t="shared" si="15"/>
        <v>0</v>
      </c>
      <c r="H72" s="111">
        <f t="shared" si="15"/>
        <v>0</v>
      </c>
      <c r="I72" s="111">
        <f t="shared" si="15"/>
        <v>0</v>
      </c>
      <c r="J72" s="111">
        <f t="shared" si="15"/>
        <v>0</v>
      </c>
      <c r="K72" s="111">
        <f t="shared" si="15"/>
        <v>0</v>
      </c>
      <c r="L72" s="111">
        <f t="shared" si="15"/>
        <v>0</v>
      </c>
      <c r="M72" s="236">
        <f t="shared" si="15"/>
        <v>0</v>
      </c>
    </row>
    <row r="73" spans="1:15" x14ac:dyDescent="0.3">
      <c r="A73" s="157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158"/>
    </row>
    <row r="74" spans="1:15" x14ac:dyDescent="0.3">
      <c r="A74" s="157" t="s">
        <v>25</v>
      </c>
      <c r="B74" s="35"/>
      <c r="C74" s="35">
        <f t="shared" ref="C74:C79" si="16">E74+D74</f>
        <v>-751645386.67999995</v>
      </c>
      <c r="D74" s="35">
        <f>-D39</f>
        <v>-72749734.219999999</v>
      </c>
      <c r="E74" s="111">
        <f>SUM(F74:M74)</f>
        <v>-678895652.45999992</v>
      </c>
      <c r="F74" s="35">
        <f>+'9b. Summary Schedules-sf'!J74</f>
        <v>-678895652.45999992</v>
      </c>
      <c r="G74" s="240"/>
      <c r="H74" s="35"/>
      <c r="I74" s="35"/>
      <c r="J74" s="35"/>
      <c r="K74" s="35"/>
      <c r="L74" s="35"/>
      <c r="M74" s="158"/>
    </row>
    <row r="75" spans="1:15" x14ac:dyDescent="0.3">
      <c r="A75" s="157" t="s">
        <v>137</v>
      </c>
      <c r="B75" s="35"/>
      <c r="C75" s="35">
        <f>E75+D75</f>
        <v>-122360876.90139535</v>
      </c>
      <c r="D75" s="35">
        <f>D74/0.86*0.14</f>
        <v>-11842979.989302326</v>
      </c>
      <c r="E75" s="111">
        <f>SUM(F75:M75)</f>
        <v>-110517896.91209303</v>
      </c>
      <c r="F75" s="35">
        <f>F74/0.86*0.14</f>
        <v>-110517896.91209303</v>
      </c>
      <c r="G75" s="240"/>
      <c r="H75" s="35"/>
      <c r="I75" s="35"/>
      <c r="J75" s="35"/>
      <c r="K75" s="35"/>
      <c r="L75" s="35"/>
      <c r="M75" s="158"/>
    </row>
    <row r="76" spans="1:15" x14ac:dyDescent="0.3">
      <c r="A76" s="153" t="s">
        <v>139</v>
      </c>
      <c r="B76" s="53"/>
      <c r="C76" s="111">
        <f t="shared" si="16"/>
        <v>0</v>
      </c>
      <c r="D76" s="111"/>
      <c r="E76" s="111">
        <f>SUM(F76:M76)</f>
        <v>0</v>
      </c>
      <c r="F76" s="111">
        <f>'9b. Summary Schedules-sf'!J76</f>
        <v>0</v>
      </c>
      <c r="G76" s="240"/>
      <c r="H76" s="35"/>
      <c r="I76" s="35"/>
      <c r="J76" s="35"/>
      <c r="K76" s="35"/>
      <c r="L76" s="35"/>
      <c r="M76" s="158"/>
    </row>
    <row r="77" spans="1:15" x14ac:dyDescent="0.3">
      <c r="A77" s="153" t="str">
        <f>"Plus: Base Rate Fuel @ "&amp;(B77*100)&amp;" cents per kWh"</f>
        <v>Plus: Base Rate Fuel @ 1.416 cents per kWh</v>
      </c>
      <c r="B77" s="241">
        <v>1.4160000000000001E-2</v>
      </c>
      <c r="C77" s="53">
        <f t="shared" si="16"/>
        <v>317042422.25951999</v>
      </c>
      <c r="D77" s="53"/>
      <c r="E77" s="112">
        <f>SUM(F77:M77)</f>
        <v>317042422.25951999</v>
      </c>
      <c r="F77" s="53">
        <f>F89*B77</f>
        <v>317042422.25951999</v>
      </c>
      <c r="G77" s="242"/>
      <c r="H77" s="53"/>
      <c r="I77" s="53"/>
      <c r="J77" s="53"/>
      <c r="K77" s="53"/>
      <c r="L77" s="53"/>
      <c r="M77" s="154"/>
    </row>
    <row r="78" spans="1:15" x14ac:dyDescent="0.3">
      <c r="A78" s="153" t="str">
        <f>"Plus: Base Rate Fuel @ $"&amp;(B78)&amp;" per MCF"</f>
        <v>Plus: Base Rate Fuel @ $2.2 per MCF</v>
      </c>
      <c r="B78" s="241">
        <v>2.2000000000000002</v>
      </c>
      <c r="C78" s="53">
        <f t="shared" si="16"/>
        <v>53285048.960000008</v>
      </c>
      <c r="D78" s="53">
        <f>D89*B78</f>
        <v>53285048.960000008</v>
      </c>
      <c r="E78" s="112"/>
      <c r="F78" s="53"/>
      <c r="G78" s="242"/>
      <c r="H78" s="53"/>
      <c r="I78" s="53"/>
      <c r="J78" s="53"/>
      <c r="K78" s="53"/>
      <c r="L78" s="53"/>
      <c r="M78" s="154"/>
    </row>
    <row r="79" spans="1:15" x14ac:dyDescent="0.3">
      <c r="A79" s="157" t="s">
        <v>27</v>
      </c>
      <c r="B79" s="35"/>
      <c r="C79" s="35">
        <f t="shared" si="16"/>
        <v>60285867.407828845</v>
      </c>
      <c r="D79" s="35">
        <f>(D77+D78)/0.86*0.14</f>
        <v>8674310.2958139554</v>
      </c>
      <c r="E79" s="111">
        <f>SUM(F79:M79)</f>
        <v>51611557.11201489</v>
      </c>
      <c r="F79" s="35">
        <f>(F77+F78)/0.86*0.14</f>
        <v>51611557.11201489</v>
      </c>
      <c r="G79" s="240"/>
      <c r="H79" s="35"/>
      <c r="I79" s="35"/>
      <c r="J79" s="35"/>
      <c r="K79" s="35"/>
      <c r="L79" s="35"/>
      <c r="M79" s="158"/>
    </row>
    <row r="80" spans="1:15" x14ac:dyDescent="0.3">
      <c r="A80" s="157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158"/>
    </row>
    <row r="81" spans="1:13" x14ac:dyDescent="0.3">
      <c r="A81" s="157" t="s">
        <v>147</v>
      </c>
      <c r="B81" s="35"/>
      <c r="C81" s="53">
        <f>E81+D81</f>
        <v>-106616289.20890507</v>
      </c>
      <c r="D81" s="35"/>
      <c r="E81" s="111">
        <f>SUM(F81:M81)</f>
        <v>-106616289.20890507</v>
      </c>
      <c r="F81" s="35"/>
      <c r="G81" s="35">
        <f>-(G67+G71+G72)</f>
        <v>-106616289.20890507</v>
      </c>
      <c r="H81" s="35"/>
      <c r="I81" s="35"/>
      <c r="J81" s="35"/>
      <c r="K81" s="35"/>
      <c r="L81" s="35"/>
      <c r="M81" s="158"/>
    </row>
    <row r="82" spans="1:13" x14ac:dyDescent="0.3">
      <c r="A82" s="157" t="s">
        <v>1279</v>
      </c>
      <c r="B82" s="128">
        <v>15.536849999999999</v>
      </c>
      <c r="C82" s="53">
        <f>E82+D82</f>
        <v>70018316.938394994</v>
      </c>
      <c r="D82" s="35"/>
      <c r="E82" s="111">
        <f>SUM(F82:M82)</f>
        <v>70018316.938394994</v>
      </c>
      <c r="F82" s="35"/>
      <c r="G82" s="35">
        <f>G90*B82</f>
        <v>70018316.938394994</v>
      </c>
      <c r="H82" s="35"/>
      <c r="I82" s="35"/>
      <c r="J82" s="35"/>
      <c r="K82" s="35"/>
      <c r="L82" s="35"/>
      <c r="M82" s="158"/>
    </row>
    <row r="83" spans="1:13" x14ac:dyDescent="0.3">
      <c r="A83" s="157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158"/>
    </row>
    <row r="84" spans="1:13" x14ac:dyDescent="0.3">
      <c r="A84" s="157" t="s">
        <v>29</v>
      </c>
      <c r="B84" s="35"/>
      <c r="C84" s="35">
        <f>E84+D84</f>
        <v>8128910.5700000003</v>
      </c>
      <c r="D84" s="243">
        <v>1235594.3999999999</v>
      </c>
      <c r="E84" s="111">
        <f>SUM(F84:M84)</f>
        <v>6893316.1699999999</v>
      </c>
      <c r="F84" s="111">
        <v>0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  <c r="L84" s="111">
        <v>0</v>
      </c>
      <c r="M84" s="244">
        <v>6893316.1699999999</v>
      </c>
    </row>
    <row r="85" spans="1:13" x14ac:dyDescent="0.3">
      <c r="A85" s="157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158"/>
    </row>
    <row r="86" spans="1:13" x14ac:dyDescent="0.3">
      <c r="A86" s="157" t="s">
        <v>1247</v>
      </c>
      <c r="B86" s="35"/>
      <c r="C86" s="111">
        <f>SUM(C67:C85)</f>
        <v>1795063066.5445304</v>
      </c>
      <c r="D86" s="111">
        <f>SUM(D67:D85)</f>
        <v>159048136.46066856</v>
      </c>
      <c r="E86" s="111">
        <f>SUM(E67:E85)</f>
        <v>1636014930.0838621</v>
      </c>
      <c r="F86" s="111">
        <f t="shared" ref="F86:M86" si="17">SUM(F67:F85)</f>
        <v>1085566772.4274287</v>
      </c>
      <c r="G86" s="111">
        <f t="shared" si="17"/>
        <v>70018316.938394994</v>
      </c>
      <c r="H86" s="111">
        <f t="shared" si="17"/>
        <v>356478701.34147775</v>
      </c>
      <c r="I86" s="111">
        <f t="shared" si="17"/>
        <v>66444120.320384622</v>
      </c>
      <c r="J86" s="111">
        <f t="shared" si="17"/>
        <v>5752190.4545248505</v>
      </c>
      <c r="K86" s="111">
        <f t="shared" si="17"/>
        <v>35015366.376924582</v>
      </c>
      <c r="L86" s="111">
        <f t="shared" si="17"/>
        <v>20591241.072095111</v>
      </c>
      <c r="M86" s="236">
        <f t="shared" si="17"/>
        <v>-3851778.8473685458</v>
      </c>
    </row>
    <row r="87" spans="1:13" x14ac:dyDescent="0.3">
      <c r="A87" s="157" t="s">
        <v>1282</v>
      </c>
      <c r="B87" s="35"/>
      <c r="C87" s="111">
        <f>D87+E87</f>
        <v>1798563633.4397235</v>
      </c>
      <c r="D87" s="111">
        <v>158696924.50849289</v>
      </c>
      <c r="E87" s="111">
        <f>SUM(F87:L87)</f>
        <v>1639866708.9312305</v>
      </c>
      <c r="F87" s="111">
        <f t="shared" ref="F87:L87" si="18">F86</f>
        <v>1085566772.4274287</v>
      </c>
      <c r="G87" s="111">
        <f t="shared" si="18"/>
        <v>70018316.938394994</v>
      </c>
      <c r="H87" s="111">
        <f t="shared" si="18"/>
        <v>356478701.34147775</v>
      </c>
      <c r="I87" s="111">
        <f t="shared" si="18"/>
        <v>66444120.320384622</v>
      </c>
      <c r="J87" s="111">
        <f t="shared" si="18"/>
        <v>5752190.4545248505</v>
      </c>
      <c r="K87" s="111">
        <f t="shared" si="18"/>
        <v>35015366.376924582</v>
      </c>
      <c r="L87" s="111">
        <f t="shared" si="18"/>
        <v>20591241.072095111</v>
      </c>
      <c r="M87" s="403"/>
    </row>
    <row r="88" spans="1:13" x14ac:dyDescent="0.3">
      <c r="A88" s="157"/>
      <c r="B88" s="35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236"/>
    </row>
    <row r="89" spans="1:13" x14ac:dyDescent="0.3">
      <c r="A89" s="157" t="s">
        <v>161</v>
      </c>
      <c r="B89" s="35"/>
      <c r="C89" s="111"/>
      <c r="D89" s="111">
        <v>24220476.800000001</v>
      </c>
      <c r="E89" s="111" t="s">
        <v>1081</v>
      </c>
      <c r="F89" s="112">
        <f>'11c. Cust &amp; Demand Array'!E45</f>
        <v>22390001572</v>
      </c>
      <c r="G89" s="111" t="s">
        <v>1082</v>
      </c>
      <c r="H89" s="111"/>
      <c r="I89" s="111"/>
      <c r="J89" s="111"/>
      <c r="K89" s="111"/>
      <c r="L89" s="111"/>
      <c r="M89" s="236"/>
    </row>
    <row r="90" spans="1:13" x14ac:dyDescent="0.3">
      <c r="A90" s="157" t="s">
        <v>153</v>
      </c>
      <c r="B90" s="35"/>
      <c r="C90" s="111"/>
      <c r="D90" s="111"/>
      <c r="E90" s="111"/>
      <c r="F90" s="111"/>
      <c r="G90" s="122">
        <v>4506596.7</v>
      </c>
      <c r="H90" s="111"/>
      <c r="I90" s="111"/>
      <c r="J90" s="111"/>
      <c r="K90" s="111"/>
      <c r="L90" s="111"/>
      <c r="M90" s="236"/>
    </row>
    <row r="91" spans="1:13" ht="13.5" thickBot="1" x14ac:dyDescent="0.35">
      <c r="A91" s="33"/>
      <c r="B91" s="34"/>
      <c r="C91" s="245"/>
      <c r="D91" s="245"/>
      <c r="E91" s="245"/>
      <c r="F91" s="245"/>
      <c r="G91" s="246"/>
      <c r="H91" s="245"/>
      <c r="I91" s="245"/>
      <c r="J91" s="245"/>
      <c r="K91" s="245"/>
      <c r="L91" s="245"/>
      <c r="M91" s="247"/>
    </row>
    <row r="92" spans="1:13" ht="13.5" thickBot="1" x14ac:dyDescent="0.35">
      <c r="A92" s="43"/>
      <c r="B92" s="35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</row>
    <row r="93" spans="1:13" x14ac:dyDescent="0.3">
      <c r="A93" s="205" t="str">
        <f>A1</f>
        <v>CPS Energy</v>
      </c>
      <c r="B93" s="206"/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8"/>
    </row>
    <row r="94" spans="1:13" x14ac:dyDescent="0.3">
      <c r="A94" s="209" t="s">
        <v>1248</v>
      </c>
      <c r="B94" s="182"/>
      <c r="C94" s="183"/>
      <c r="D94" s="183"/>
      <c r="E94" s="183"/>
      <c r="F94" s="183"/>
      <c r="G94" s="183"/>
      <c r="H94" s="183"/>
      <c r="I94" s="183"/>
      <c r="J94" s="183"/>
      <c r="K94" s="183"/>
      <c r="L94" s="183"/>
      <c r="M94" s="210"/>
    </row>
    <row r="95" spans="1:13" x14ac:dyDescent="0.3">
      <c r="A95" s="211" t="str">
        <f>A3</f>
        <v>FYE 2017 UCOS</v>
      </c>
      <c r="B95" s="183"/>
      <c r="C95" s="183"/>
      <c r="D95" s="183"/>
      <c r="E95" s="183"/>
      <c r="F95" s="183"/>
      <c r="G95" s="183"/>
      <c r="H95" s="183"/>
      <c r="I95" s="183"/>
      <c r="J95" s="183"/>
      <c r="K95" s="183"/>
      <c r="L95" s="183"/>
      <c r="M95" s="210"/>
    </row>
    <row r="96" spans="1:13" x14ac:dyDescent="0.3">
      <c r="A96" s="212"/>
      <c r="B96" s="184"/>
      <c r="C96" s="183"/>
      <c r="D96" s="184"/>
      <c r="E96" s="184"/>
      <c r="F96" s="183"/>
      <c r="G96" s="183"/>
      <c r="H96" s="183"/>
      <c r="I96" s="183"/>
      <c r="J96" s="183"/>
      <c r="K96" s="183"/>
      <c r="L96" s="183"/>
      <c r="M96" s="210"/>
    </row>
    <row r="97" spans="1:13" x14ac:dyDescent="0.3">
      <c r="A97" s="213" t="s">
        <v>546</v>
      </c>
      <c r="B97" s="214" t="s">
        <v>352</v>
      </c>
      <c r="C97" s="215" t="s">
        <v>355</v>
      </c>
      <c r="D97" s="216" t="s">
        <v>355</v>
      </c>
      <c r="E97" s="215" t="s">
        <v>355</v>
      </c>
      <c r="F97" s="215" t="s">
        <v>544</v>
      </c>
      <c r="G97" s="215" t="s">
        <v>366</v>
      </c>
      <c r="H97" s="215" t="s">
        <v>367</v>
      </c>
      <c r="I97" s="215" t="s">
        <v>907</v>
      </c>
      <c r="J97" s="215" t="s">
        <v>909</v>
      </c>
      <c r="K97" s="215" t="s">
        <v>910</v>
      </c>
      <c r="L97" s="215" t="s">
        <v>912</v>
      </c>
      <c r="M97" s="217" t="s">
        <v>913</v>
      </c>
    </row>
    <row r="98" spans="1:13" x14ac:dyDescent="0.3">
      <c r="A98" s="218" t="s">
        <v>359</v>
      </c>
      <c r="B98" s="185" t="s">
        <v>360</v>
      </c>
      <c r="C98" s="186" t="s">
        <v>948</v>
      </c>
      <c r="D98" s="187" t="s">
        <v>947</v>
      </c>
      <c r="E98" s="186" t="s">
        <v>364</v>
      </c>
      <c r="F98" s="186" t="s">
        <v>946</v>
      </c>
      <c r="G98" s="186" t="s">
        <v>946</v>
      </c>
      <c r="H98" s="186" t="s">
        <v>946</v>
      </c>
      <c r="I98" s="186" t="s">
        <v>946</v>
      </c>
      <c r="J98" s="186" t="s">
        <v>946</v>
      </c>
      <c r="K98" s="186" t="s">
        <v>946</v>
      </c>
      <c r="L98" s="186" t="s">
        <v>946</v>
      </c>
      <c r="M98" s="219" t="s">
        <v>946</v>
      </c>
    </row>
    <row r="99" spans="1:13" ht="13.5" thickBot="1" x14ac:dyDescent="0.35">
      <c r="A99" s="232"/>
      <c r="B99" s="233"/>
      <c r="C99" s="234" t="s">
        <v>949</v>
      </c>
      <c r="D99" s="234" t="s">
        <v>815</v>
      </c>
      <c r="E99" s="234" t="s">
        <v>816</v>
      </c>
      <c r="F99" s="234" t="s">
        <v>817</v>
      </c>
      <c r="G99" s="234" t="s">
        <v>818</v>
      </c>
      <c r="H99" s="234" t="s">
        <v>819</v>
      </c>
      <c r="I99" s="234" t="s">
        <v>820</v>
      </c>
      <c r="J99" s="234" t="s">
        <v>821</v>
      </c>
      <c r="K99" s="234" t="s">
        <v>822</v>
      </c>
      <c r="L99" s="234" t="s">
        <v>823</v>
      </c>
      <c r="M99" s="235" t="s">
        <v>908</v>
      </c>
    </row>
    <row r="100" spans="1:13" x14ac:dyDescent="0.3">
      <c r="A100" s="157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158"/>
    </row>
    <row r="101" spans="1:13" x14ac:dyDescent="0.3">
      <c r="A101" s="180" t="s">
        <v>950</v>
      </c>
      <c r="B101" s="39"/>
      <c r="C101" s="99">
        <f>+E101+D101</f>
        <v>6596254363.8033495</v>
      </c>
      <c r="D101" s="99">
        <f>D9</f>
        <v>626039589.20072007</v>
      </c>
      <c r="E101" s="39">
        <f>SUM(F101:M101)</f>
        <v>5970214774.6026297</v>
      </c>
      <c r="F101" s="99">
        <f>F9</f>
        <v>3509750538.4622955</v>
      </c>
      <c r="G101" s="99">
        <v>0</v>
      </c>
      <c r="H101" s="99">
        <f t="shared" ref="H101:M101" si="19">H9</f>
        <v>2238093162.236341</v>
      </c>
      <c r="I101" s="99">
        <f t="shared" si="19"/>
        <v>170138080.66719595</v>
      </c>
      <c r="J101" s="99">
        <f t="shared" si="19"/>
        <v>7645179.4379166793</v>
      </c>
      <c r="K101" s="99">
        <f t="shared" si="19"/>
        <v>39046455.428348765</v>
      </c>
      <c r="L101" s="99">
        <f t="shared" si="19"/>
        <v>5541358.3705311799</v>
      </c>
      <c r="M101" s="221">
        <f t="shared" si="19"/>
        <v>0</v>
      </c>
    </row>
    <row r="102" spans="1:13" x14ac:dyDescent="0.3">
      <c r="A102" s="180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181"/>
    </row>
    <row r="103" spans="1:13" s="16" customFormat="1" x14ac:dyDescent="0.3">
      <c r="A103" s="222" t="s">
        <v>951</v>
      </c>
      <c r="B103" s="103"/>
      <c r="C103" s="104">
        <f t="shared" ref="C103:C110" si="20">+E103+D103</f>
        <v>513160702.9586904</v>
      </c>
      <c r="D103" s="99">
        <f t="shared" ref="D103:D110" si="21">D11</f>
        <v>43440743.357950628</v>
      </c>
      <c r="E103" s="39">
        <f t="shared" ref="E103:E111" si="22">SUM(F103:M103)</f>
        <v>469719959.60073978</v>
      </c>
      <c r="F103" s="99">
        <f t="shared" ref="F103:F110" si="23">F11</f>
        <v>249599970.53407323</v>
      </c>
      <c r="G103" s="99">
        <v>0</v>
      </c>
      <c r="H103" s="99">
        <f t="shared" ref="H103:M110" si="24">H11</f>
        <v>207852704.94391328</v>
      </c>
      <c r="I103" s="99">
        <f t="shared" si="24"/>
        <v>3903861.5496431245</v>
      </c>
      <c r="J103" s="99">
        <f t="shared" si="24"/>
        <v>1483865.9682655758</v>
      </c>
      <c r="K103" s="99">
        <f t="shared" si="24"/>
        <v>4425298.1509868335</v>
      </c>
      <c r="L103" s="99">
        <f t="shared" si="24"/>
        <v>2454258.4538577343</v>
      </c>
      <c r="M103" s="221">
        <f t="shared" si="24"/>
        <v>0</v>
      </c>
    </row>
    <row r="104" spans="1:13" x14ac:dyDescent="0.3">
      <c r="A104" s="180" t="s">
        <v>952</v>
      </c>
      <c r="B104" s="39"/>
      <c r="C104" s="99">
        <f t="shared" si="20"/>
        <v>267853987.48749176</v>
      </c>
      <c r="D104" s="99">
        <f t="shared" si="21"/>
        <v>5958721.4669975545</v>
      </c>
      <c r="E104" s="39">
        <f t="shared" si="22"/>
        <v>261895266.02049419</v>
      </c>
      <c r="F104" s="99">
        <f t="shared" si="23"/>
        <v>219505030.21077758</v>
      </c>
      <c r="G104" s="99">
        <v>0</v>
      </c>
      <c r="H104" s="99">
        <f t="shared" si="24"/>
        <v>34286581.443658262</v>
      </c>
      <c r="I104" s="99">
        <f t="shared" si="24"/>
        <v>2827639.5746785677</v>
      </c>
      <c r="J104" s="99">
        <f t="shared" si="24"/>
        <v>763136.54851638642</v>
      </c>
      <c r="K104" s="99">
        <f t="shared" si="24"/>
        <v>2688312.8158285483</v>
      </c>
      <c r="L104" s="99">
        <f t="shared" si="24"/>
        <v>1825501.1895347987</v>
      </c>
      <c r="M104" s="221">
        <f t="shared" si="24"/>
        <v>-935.76250000000005</v>
      </c>
    </row>
    <row r="105" spans="1:13" s="16" customFormat="1" x14ac:dyDescent="0.3">
      <c r="A105" s="222" t="s">
        <v>503</v>
      </c>
      <c r="B105" s="103"/>
      <c r="C105" s="104">
        <f t="shared" si="20"/>
        <v>0</v>
      </c>
      <c r="D105" s="99">
        <f t="shared" si="21"/>
        <v>0</v>
      </c>
      <c r="E105" s="103">
        <f t="shared" si="22"/>
        <v>0</v>
      </c>
      <c r="F105" s="99">
        <f t="shared" si="23"/>
        <v>0</v>
      </c>
      <c r="G105" s="99">
        <v>0</v>
      </c>
      <c r="H105" s="99">
        <f t="shared" si="24"/>
        <v>0</v>
      </c>
      <c r="I105" s="99">
        <f t="shared" si="24"/>
        <v>0</v>
      </c>
      <c r="J105" s="99">
        <f t="shared" si="24"/>
        <v>0</v>
      </c>
      <c r="K105" s="99">
        <f t="shared" si="24"/>
        <v>0</v>
      </c>
      <c r="L105" s="99">
        <f t="shared" si="24"/>
        <v>0</v>
      </c>
      <c r="M105" s="221">
        <f t="shared" si="24"/>
        <v>0</v>
      </c>
    </row>
    <row r="106" spans="1:13" x14ac:dyDescent="0.3">
      <c r="A106" s="225" t="s">
        <v>511</v>
      </c>
      <c r="B106" s="106"/>
      <c r="C106" s="99">
        <f t="shared" si="20"/>
        <v>0</v>
      </c>
      <c r="D106" s="99">
        <f t="shared" si="21"/>
        <v>0</v>
      </c>
      <c r="E106" s="39">
        <f t="shared" si="22"/>
        <v>0</v>
      </c>
      <c r="F106" s="99">
        <f t="shared" si="23"/>
        <v>0</v>
      </c>
      <c r="G106" s="99">
        <v>0</v>
      </c>
      <c r="H106" s="99">
        <f t="shared" si="24"/>
        <v>0</v>
      </c>
      <c r="I106" s="99">
        <f t="shared" si="24"/>
        <v>0</v>
      </c>
      <c r="J106" s="99">
        <f t="shared" si="24"/>
        <v>0</v>
      </c>
      <c r="K106" s="99">
        <f t="shared" si="24"/>
        <v>0</v>
      </c>
      <c r="L106" s="99">
        <f t="shared" si="24"/>
        <v>0</v>
      </c>
      <c r="M106" s="221">
        <f t="shared" si="24"/>
        <v>0</v>
      </c>
    </row>
    <row r="107" spans="1:13" x14ac:dyDescent="0.3">
      <c r="A107" s="180" t="s">
        <v>504</v>
      </c>
      <c r="B107" s="39"/>
      <c r="C107" s="99">
        <f t="shared" si="20"/>
        <v>-40936023</v>
      </c>
      <c r="D107" s="99">
        <f t="shared" si="21"/>
        <v>-3058171.8184552598</v>
      </c>
      <c r="E107" s="39">
        <f t="shared" si="22"/>
        <v>-37877851.181544743</v>
      </c>
      <c r="F107" s="99">
        <f t="shared" si="23"/>
        <v>0</v>
      </c>
      <c r="G107" s="99">
        <v>0</v>
      </c>
      <c r="H107" s="99">
        <f t="shared" si="24"/>
        <v>0</v>
      </c>
      <c r="I107" s="99">
        <f t="shared" si="24"/>
        <v>0</v>
      </c>
      <c r="J107" s="99">
        <f t="shared" si="24"/>
        <v>0</v>
      </c>
      <c r="K107" s="99">
        <f t="shared" si="24"/>
        <v>0</v>
      </c>
      <c r="L107" s="99">
        <f t="shared" si="24"/>
        <v>0</v>
      </c>
      <c r="M107" s="221">
        <f t="shared" si="24"/>
        <v>-37877851.181544743</v>
      </c>
    </row>
    <row r="108" spans="1:13" x14ac:dyDescent="0.3">
      <c r="A108" s="180" t="s">
        <v>505</v>
      </c>
      <c r="B108" s="39"/>
      <c r="C108" s="99">
        <f t="shared" si="20"/>
        <v>-6798585.8499999996</v>
      </c>
      <c r="D108" s="99">
        <f t="shared" si="21"/>
        <v>0</v>
      </c>
      <c r="E108" s="39">
        <f t="shared" si="22"/>
        <v>-6798585.8499999996</v>
      </c>
      <c r="F108" s="99">
        <f t="shared" si="23"/>
        <v>-6798585.8499999996</v>
      </c>
      <c r="G108" s="99">
        <v>0</v>
      </c>
      <c r="H108" s="99">
        <f t="shared" si="24"/>
        <v>0</v>
      </c>
      <c r="I108" s="99">
        <f t="shared" si="24"/>
        <v>0</v>
      </c>
      <c r="J108" s="99">
        <f t="shared" si="24"/>
        <v>0</v>
      </c>
      <c r="K108" s="99">
        <f t="shared" si="24"/>
        <v>0</v>
      </c>
      <c r="L108" s="99">
        <f t="shared" si="24"/>
        <v>0</v>
      </c>
      <c r="M108" s="221">
        <f t="shared" si="24"/>
        <v>0</v>
      </c>
    </row>
    <row r="109" spans="1:13" x14ac:dyDescent="0.3">
      <c r="A109" s="180" t="s">
        <v>509</v>
      </c>
      <c r="B109" s="39"/>
      <c r="C109" s="99">
        <f t="shared" si="20"/>
        <v>-19046916.939999998</v>
      </c>
      <c r="D109" s="99">
        <f t="shared" si="21"/>
        <v>-5462423.4699999997</v>
      </c>
      <c r="E109" s="39">
        <f t="shared" si="22"/>
        <v>-13584493.469999999</v>
      </c>
      <c r="F109" s="99">
        <f t="shared" si="23"/>
        <v>-2258861.19</v>
      </c>
      <c r="G109" s="99">
        <v>0</v>
      </c>
      <c r="H109" s="99">
        <f t="shared" si="24"/>
        <v>-10635337.899999999</v>
      </c>
      <c r="I109" s="99">
        <f t="shared" si="24"/>
        <v>0</v>
      </c>
      <c r="J109" s="99">
        <f t="shared" si="24"/>
        <v>0</v>
      </c>
      <c r="K109" s="99">
        <f t="shared" si="24"/>
        <v>0</v>
      </c>
      <c r="L109" s="99">
        <f t="shared" si="24"/>
        <v>-690294.37999999989</v>
      </c>
      <c r="M109" s="221">
        <f t="shared" si="24"/>
        <v>0</v>
      </c>
    </row>
    <row r="110" spans="1:13" x14ac:dyDescent="0.3">
      <c r="A110" s="180" t="s">
        <v>529</v>
      </c>
      <c r="B110" s="39"/>
      <c r="C110" s="107">
        <f t="shared" si="20"/>
        <v>57280985.401479542</v>
      </c>
      <c r="D110" s="99">
        <f t="shared" si="21"/>
        <v>14255709.389148939</v>
      </c>
      <c r="E110" s="108">
        <f t="shared" si="22"/>
        <v>43025276.012330599</v>
      </c>
      <c r="F110" s="107">
        <f t="shared" si="23"/>
        <v>32893758.539220218</v>
      </c>
      <c r="G110" s="107">
        <v>0</v>
      </c>
      <c r="H110" s="107">
        <f t="shared" si="24"/>
        <v>4111253.2622524542</v>
      </c>
      <c r="I110" s="107">
        <f t="shared" si="24"/>
        <v>2056626.6772564026</v>
      </c>
      <c r="J110" s="107">
        <f t="shared" si="24"/>
        <v>549308.46099777764</v>
      </c>
      <c r="K110" s="107">
        <f t="shared" si="24"/>
        <v>2805499.6632766193</v>
      </c>
      <c r="L110" s="107">
        <f t="shared" si="24"/>
        <v>608829.40932712401</v>
      </c>
      <c r="M110" s="226">
        <f t="shared" si="24"/>
        <v>0</v>
      </c>
    </row>
    <row r="111" spans="1:13" x14ac:dyDescent="0.3">
      <c r="A111" s="225" t="s">
        <v>524</v>
      </c>
      <c r="B111" s="106"/>
      <c r="C111" s="39">
        <f>SUM(C103:C110)</f>
        <v>771514150.05766153</v>
      </c>
      <c r="D111" s="39">
        <f>SUM(D103:D110)</f>
        <v>55134578.925641865</v>
      </c>
      <c r="E111" s="39">
        <f t="shared" si="22"/>
        <v>716379571.13201988</v>
      </c>
      <c r="F111" s="39">
        <f t="shared" ref="F111:M111" si="25">SUM(F103:F110)</f>
        <v>492941312.24407101</v>
      </c>
      <c r="G111" s="39">
        <f t="shared" si="25"/>
        <v>0</v>
      </c>
      <c r="H111" s="39">
        <f t="shared" si="25"/>
        <v>235615201.74982399</v>
      </c>
      <c r="I111" s="39">
        <f t="shared" si="25"/>
        <v>8788127.8015780933</v>
      </c>
      <c r="J111" s="39">
        <f t="shared" si="25"/>
        <v>2796310.97777974</v>
      </c>
      <c r="K111" s="39">
        <f t="shared" si="25"/>
        <v>9919110.6300920025</v>
      </c>
      <c r="L111" s="39">
        <f t="shared" si="25"/>
        <v>4198294.6727196574</v>
      </c>
      <c r="M111" s="181">
        <f t="shared" si="25"/>
        <v>-37878786.944044746</v>
      </c>
    </row>
    <row r="112" spans="1:13" x14ac:dyDescent="0.3">
      <c r="A112" s="180"/>
      <c r="B112" s="39"/>
      <c r="C112" s="99"/>
      <c r="D112" s="99"/>
      <c r="E112" s="39"/>
      <c r="F112" s="39"/>
      <c r="G112" s="39"/>
      <c r="H112" s="39"/>
      <c r="I112" s="39"/>
      <c r="J112" s="39"/>
      <c r="K112" s="39"/>
      <c r="L112" s="39"/>
      <c r="M112" s="181"/>
    </row>
    <row r="113" spans="1:13" x14ac:dyDescent="0.3">
      <c r="A113" s="180" t="s">
        <v>953</v>
      </c>
      <c r="B113" s="39"/>
      <c r="C113" s="99">
        <f>+E113+D113</f>
        <v>7367768513.8610115</v>
      </c>
      <c r="D113" s="39">
        <f>D101+D111</f>
        <v>681174168.12636197</v>
      </c>
      <c r="E113" s="39">
        <f>E101+E111</f>
        <v>6686594345.7346497</v>
      </c>
      <c r="F113" s="39">
        <f t="shared" ref="F113:M113" si="26">F101+F111</f>
        <v>4002691850.7063665</v>
      </c>
      <c r="G113" s="39">
        <f t="shared" si="26"/>
        <v>0</v>
      </c>
      <c r="H113" s="39">
        <f t="shared" si="26"/>
        <v>2473708363.986165</v>
      </c>
      <c r="I113" s="39">
        <f t="shared" si="26"/>
        <v>178926208.46877405</v>
      </c>
      <c r="J113" s="39">
        <f t="shared" si="26"/>
        <v>10441490.41569642</v>
      </c>
      <c r="K113" s="39">
        <f t="shared" si="26"/>
        <v>48965566.058440767</v>
      </c>
      <c r="L113" s="39">
        <f t="shared" si="26"/>
        <v>9739653.0432508364</v>
      </c>
      <c r="M113" s="181">
        <f t="shared" si="26"/>
        <v>-37878786.944044746</v>
      </c>
    </row>
    <row r="114" spans="1:13" ht="13.5" thickBot="1" x14ac:dyDescent="0.35">
      <c r="A114" s="33"/>
      <c r="B114" s="34"/>
      <c r="C114" s="245"/>
      <c r="D114" s="245"/>
      <c r="E114" s="245"/>
      <c r="F114" s="245"/>
      <c r="G114" s="245"/>
      <c r="H114" s="245"/>
      <c r="I114" s="245"/>
      <c r="J114" s="245"/>
      <c r="K114" s="245"/>
      <c r="L114" s="245"/>
      <c r="M114" s="247"/>
    </row>
    <row r="115" spans="1:13" x14ac:dyDescent="0.3">
      <c r="A115" s="43"/>
      <c r="B115" s="35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</row>
    <row r="116" spans="1:13" x14ac:dyDescent="0.3">
      <c r="A116" s="43"/>
      <c r="B116" s="35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</row>
    <row r="117" spans="1:13" x14ac:dyDescent="0.3">
      <c r="A117" s="43"/>
      <c r="B117" s="35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</row>
    <row r="118" spans="1:13" ht="13.5" thickBot="1" x14ac:dyDescent="0.35">
      <c r="A118" s="43"/>
      <c r="B118" s="35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</row>
    <row r="119" spans="1:13" x14ac:dyDescent="0.3">
      <c r="A119" s="205" t="str">
        <f>A1</f>
        <v>CPS Energy</v>
      </c>
      <c r="B119" s="206"/>
      <c r="C119" s="206"/>
      <c r="D119" s="206"/>
      <c r="E119" s="206"/>
      <c r="F119" s="206"/>
      <c r="G119" s="206"/>
      <c r="H119" s="206"/>
      <c r="I119" s="206"/>
      <c r="J119" s="206"/>
      <c r="K119" s="206"/>
      <c r="L119" s="206"/>
      <c r="M119" s="208"/>
    </row>
    <row r="120" spans="1:13" x14ac:dyDescent="0.3">
      <c r="A120" s="211" t="s">
        <v>1249</v>
      </c>
      <c r="B120" s="183"/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210"/>
    </row>
    <row r="121" spans="1:13" x14ac:dyDescent="0.3">
      <c r="A121" s="231"/>
      <c r="B121" s="183"/>
      <c r="C121" s="183"/>
      <c r="D121" s="183"/>
      <c r="E121" s="183"/>
      <c r="F121" s="183"/>
      <c r="G121" s="183"/>
      <c r="H121" s="183"/>
      <c r="I121" s="183"/>
      <c r="J121" s="183"/>
      <c r="K121" s="183"/>
      <c r="L121" s="183"/>
      <c r="M121" s="210"/>
    </row>
    <row r="122" spans="1:13" x14ac:dyDescent="0.3">
      <c r="A122" s="212"/>
      <c r="B122" s="184"/>
      <c r="C122" s="183"/>
      <c r="D122" s="184"/>
      <c r="E122" s="183"/>
      <c r="F122" s="183"/>
      <c r="G122" s="183"/>
      <c r="H122" s="183"/>
      <c r="I122" s="183"/>
      <c r="J122" s="183"/>
      <c r="K122" s="183"/>
      <c r="L122" s="183"/>
      <c r="M122" s="210"/>
    </row>
    <row r="123" spans="1:13" x14ac:dyDescent="0.3">
      <c r="A123" s="213" t="s">
        <v>546</v>
      </c>
      <c r="B123" s="214" t="s">
        <v>954</v>
      </c>
      <c r="C123" s="215" t="s">
        <v>355</v>
      </c>
      <c r="D123" s="216" t="s">
        <v>355</v>
      </c>
      <c r="E123" s="215" t="s">
        <v>355</v>
      </c>
      <c r="F123" s="215" t="s">
        <v>544</v>
      </c>
      <c r="G123" s="215" t="s">
        <v>366</v>
      </c>
      <c r="H123" s="215" t="s">
        <v>367</v>
      </c>
      <c r="I123" s="215" t="s">
        <v>907</v>
      </c>
      <c r="J123" s="215" t="s">
        <v>909</v>
      </c>
      <c r="K123" s="215" t="s">
        <v>910</v>
      </c>
      <c r="L123" s="215" t="s">
        <v>912</v>
      </c>
      <c r="M123" s="217" t="s">
        <v>913</v>
      </c>
    </row>
    <row r="124" spans="1:13" x14ac:dyDescent="0.3">
      <c r="A124" s="218" t="s">
        <v>359</v>
      </c>
      <c r="B124" s="185" t="s">
        <v>360</v>
      </c>
      <c r="C124" s="186" t="s">
        <v>948</v>
      </c>
      <c r="D124" s="187" t="s">
        <v>947</v>
      </c>
      <c r="E124" s="186" t="s">
        <v>364</v>
      </c>
      <c r="F124" s="186" t="s">
        <v>946</v>
      </c>
      <c r="G124" s="186" t="s">
        <v>946</v>
      </c>
      <c r="H124" s="186" t="s">
        <v>946</v>
      </c>
      <c r="I124" s="186" t="s">
        <v>946</v>
      </c>
      <c r="J124" s="186" t="s">
        <v>946</v>
      </c>
      <c r="K124" s="186" t="s">
        <v>946</v>
      </c>
      <c r="L124" s="186" t="s">
        <v>946</v>
      </c>
      <c r="M124" s="219" t="s">
        <v>946</v>
      </c>
    </row>
    <row r="125" spans="1:13" ht="13.5" thickBot="1" x14ac:dyDescent="0.35">
      <c r="A125" s="232"/>
      <c r="B125" s="233"/>
      <c r="C125" s="234" t="s">
        <v>949</v>
      </c>
      <c r="D125" s="234" t="s">
        <v>815</v>
      </c>
      <c r="E125" s="234" t="s">
        <v>816</v>
      </c>
      <c r="F125" s="234" t="s">
        <v>817</v>
      </c>
      <c r="G125" s="234" t="s">
        <v>818</v>
      </c>
      <c r="H125" s="234" t="s">
        <v>819</v>
      </c>
      <c r="I125" s="234" t="s">
        <v>820</v>
      </c>
      <c r="J125" s="234" t="s">
        <v>821</v>
      </c>
      <c r="K125" s="234" t="s">
        <v>822</v>
      </c>
      <c r="L125" s="234" t="s">
        <v>823</v>
      </c>
      <c r="M125" s="235" t="s">
        <v>908</v>
      </c>
    </row>
    <row r="126" spans="1:13" x14ac:dyDescent="0.3">
      <c r="A126" s="157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158"/>
    </row>
    <row r="127" spans="1:13" x14ac:dyDescent="0.3">
      <c r="A127" s="162" t="s">
        <v>31</v>
      </c>
      <c r="B127" s="35"/>
      <c r="C127" s="111">
        <f>+E127+D127</f>
        <v>370327471.21951997</v>
      </c>
      <c r="D127" s="111">
        <f>D78</f>
        <v>53285048.960000008</v>
      </c>
      <c r="E127" s="111">
        <f>SUM(F127:M127)</f>
        <v>317042422.25951999</v>
      </c>
      <c r="F127" s="111">
        <f>F77</f>
        <v>317042422.25951999</v>
      </c>
      <c r="G127" s="111">
        <v>0</v>
      </c>
      <c r="H127" s="111">
        <f t="shared" ref="H127:M127" si="27">H77</f>
        <v>0</v>
      </c>
      <c r="I127" s="111">
        <f t="shared" si="27"/>
        <v>0</v>
      </c>
      <c r="J127" s="111">
        <f t="shared" si="27"/>
        <v>0</v>
      </c>
      <c r="K127" s="111">
        <f t="shared" si="27"/>
        <v>0</v>
      </c>
      <c r="L127" s="111">
        <f t="shared" si="27"/>
        <v>0</v>
      </c>
      <c r="M127" s="236">
        <f t="shared" si="27"/>
        <v>0</v>
      </c>
    </row>
    <row r="128" spans="1:13" x14ac:dyDescent="0.3">
      <c r="A128" s="162"/>
      <c r="B128" s="35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236"/>
    </row>
    <row r="129" spans="1:14" x14ac:dyDescent="0.3">
      <c r="A129" s="157" t="s">
        <v>810</v>
      </c>
      <c r="B129" s="35"/>
      <c r="C129" s="111">
        <f t="shared" ref="C129:C134" si="28">+E129+D129</f>
        <v>1083157149.1399999</v>
      </c>
      <c r="D129" s="111">
        <f t="shared" ref="D129:D134" si="29">D41</f>
        <v>32863415.13513431</v>
      </c>
      <c r="E129" s="111">
        <f t="shared" ref="E129:E135" si="30">SUM(F129:M129)</f>
        <v>1050293734.0048656</v>
      </c>
      <c r="F129" s="111">
        <f t="shared" ref="F129:F134" si="31">F41</f>
        <v>906097319.02999997</v>
      </c>
      <c r="G129" s="111">
        <v>0</v>
      </c>
      <c r="H129" s="111">
        <f t="shared" ref="H129:M134" si="32">H41</f>
        <v>88810905.387649953</v>
      </c>
      <c r="I129" s="111">
        <f t="shared" si="32"/>
        <v>20098455.643104106</v>
      </c>
      <c r="J129" s="111">
        <f t="shared" si="32"/>
        <v>5698530.8631646633</v>
      </c>
      <c r="K129" s="111">
        <f t="shared" si="32"/>
        <v>18288002.820946973</v>
      </c>
      <c r="L129" s="111">
        <f t="shared" si="32"/>
        <v>11300520.26</v>
      </c>
      <c r="M129" s="236">
        <f t="shared" si="32"/>
        <v>0</v>
      </c>
    </row>
    <row r="130" spans="1:14" x14ac:dyDescent="0.3">
      <c r="A130" s="157" t="s">
        <v>956</v>
      </c>
      <c r="B130" s="35"/>
      <c r="C130" s="111">
        <f t="shared" si="28"/>
        <v>160501920.6405164</v>
      </c>
      <c r="D130" s="111">
        <f t="shared" si="29"/>
        <v>10959473.199999999</v>
      </c>
      <c r="E130" s="111">
        <f t="shared" si="30"/>
        <v>149542447.44051641</v>
      </c>
      <c r="F130" s="111">
        <f t="shared" si="31"/>
        <v>82392138.50394249</v>
      </c>
      <c r="G130" s="111">
        <v>0</v>
      </c>
      <c r="H130" s="111">
        <f t="shared" si="32"/>
        <v>54807107.926939994</v>
      </c>
      <c r="I130" s="111">
        <f t="shared" si="32"/>
        <v>3654562.964662313</v>
      </c>
      <c r="J130" s="111">
        <f t="shared" si="32"/>
        <v>1190617.5640386445</v>
      </c>
      <c r="K130" s="111">
        <f t="shared" si="32"/>
        <v>3683021.925998183</v>
      </c>
      <c r="L130" s="111">
        <f t="shared" si="32"/>
        <v>3822484.6549347816</v>
      </c>
      <c r="M130" s="236">
        <f t="shared" si="32"/>
        <v>-7486.1</v>
      </c>
    </row>
    <row r="131" spans="1:14" s="101" customFormat="1" x14ac:dyDescent="0.3">
      <c r="A131" s="162" t="s">
        <v>957</v>
      </c>
      <c r="B131" s="35"/>
      <c r="C131" s="111">
        <f t="shared" si="28"/>
        <v>119038.52</v>
      </c>
      <c r="D131" s="111">
        <f t="shared" si="29"/>
        <v>8892.9070411804132</v>
      </c>
      <c r="E131" s="111">
        <f t="shared" si="30"/>
        <v>110145.61295881959</v>
      </c>
      <c r="F131" s="111">
        <f t="shared" si="31"/>
        <v>0</v>
      </c>
      <c r="G131" s="111">
        <v>0</v>
      </c>
      <c r="H131" s="111">
        <f t="shared" si="32"/>
        <v>0</v>
      </c>
      <c r="I131" s="111">
        <f t="shared" si="32"/>
        <v>0</v>
      </c>
      <c r="J131" s="111">
        <f t="shared" si="32"/>
        <v>0</v>
      </c>
      <c r="K131" s="111">
        <f t="shared" si="32"/>
        <v>0</v>
      </c>
      <c r="L131" s="111">
        <f t="shared" si="32"/>
        <v>0</v>
      </c>
      <c r="M131" s="236">
        <f t="shared" si="32"/>
        <v>110145.61295881959</v>
      </c>
      <c r="N131" s="100"/>
    </row>
    <row r="132" spans="1:14" x14ac:dyDescent="0.3">
      <c r="A132" s="157" t="s">
        <v>88</v>
      </c>
      <c r="B132" s="35"/>
      <c r="C132" s="111">
        <f t="shared" si="28"/>
        <v>26741243.059999999</v>
      </c>
      <c r="D132" s="111">
        <f t="shared" si="29"/>
        <v>0</v>
      </c>
      <c r="E132" s="111">
        <f t="shared" si="30"/>
        <v>26741243.059999999</v>
      </c>
      <c r="F132" s="111">
        <f t="shared" si="31"/>
        <v>26741243.059999999</v>
      </c>
      <c r="G132" s="111">
        <v>0</v>
      </c>
      <c r="H132" s="111">
        <f t="shared" si="32"/>
        <v>0</v>
      </c>
      <c r="I132" s="111">
        <f t="shared" si="32"/>
        <v>0</v>
      </c>
      <c r="J132" s="111">
        <f t="shared" si="32"/>
        <v>0</v>
      </c>
      <c r="K132" s="111">
        <f t="shared" si="32"/>
        <v>0</v>
      </c>
      <c r="L132" s="111">
        <f t="shared" si="32"/>
        <v>0</v>
      </c>
      <c r="M132" s="236">
        <f t="shared" si="32"/>
        <v>0</v>
      </c>
    </row>
    <row r="133" spans="1:14" x14ac:dyDescent="0.3">
      <c r="A133" s="162" t="s">
        <v>959</v>
      </c>
      <c r="B133" s="35"/>
      <c r="C133" s="111">
        <f t="shared" si="28"/>
        <v>6843089.2800000012</v>
      </c>
      <c r="D133" s="111">
        <f t="shared" si="29"/>
        <v>0</v>
      </c>
      <c r="E133" s="111">
        <f t="shared" si="30"/>
        <v>6843089.2800000012</v>
      </c>
      <c r="F133" s="111">
        <f t="shared" si="31"/>
        <v>6843089.2800000012</v>
      </c>
      <c r="G133" s="111">
        <v>0</v>
      </c>
      <c r="H133" s="111">
        <f t="shared" si="32"/>
        <v>0</v>
      </c>
      <c r="I133" s="111">
        <f t="shared" si="32"/>
        <v>0</v>
      </c>
      <c r="J133" s="111">
        <f t="shared" si="32"/>
        <v>0</v>
      </c>
      <c r="K133" s="111">
        <f t="shared" si="32"/>
        <v>0</v>
      </c>
      <c r="L133" s="111">
        <f t="shared" si="32"/>
        <v>0</v>
      </c>
      <c r="M133" s="236">
        <f t="shared" si="32"/>
        <v>0</v>
      </c>
    </row>
    <row r="134" spans="1:14" ht="14.5" x14ac:dyDescent="0.45">
      <c r="A134" s="157" t="s">
        <v>960</v>
      </c>
      <c r="B134" s="35"/>
      <c r="C134" s="114">
        <f t="shared" si="28"/>
        <v>0</v>
      </c>
      <c r="D134" s="114">
        <f t="shared" si="29"/>
        <v>0</v>
      </c>
      <c r="E134" s="114">
        <f t="shared" si="30"/>
        <v>0</v>
      </c>
      <c r="F134" s="114">
        <f t="shared" si="31"/>
        <v>0</v>
      </c>
      <c r="G134" s="114">
        <v>0</v>
      </c>
      <c r="H134" s="114">
        <f t="shared" si="32"/>
        <v>0</v>
      </c>
      <c r="I134" s="114">
        <f t="shared" si="32"/>
        <v>0</v>
      </c>
      <c r="J134" s="114">
        <f t="shared" si="32"/>
        <v>0</v>
      </c>
      <c r="K134" s="114">
        <f t="shared" si="32"/>
        <v>0</v>
      </c>
      <c r="L134" s="114">
        <f t="shared" si="32"/>
        <v>0</v>
      </c>
      <c r="M134" s="237">
        <f t="shared" si="32"/>
        <v>0</v>
      </c>
    </row>
    <row r="135" spans="1:14" x14ac:dyDescent="0.3">
      <c r="A135" s="157" t="s">
        <v>1020</v>
      </c>
      <c r="B135" s="35"/>
      <c r="C135" s="111">
        <f>SUM(C129:C134)</f>
        <v>1277362440.640516</v>
      </c>
      <c r="D135" s="111">
        <f>SUM(D129:D134)</f>
        <v>43831781.24217549</v>
      </c>
      <c r="E135" s="111">
        <f t="shared" si="30"/>
        <v>1233530659.3983409</v>
      </c>
      <c r="F135" s="111">
        <f t="shared" ref="F135:M135" si="33">SUM(F129:F134)</f>
        <v>1022073789.8739424</v>
      </c>
      <c r="G135" s="111">
        <f t="shared" si="33"/>
        <v>0</v>
      </c>
      <c r="H135" s="111">
        <f t="shared" si="33"/>
        <v>143618013.31458995</v>
      </c>
      <c r="I135" s="111">
        <f t="shared" si="33"/>
        <v>23753018.60776642</v>
      </c>
      <c r="J135" s="111">
        <f t="shared" si="33"/>
        <v>6889148.4272033079</v>
      </c>
      <c r="K135" s="111">
        <f t="shared" si="33"/>
        <v>21971024.746945158</v>
      </c>
      <c r="L135" s="111">
        <f t="shared" si="33"/>
        <v>15123004.91493478</v>
      </c>
      <c r="M135" s="236">
        <f t="shared" si="33"/>
        <v>102659.51295881959</v>
      </c>
    </row>
    <row r="136" spans="1:14" x14ac:dyDescent="0.3">
      <c r="A136" s="157"/>
      <c r="B136" s="35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236"/>
    </row>
    <row r="137" spans="1:14" x14ac:dyDescent="0.3">
      <c r="A137" s="157" t="s">
        <v>1019</v>
      </c>
      <c r="B137" s="35"/>
      <c r="C137" s="111">
        <f>C127+C135</f>
        <v>1647689911.8600359</v>
      </c>
      <c r="D137" s="111">
        <f>D127+D135</f>
        <v>97116830.202175498</v>
      </c>
      <c r="E137" s="111">
        <f>SUM(F137:M137)</f>
        <v>1550573081.657861</v>
      </c>
      <c r="F137" s="111">
        <f>F127+F135</f>
        <v>1339116212.1334624</v>
      </c>
      <c r="G137" s="111">
        <f t="shared" ref="G137:M137" si="34">G127+G135</f>
        <v>0</v>
      </c>
      <c r="H137" s="111">
        <f t="shared" si="34"/>
        <v>143618013.31458995</v>
      </c>
      <c r="I137" s="111">
        <f t="shared" si="34"/>
        <v>23753018.60776642</v>
      </c>
      <c r="J137" s="111">
        <f t="shared" si="34"/>
        <v>6889148.4272033079</v>
      </c>
      <c r="K137" s="111">
        <f t="shared" si="34"/>
        <v>21971024.746945158</v>
      </c>
      <c r="L137" s="111">
        <f t="shared" si="34"/>
        <v>15123004.91493478</v>
      </c>
      <c r="M137" s="236">
        <f t="shared" si="34"/>
        <v>102659.51295881959</v>
      </c>
    </row>
    <row r="138" spans="1:14" s="16" customFormat="1" ht="14.5" x14ac:dyDescent="0.45">
      <c r="A138" s="153" t="s">
        <v>958</v>
      </c>
      <c r="B138" s="53"/>
      <c r="C138" s="117">
        <f>+E138+D138</f>
        <v>0</v>
      </c>
      <c r="D138" s="117">
        <v>0</v>
      </c>
      <c r="E138" s="117">
        <f>SUM(F138:M138)</f>
        <v>0</v>
      </c>
      <c r="F138" s="117">
        <v>0</v>
      </c>
      <c r="G138" s="117">
        <v>0</v>
      </c>
      <c r="H138" s="117">
        <v>0</v>
      </c>
      <c r="I138" s="117">
        <v>0</v>
      </c>
      <c r="J138" s="117">
        <v>0</v>
      </c>
      <c r="K138" s="117">
        <v>0</v>
      </c>
      <c r="L138" s="117">
        <v>0</v>
      </c>
      <c r="M138" s="238">
        <v>0</v>
      </c>
    </row>
    <row r="139" spans="1:14" x14ac:dyDescent="0.3">
      <c r="A139" s="157" t="s">
        <v>1021</v>
      </c>
      <c r="B139" s="35"/>
      <c r="C139" s="111">
        <f t="shared" ref="C139:M139" si="35">C137+C138</f>
        <v>1647689911.8600359</v>
      </c>
      <c r="D139" s="111">
        <f t="shared" si="35"/>
        <v>97116830.202175498</v>
      </c>
      <c r="E139" s="111">
        <f t="shared" si="35"/>
        <v>1550573081.657861</v>
      </c>
      <c r="F139" s="111">
        <f t="shared" si="35"/>
        <v>1339116212.1334624</v>
      </c>
      <c r="G139" s="111">
        <f t="shared" si="35"/>
        <v>0</v>
      </c>
      <c r="H139" s="111">
        <f t="shared" si="35"/>
        <v>143618013.31458995</v>
      </c>
      <c r="I139" s="111">
        <f t="shared" si="35"/>
        <v>23753018.60776642</v>
      </c>
      <c r="J139" s="111">
        <f t="shared" si="35"/>
        <v>6889148.4272033079</v>
      </c>
      <c r="K139" s="111">
        <f t="shared" si="35"/>
        <v>21971024.746945158</v>
      </c>
      <c r="L139" s="111">
        <f t="shared" si="35"/>
        <v>15123004.91493478</v>
      </c>
      <c r="M139" s="236">
        <f t="shared" si="35"/>
        <v>102659.51295881959</v>
      </c>
    </row>
    <row r="140" spans="1:14" x14ac:dyDescent="0.3">
      <c r="A140" s="157"/>
      <c r="B140" s="35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236"/>
    </row>
    <row r="141" spans="1:14" x14ac:dyDescent="0.3">
      <c r="A141" s="157" t="s">
        <v>1022</v>
      </c>
      <c r="B141" s="35"/>
      <c r="C141" s="111">
        <f>+E141+D141</f>
        <v>357035657.92999995</v>
      </c>
      <c r="D141" s="111">
        <f>D53</f>
        <v>19514685.52</v>
      </c>
      <c r="E141" s="111">
        <f>SUM(F141:M141)</f>
        <v>337520972.40999997</v>
      </c>
      <c r="F141" s="111">
        <f>F53</f>
        <v>194662355.63</v>
      </c>
      <c r="G141" s="111">
        <v>0</v>
      </c>
      <c r="H141" s="111">
        <f t="shared" ref="H141:M142" si="36">H53</f>
        <v>131670414.92717849</v>
      </c>
      <c r="I141" s="111">
        <f t="shared" si="36"/>
        <v>9523874.5472310148</v>
      </c>
      <c r="J141" s="111">
        <f t="shared" si="36"/>
        <v>555779.08889031655</v>
      </c>
      <c r="K141" s="111">
        <f t="shared" si="36"/>
        <v>2606336.511108852</v>
      </c>
      <c r="L141" s="111">
        <f t="shared" si="36"/>
        <v>518421.72659935633</v>
      </c>
      <c r="M141" s="236">
        <f t="shared" si="36"/>
        <v>-2016210.0210080447</v>
      </c>
    </row>
    <row r="142" spans="1:14" ht="14.5" x14ac:dyDescent="0.45">
      <c r="A142" s="157" t="s">
        <v>1023</v>
      </c>
      <c r="B142" s="35"/>
      <c r="C142" s="114">
        <f>+E142+D142</f>
        <v>4801002.3600000003</v>
      </c>
      <c r="D142" s="114">
        <f>D54</f>
        <v>252030.61</v>
      </c>
      <c r="E142" s="114">
        <f>SUM(F142:M142)</f>
        <v>4548971.75</v>
      </c>
      <c r="F142" s="114">
        <f>F54</f>
        <v>2943425.5400000005</v>
      </c>
      <c r="G142" s="114">
        <v>0</v>
      </c>
      <c r="H142" s="114">
        <f t="shared" si="36"/>
        <v>1479805.2817564094</v>
      </c>
      <c r="I142" s="114">
        <f t="shared" si="36"/>
        <v>107036.04044668967</v>
      </c>
      <c r="J142" s="114">
        <f t="shared" si="36"/>
        <v>6246.2386230385628</v>
      </c>
      <c r="K142" s="114">
        <f t="shared" si="36"/>
        <v>29291.853734238852</v>
      </c>
      <c r="L142" s="114">
        <f t="shared" si="36"/>
        <v>5826.3901547154037</v>
      </c>
      <c r="M142" s="237">
        <f t="shared" si="36"/>
        <v>-22659.594715092317</v>
      </c>
    </row>
    <row r="143" spans="1:14" x14ac:dyDescent="0.3">
      <c r="A143" s="157" t="s">
        <v>1024</v>
      </c>
      <c r="B143" s="35"/>
      <c r="C143" s="111">
        <f t="shared" ref="C143:M143" si="37">SUM(C141:C142)</f>
        <v>361836660.28999996</v>
      </c>
      <c r="D143" s="111">
        <f t="shared" si="37"/>
        <v>19766716.129999999</v>
      </c>
      <c r="E143" s="111">
        <f t="shared" si="37"/>
        <v>342069944.15999997</v>
      </c>
      <c r="F143" s="111">
        <f t="shared" si="37"/>
        <v>197605781.16999999</v>
      </c>
      <c r="G143" s="111">
        <f t="shared" si="37"/>
        <v>0</v>
      </c>
      <c r="H143" s="111">
        <f t="shared" si="37"/>
        <v>133150220.2089349</v>
      </c>
      <c r="I143" s="111">
        <f t="shared" si="37"/>
        <v>9630910.5876777042</v>
      </c>
      <c r="J143" s="111">
        <f t="shared" si="37"/>
        <v>562025.32751335506</v>
      </c>
      <c r="K143" s="111">
        <f t="shared" si="37"/>
        <v>2635628.364843091</v>
      </c>
      <c r="L143" s="111">
        <f t="shared" si="37"/>
        <v>524248.11675407173</v>
      </c>
      <c r="M143" s="236">
        <f t="shared" si="37"/>
        <v>-2038869.615723137</v>
      </c>
    </row>
    <row r="144" spans="1:14" x14ac:dyDescent="0.3">
      <c r="A144" s="157"/>
      <c r="B144" s="35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236"/>
    </row>
    <row r="145" spans="1:13" x14ac:dyDescent="0.3">
      <c r="A145" s="157" t="s">
        <v>146</v>
      </c>
      <c r="B145" s="35"/>
      <c r="C145" s="111">
        <f>+E145+D145</f>
        <v>0</v>
      </c>
      <c r="D145" s="111">
        <v>0</v>
      </c>
      <c r="E145" s="111">
        <f>SUM(F145:M145)</f>
        <v>0</v>
      </c>
      <c r="F145" s="111">
        <v>0</v>
      </c>
      <c r="G145" s="111">
        <v>0</v>
      </c>
      <c r="H145" s="111">
        <v>0</v>
      </c>
      <c r="I145" s="111">
        <v>0</v>
      </c>
      <c r="J145" s="111">
        <v>0</v>
      </c>
      <c r="K145" s="111">
        <v>0</v>
      </c>
      <c r="L145" s="111">
        <v>0</v>
      </c>
      <c r="M145" s="236">
        <v>0</v>
      </c>
    </row>
    <row r="146" spans="1:13" x14ac:dyDescent="0.3">
      <c r="A146" s="157"/>
      <c r="B146" s="35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236"/>
    </row>
    <row r="147" spans="1:13" x14ac:dyDescent="0.3">
      <c r="A147" s="157" t="s">
        <v>1026</v>
      </c>
      <c r="B147" s="35"/>
      <c r="C147" s="111">
        <f>+E147+D147</f>
        <v>181942898.98390862</v>
      </c>
      <c r="D147" s="111">
        <f>D59</f>
        <v>25225409.230132557</v>
      </c>
      <c r="E147" s="111">
        <f>SUM(F147:M147)</f>
        <v>156717489.75377607</v>
      </c>
      <c r="F147" s="111">
        <f>F59</f>
        <v>83781010.040029466</v>
      </c>
      <c r="G147" s="111">
        <v>0</v>
      </c>
      <c r="H147" s="111">
        <f t="shared" ref="H147:M147" si="38">H59</f>
        <v>39556513.133117981</v>
      </c>
      <c r="I147" s="111">
        <f t="shared" si="38"/>
        <v>24357903.798237972</v>
      </c>
      <c r="J147" s="111">
        <f t="shared" si="38"/>
        <v>1128816.6600074177</v>
      </c>
      <c r="K147" s="111">
        <f t="shared" si="38"/>
        <v>5765239.3589558424</v>
      </c>
      <c r="L147" s="111">
        <f t="shared" si="38"/>
        <v>2128006.7634274056</v>
      </c>
      <c r="M147" s="236">
        <f t="shared" si="38"/>
        <v>0</v>
      </c>
    </row>
    <row r="148" spans="1:13" ht="14.5" x14ac:dyDescent="0.45">
      <c r="A148" s="157"/>
      <c r="B148" s="35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237"/>
    </row>
    <row r="149" spans="1:13" ht="14.5" x14ac:dyDescent="0.45">
      <c r="A149" s="157" t="s">
        <v>150</v>
      </c>
      <c r="B149" s="35"/>
      <c r="C149" s="114">
        <f>E149+D149</f>
        <v>60215752.567019694</v>
      </c>
      <c r="D149" s="114">
        <f>D82*0.86</f>
        <v>0</v>
      </c>
      <c r="E149" s="114">
        <f>SUM(F149:M149)</f>
        <v>60215752.567019694</v>
      </c>
      <c r="F149" s="114">
        <f t="shared" ref="F149:M149" si="39">F82*0.86</f>
        <v>0</v>
      </c>
      <c r="G149" s="114">
        <f t="shared" si="39"/>
        <v>60215752.567019694</v>
      </c>
      <c r="H149" s="114">
        <f t="shared" si="39"/>
        <v>0</v>
      </c>
      <c r="I149" s="114">
        <f t="shared" si="39"/>
        <v>0</v>
      </c>
      <c r="J149" s="114">
        <f t="shared" si="39"/>
        <v>0</v>
      </c>
      <c r="K149" s="114">
        <f t="shared" si="39"/>
        <v>0</v>
      </c>
      <c r="L149" s="114">
        <f t="shared" si="39"/>
        <v>0</v>
      </c>
      <c r="M149" s="237">
        <f t="shared" si="39"/>
        <v>0</v>
      </c>
    </row>
    <row r="150" spans="1:13" x14ac:dyDescent="0.3">
      <c r="A150" s="157" t="s">
        <v>1027</v>
      </c>
      <c r="B150" s="35"/>
      <c r="C150" s="111">
        <f>E150+D150</f>
        <v>2251685223.7009649</v>
      </c>
      <c r="D150" s="111">
        <f>D149+D147+D145+D143+D139</f>
        <v>142108955.56230807</v>
      </c>
      <c r="E150" s="111">
        <f>SUM(F150:M150)</f>
        <v>2109576268.1386566</v>
      </c>
      <c r="F150" s="111">
        <f t="shared" ref="F150:M150" si="40">F149+F147+F145+F143+F139</f>
        <v>1620503003.343492</v>
      </c>
      <c r="G150" s="111">
        <f t="shared" si="40"/>
        <v>60215752.567019694</v>
      </c>
      <c r="H150" s="111">
        <f t="shared" si="40"/>
        <v>316324746.65664279</v>
      </c>
      <c r="I150" s="111">
        <f t="shared" si="40"/>
        <v>57741832.993682094</v>
      </c>
      <c r="J150" s="111">
        <f t="shared" si="40"/>
        <v>8579990.4147240799</v>
      </c>
      <c r="K150" s="111">
        <f t="shared" si="40"/>
        <v>30371892.470744092</v>
      </c>
      <c r="L150" s="111">
        <f t="shared" si="40"/>
        <v>17775259.795116257</v>
      </c>
      <c r="M150" s="236">
        <f t="shared" si="40"/>
        <v>-1936210.1027643175</v>
      </c>
    </row>
    <row r="151" spans="1:13" ht="14.5" x14ac:dyDescent="0.45">
      <c r="A151" s="157" t="s">
        <v>1028</v>
      </c>
      <c r="B151" s="35"/>
      <c r="C151" s="114">
        <f>E151+D151</f>
        <v>366553408.50945938</v>
      </c>
      <c r="D151" s="114">
        <f>D150/0.86*0.14</f>
        <v>23134016.021771085</v>
      </c>
      <c r="E151" s="114">
        <f>SUM(F151:M151)</f>
        <v>343419392.4876883</v>
      </c>
      <c r="F151" s="114">
        <f t="shared" ref="F151:M151" si="41">F150/0.86*0.14</f>
        <v>263802814.49777779</v>
      </c>
      <c r="G151" s="114">
        <f t="shared" si="41"/>
        <v>9802564.3713753</v>
      </c>
      <c r="H151" s="114">
        <f t="shared" si="41"/>
        <v>51494726.199918605</v>
      </c>
      <c r="I151" s="114">
        <f t="shared" si="41"/>
        <v>9399833.2780412715</v>
      </c>
      <c r="J151" s="114">
        <f t="shared" si="41"/>
        <v>1396742.6256527572</v>
      </c>
      <c r="K151" s="114">
        <f t="shared" si="41"/>
        <v>4944261.5650048526</v>
      </c>
      <c r="L151" s="114">
        <f t="shared" si="41"/>
        <v>2893646.9433910185</v>
      </c>
      <c r="M151" s="237">
        <f t="shared" si="41"/>
        <v>-315196.99347326101</v>
      </c>
    </row>
    <row r="152" spans="1:13" x14ac:dyDescent="0.3">
      <c r="A152" s="157" t="s">
        <v>34</v>
      </c>
      <c r="B152" s="35"/>
      <c r="C152" s="111">
        <f>E152+D152</f>
        <v>2618238632.2104239</v>
      </c>
      <c r="D152" s="111">
        <f>D150+D151</f>
        <v>165242971.58407915</v>
      </c>
      <c r="E152" s="111">
        <f>SUM(F152:M152)</f>
        <v>2452995660.6263447</v>
      </c>
      <c r="F152" s="111">
        <f t="shared" ref="F152:M152" si="42">F150+F151</f>
        <v>1884305817.8412697</v>
      </c>
      <c r="G152" s="111">
        <f t="shared" si="42"/>
        <v>70018316.938394994</v>
      </c>
      <c r="H152" s="111">
        <f t="shared" si="42"/>
        <v>367819472.85656142</v>
      </c>
      <c r="I152" s="111">
        <f t="shared" si="42"/>
        <v>67141666.27172336</v>
      </c>
      <c r="J152" s="111">
        <f t="shared" si="42"/>
        <v>9976733.0403768364</v>
      </c>
      <c r="K152" s="111">
        <f t="shared" si="42"/>
        <v>35316154.035748944</v>
      </c>
      <c r="L152" s="111">
        <f t="shared" si="42"/>
        <v>20668906.738507275</v>
      </c>
      <c r="M152" s="236">
        <f t="shared" si="42"/>
        <v>-2251407.0962375784</v>
      </c>
    </row>
    <row r="153" spans="1:13" x14ac:dyDescent="0.3">
      <c r="A153" s="157"/>
      <c r="B153" s="35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236"/>
    </row>
    <row r="154" spans="1:13" x14ac:dyDescent="0.3">
      <c r="A154" s="157" t="s">
        <v>175</v>
      </c>
      <c r="B154" s="35"/>
      <c r="C154" s="111">
        <f>E154+D154</f>
        <v>-7845002.1399999997</v>
      </c>
      <c r="D154" s="111">
        <f>D64</f>
        <v>-670903.62</v>
      </c>
      <c r="E154" s="111">
        <f>SUM(F154:M154)</f>
        <v>-7174098.5199999996</v>
      </c>
      <c r="F154" s="111">
        <f>F64</f>
        <v>0</v>
      </c>
      <c r="G154" s="111">
        <v>0</v>
      </c>
      <c r="H154" s="111">
        <f t="shared" ref="H154:M154" si="43">H64</f>
        <v>0</v>
      </c>
      <c r="I154" s="111">
        <f t="shared" si="43"/>
        <v>0</v>
      </c>
      <c r="J154" s="111">
        <f t="shared" si="43"/>
        <v>0</v>
      </c>
      <c r="K154" s="111">
        <f t="shared" si="43"/>
        <v>0</v>
      </c>
      <c r="L154" s="111">
        <f t="shared" si="43"/>
        <v>0</v>
      </c>
      <c r="M154" s="236">
        <f t="shared" si="43"/>
        <v>-7174098.5199999996</v>
      </c>
    </row>
    <row r="155" spans="1:13" x14ac:dyDescent="0.3">
      <c r="A155" s="153" t="s">
        <v>177</v>
      </c>
      <c r="B155" s="53"/>
      <c r="C155" s="112">
        <f>E155+D155</f>
        <v>-22586859.545806892</v>
      </c>
      <c r="D155" s="112">
        <f>D65+D76</f>
        <v>-5686333.8977229428</v>
      </c>
      <c r="E155" s="112">
        <f>SUM(F155:M155)</f>
        <v>-16900525.648083948</v>
      </c>
      <c r="F155" s="112">
        <f>F65+F76</f>
        <v>-3175736.6711724643</v>
      </c>
      <c r="G155" s="112">
        <v>0</v>
      </c>
      <c r="H155" s="112">
        <f t="shared" ref="H155:M155" si="44">H65+H76</f>
        <v>-7436415.7638784405</v>
      </c>
      <c r="I155" s="112">
        <f t="shared" si="44"/>
        <v>-415139.35028303484</v>
      </c>
      <c r="J155" s="112">
        <f t="shared" si="44"/>
        <v>-4208062.3516622186</v>
      </c>
      <c r="K155" s="112">
        <f t="shared" si="44"/>
        <v>-223503.29004645935</v>
      </c>
      <c r="L155" s="112">
        <f t="shared" si="44"/>
        <v>-62293.171041331167</v>
      </c>
      <c r="M155" s="248">
        <f t="shared" si="44"/>
        <v>-1379375.0499999989</v>
      </c>
    </row>
    <row r="156" spans="1:13" x14ac:dyDescent="0.3">
      <c r="A156" s="157" t="s">
        <v>1029</v>
      </c>
      <c r="B156" s="35"/>
      <c r="C156" s="112">
        <f>E156+D156</f>
        <v>-11459065.177994002</v>
      </c>
      <c r="D156" s="112">
        <f>D66</f>
        <v>-1073192.0056876966</v>
      </c>
      <c r="E156" s="112">
        <f>SUM(F156:M156)</f>
        <v>-10385873.172306305</v>
      </c>
      <c r="F156" s="112">
        <f>F66</f>
        <v>-6149759.370575917</v>
      </c>
      <c r="G156" s="112">
        <v>0</v>
      </c>
      <c r="H156" s="112">
        <f t="shared" ref="H156:M156" si="45">H66</f>
        <v>-3904355.7512052124</v>
      </c>
      <c r="I156" s="112">
        <f t="shared" si="45"/>
        <v>-282406.6010557047</v>
      </c>
      <c r="J156" s="112">
        <f t="shared" si="45"/>
        <v>-16480.23418976742</v>
      </c>
      <c r="K156" s="112">
        <f t="shared" si="45"/>
        <v>-77284.368777903845</v>
      </c>
      <c r="L156" s="112">
        <f t="shared" si="45"/>
        <v>-15372.495370829587</v>
      </c>
      <c r="M156" s="236">
        <f t="shared" si="45"/>
        <v>59785.648869029399</v>
      </c>
    </row>
    <row r="157" spans="1:13" ht="14.5" x14ac:dyDescent="0.45">
      <c r="A157" s="157" t="s">
        <v>33</v>
      </c>
      <c r="B157" s="35"/>
      <c r="C157" s="114">
        <f>E157+D157</f>
        <v>8128910.5700000003</v>
      </c>
      <c r="D157" s="114">
        <f>D84</f>
        <v>1235594.3999999999</v>
      </c>
      <c r="E157" s="114">
        <f>SUM(F157:M157)</f>
        <v>6893316.1699999999</v>
      </c>
      <c r="F157" s="114">
        <f t="shared" ref="F157:M157" si="46">F84</f>
        <v>0</v>
      </c>
      <c r="G157" s="114">
        <f t="shared" si="46"/>
        <v>0</v>
      </c>
      <c r="H157" s="114">
        <f t="shared" si="46"/>
        <v>0</v>
      </c>
      <c r="I157" s="114">
        <f t="shared" si="46"/>
        <v>0</v>
      </c>
      <c r="J157" s="114">
        <f t="shared" si="46"/>
        <v>0</v>
      </c>
      <c r="K157" s="114">
        <f t="shared" si="46"/>
        <v>0</v>
      </c>
      <c r="L157" s="114">
        <f t="shared" si="46"/>
        <v>0</v>
      </c>
      <c r="M157" s="237">
        <f t="shared" si="46"/>
        <v>6893316.1699999999</v>
      </c>
    </row>
    <row r="158" spans="1:13" ht="14.5" x14ac:dyDescent="0.45">
      <c r="A158" s="157"/>
      <c r="B158" s="35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237"/>
    </row>
    <row r="159" spans="1:13" x14ac:dyDescent="0.3">
      <c r="A159" s="157" t="s">
        <v>1043</v>
      </c>
      <c r="B159" s="35"/>
      <c r="C159" s="111">
        <f>SUM(C152:C157)</f>
        <v>2584476615.9166236</v>
      </c>
      <c r="D159" s="111">
        <f t="shared" ref="D159:M159" si="47">SUM(D152:D157)</f>
        <v>159048136.46066853</v>
      </c>
      <c r="E159" s="111">
        <f t="shared" si="47"/>
        <v>2425428479.4559541</v>
      </c>
      <c r="F159" s="111">
        <f t="shared" si="47"/>
        <v>1874980321.7995214</v>
      </c>
      <c r="G159" s="111">
        <f t="shared" si="47"/>
        <v>70018316.938394994</v>
      </c>
      <c r="H159" s="111">
        <f t="shared" si="47"/>
        <v>356478701.34147775</v>
      </c>
      <c r="I159" s="111">
        <f t="shared" si="47"/>
        <v>66444120.320384622</v>
      </c>
      <c r="J159" s="111">
        <f t="shared" si="47"/>
        <v>5752190.4545248505</v>
      </c>
      <c r="K159" s="111">
        <f t="shared" si="47"/>
        <v>35015366.376924582</v>
      </c>
      <c r="L159" s="111">
        <f t="shared" si="47"/>
        <v>20591241.072095111</v>
      </c>
      <c r="M159" s="236">
        <f t="shared" si="47"/>
        <v>-3851778.8473685458</v>
      </c>
    </row>
    <row r="160" spans="1:13" x14ac:dyDescent="0.3">
      <c r="A160" s="157"/>
      <c r="B160" s="35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236"/>
    </row>
    <row r="161" spans="1:19" x14ac:dyDescent="0.3">
      <c r="A161" s="157" t="s">
        <v>35</v>
      </c>
      <c r="B161" s="35"/>
      <c r="C161" s="111">
        <f t="shared" ref="C161:M161" si="48">C86</f>
        <v>1795063066.5445304</v>
      </c>
      <c r="D161" s="111">
        <f t="shared" si="48"/>
        <v>159048136.46066856</v>
      </c>
      <c r="E161" s="111">
        <f t="shared" si="48"/>
        <v>1636014930.0838621</v>
      </c>
      <c r="F161" s="111">
        <f t="shared" si="48"/>
        <v>1085566772.4274287</v>
      </c>
      <c r="G161" s="111">
        <f t="shared" si="48"/>
        <v>70018316.938394994</v>
      </c>
      <c r="H161" s="111">
        <f t="shared" si="48"/>
        <v>356478701.34147775</v>
      </c>
      <c r="I161" s="111">
        <f t="shared" si="48"/>
        <v>66444120.320384622</v>
      </c>
      <c r="J161" s="111">
        <f t="shared" si="48"/>
        <v>5752190.4545248505</v>
      </c>
      <c r="K161" s="111">
        <f t="shared" si="48"/>
        <v>35015366.376924582</v>
      </c>
      <c r="L161" s="111">
        <f t="shared" si="48"/>
        <v>20591241.072095111</v>
      </c>
      <c r="M161" s="236">
        <f t="shared" si="48"/>
        <v>-3851778.8473685458</v>
      </c>
    </row>
    <row r="162" spans="1:19" ht="13.5" thickBot="1" x14ac:dyDescent="0.35">
      <c r="A162" s="33"/>
      <c r="B162" s="34"/>
      <c r="C162" s="249"/>
      <c r="D162" s="249"/>
      <c r="E162" s="249"/>
      <c r="F162" s="249"/>
      <c r="G162" s="249"/>
      <c r="H162" s="249"/>
      <c r="I162" s="249"/>
      <c r="J162" s="249"/>
      <c r="K162" s="249"/>
      <c r="L162" s="249"/>
      <c r="M162" s="250"/>
      <c r="O162" s="16"/>
      <c r="P162" s="16"/>
      <c r="Q162" s="16"/>
      <c r="R162" s="16"/>
      <c r="S162" s="16"/>
    </row>
    <row r="163" spans="1:19" x14ac:dyDescent="0.3"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O163" s="16"/>
      <c r="P163" s="16"/>
      <c r="Q163" s="16"/>
      <c r="R163" s="16"/>
      <c r="S163" s="16"/>
    </row>
    <row r="165" spans="1:19" ht="13.5" thickBot="1" x14ac:dyDescent="0.35"/>
    <row r="166" spans="1:19" x14ac:dyDescent="0.3">
      <c r="A166" s="205" t="str">
        <f>A1</f>
        <v>CPS Energy</v>
      </c>
      <c r="B166" s="206"/>
      <c r="C166" s="206"/>
      <c r="D166" s="206"/>
      <c r="E166" s="206"/>
      <c r="F166" s="206"/>
      <c r="G166" s="206"/>
      <c r="H166" s="206"/>
      <c r="I166" s="206"/>
      <c r="J166" s="206"/>
      <c r="K166" s="206"/>
      <c r="L166" s="206"/>
      <c r="M166" s="208"/>
    </row>
    <row r="167" spans="1:19" x14ac:dyDescent="0.3">
      <c r="A167" s="211" t="s">
        <v>1249</v>
      </c>
      <c r="B167" s="183"/>
      <c r="C167" s="183"/>
      <c r="D167" s="183"/>
      <c r="E167" s="183"/>
      <c r="F167" s="183"/>
      <c r="G167" s="183"/>
      <c r="H167" s="183"/>
      <c r="I167" s="183"/>
      <c r="J167" s="183"/>
      <c r="K167" s="183"/>
      <c r="L167" s="183"/>
      <c r="M167" s="210"/>
    </row>
    <row r="168" spans="1:19" x14ac:dyDescent="0.3">
      <c r="A168" s="211" t="s">
        <v>1280</v>
      </c>
      <c r="B168" s="183"/>
      <c r="C168" s="183"/>
      <c r="D168" s="183"/>
      <c r="E168" s="183"/>
      <c r="F168" s="183"/>
      <c r="G168" s="183"/>
      <c r="H168" s="183"/>
      <c r="I168" s="183"/>
      <c r="J168" s="183"/>
      <c r="K168" s="183"/>
      <c r="L168" s="183"/>
      <c r="M168" s="210"/>
    </row>
    <row r="169" spans="1:19" x14ac:dyDescent="0.3">
      <c r="A169" s="212"/>
      <c r="B169" s="184"/>
      <c r="C169" s="183"/>
      <c r="D169" s="184"/>
      <c r="E169" s="183"/>
      <c r="F169" s="183"/>
      <c r="G169" s="183"/>
      <c r="H169" s="183"/>
      <c r="I169" s="183"/>
      <c r="J169" s="183"/>
      <c r="K169" s="183"/>
      <c r="L169" s="183"/>
      <c r="M169" s="210"/>
    </row>
    <row r="170" spans="1:19" x14ac:dyDescent="0.3">
      <c r="A170" s="213" t="s">
        <v>546</v>
      </c>
      <c r="B170" s="214" t="s">
        <v>954</v>
      </c>
      <c r="C170" s="215" t="s">
        <v>355</v>
      </c>
      <c r="D170" s="216" t="s">
        <v>355</v>
      </c>
      <c r="E170" s="215" t="s">
        <v>355</v>
      </c>
      <c r="F170" s="215" t="s">
        <v>544</v>
      </c>
      <c r="G170" s="215" t="s">
        <v>366</v>
      </c>
      <c r="H170" s="215" t="s">
        <v>367</v>
      </c>
      <c r="I170" s="215" t="s">
        <v>907</v>
      </c>
      <c r="J170" s="215" t="s">
        <v>909</v>
      </c>
      <c r="K170" s="215" t="s">
        <v>910</v>
      </c>
      <c r="L170" s="215" t="s">
        <v>912</v>
      </c>
      <c r="M170" s="217" t="s">
        <v>913</v>
      </c>
    </row>
    <row r="171" spans="1:19" x14ac:dyDescent="0.3">
      <c r="A171" s="218" t="s">
        <v>359</v>
      </c>
      <c r="B171" s="185" t="s">
        <v>360</v>
      </c>
      <c r="C171" s="186" t="s">
        <v>948</v>
      </c>
      <c r="D171" s="187" t="s">
        <v>947</v>
      </c>
      <c r="E171" s="186" t="s">
        <v>364</v>
      </c>
      <c r="F171" s="186" t="s">
        <v>946</v>
      </c>
      <c r="G171" s="186" t="s">
        <v>946</v>
      </c>
      <c r="H171" s="186" t="s">
        <v>946</v>
      </c>
      <c r="I171" s="186" t="s">
        <v>946</v>
      </c>
      <c r="J171" s="186" t="s">
        <v>946</v>
      </c>
      <c r="K171" s="186" t="s">
        <v>946</v>
      </c>
      <c r="L171" s="186" t="s">
        <v>946</v>
      </c>
      <c r="M171" s="219" t="s">
        <v>946</v>
      </c>
    </row>
    <row r="172" spans="1:19" ht="13.5" thickBot="1" x14ac:dyDescent="0.35">
      <c r="A172" s="232"/>
      <c r="B172" s="233"/>
      <c r="C172" s="234" t="s">
        <v>949</v>
      </c>
      <c r="D172" s="234" t="s">
        <v>815</v>
      </c>
      <c r="E172" s="234" t="s">
        <v>816</v>
      </c>
      <c r="F172" s="234" t="s">
        <v>817</v>
      </c>
      <c r="G172" s="234" t="s">
        <v>818</v>
      </c>
      <c r="H172" s="234" t="s">
        <v>819</v>
      </c>
      <c r="I172" s="234" t="s">
        <v>820</v>
      </c>
      <c r="J172" s="234" t="s">
        <v>821</v>
      </c>
      <c r="K172" s="234" t="s">
        <v>822</v>
      </c>
      <c r="L172" s="234" t="s">
        <v>823</v>
      </c>
      <c r="M172" s="235" t="s">
        <v>908</v>
      </c>
    </row>
    <row r="173" spans="1:19" x14ac:dyDescent="0.3">
      <c r="A173" s="157"/>
      <c r="B173" s="35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236"/>
    </row>
    <row r="174" spans="1:19" x14ac:dyDescent="0.3">
      <c r="A174" s="162" t="s">
        <v>955</v>
      </c>
      <c r="B174" s="35"/>
      <c r="C174" s="111">
        <f>+E174+D174</f>
        <v>370327471.21951997</v>
      </c>
      <c r="D174" s="111">
        <f>D127</f>
        <v>53285048.960000008</v>
      </c>
      <c r="E174" s="39">
        <f>SUM(F174:M174)</f>
        <v>317042422.25951999</v>
      </c>
      <c r="F174" s="111">
        <f t="shared" ref="F174:M174" si="49">F127</f>
        <v>317042422.25951999</v>
      </c>
      <c r="G174" s="111">
        <f t="shared" si="49"/>
        <v>0</v>
      </c>
      <c r="H174" s="111">
        <f t="shared" si="49"/>
        <v>0</v>
      </c>
      <c r="I174" s="111">
        <f t="shared" si="49"/>
        <v>0</v>
      </c>
      <c r="J174" s="111">
        <f t="shared" si="49"/>
        <v>0</v>
      </c>
      <c r="K174" s="111">
        <f t="shared" si="49"/>
        <v>0</v>
      </c>
      <c r="L174" s="111">
        <f t="shared" si="49"/>
        <v>0</v>
      </c>
      <c r="M174" s="236">
        <f t="shared" si="49"/>
        <v>0</v>
      </c>
      <c r="O174" s="32">
        <f>C174-C77-C78</f>
        <v>0</v>
      </c>
    </row>
    <row r="175" spans="1:19" x14ac:dyDescent="0.3">
      <c r="A175" s="162"/>
      <c r="B175" s="35"/>
      <c r="C175" s="111"/>
      <c r="D175" s="113"/>
      <c r="E175" s="39"/>
      <c r="F175" s="111"/>
      <c r="G175" s="111"/>
      <c r="H175" s="111"/>
      <c r="I175" s="111"/>
      <c r="J175" s="111"/>
      <c r="K175" s="111"/>
      <c r="L175" s="111"/>
      <c r="M175" s="236"/>
    </row>
    <row r="176" spans="1:19" x14ac:dyDescent="0.3">
      <c r="A176" s="157" t="s">
        <v>810</v>
      </c>
      <c r="B176" s="35"/>
      <c r="C176" s="111">
        <f t="shared" ref="C176:C181" si="50">+E176+D176</f>
        <v>1083157149.1399999</v>
      </c>
      <c r="D176" s="111">
        <f t="shared" ref="D176:D181" si="51">D129</f>
        <v>32863415.13513431</v>
      </c>
      <c r="E176" s="39">
        <f t="shared" ref="E176:E182" si="52">SUM(F176:M176)</f>
        <v>1050293734.0048656</v>
      </c>
      <c r="F176" s="111">
        <f t="shared" ref="F176:M176" si="53">F129</f>
        <v>906097319.02999997</v>
      </c>
      <c r="G176" s="111">
        <f t="shared" si="53"/>
        <v>0</v>
      </c>
      <c r="H176" s="111">
        <f t="shared" si="53"/>
        <v>88810905.387649953</v>
      </c>
      <c r="I176" s="111">
        <f t="shared" si="53"/>
        <v>20098455.643104106</v>
      </c>
      <c r="J176" s="111">
        <f t="shared" si="53"/>
        <v>5698530.8631646633</v>
      </c>
      <c r="K176" s="111">
        <f t="shared" si="53"/>
        <v>18288002.820946973</v>
      </c>
      <c r="L176" s="111">
        <f t="shared" si="53"/>
        <v>11300520.26</v>
      </c>
      <c r="M176" s="236">
        <f t="shared" si="53"/>
        <v>0</v>
      </c>
      <c r="O176" s="32">
        <f>C176-D41-F41-SUM(H41:M41)</f>
        <v>0</v>
      </c>
    </row>
    <row r="177" spans="1:15" x14ac:dyDescent="0.3">
      <c r="A177" s="157" t="s">
        <v>956</v>
      </c>
      <c r="B177" s="35"/>
      <c r="C177" s="111">
        <f t="shared" si="50"/>
        <v>160501920.6405164</v>
      </c>
      <c r="D177" s="111">
        <f t="shared" si="51"/>
        <v>10959473.199999999</v>
      </c>
      <c r="E177" s="39">
        <f t="shared" si="52"/>
        <v>149542447.44051641</v>
      </c>
      <c r="F177" s="111">
        <f t="shared" ref="F177:M177" si="54">F130</f>
        <v>82392138.50394249</v>
      </c>
      <c r="G177" s="111">
        <f t="shared" si="54"/>
        <v>0</v>
      </c>
      <c r="H177" s="111">
        <f t="shared" si="54"/>
        <v>54807107.926939994</v>
      </c>
      <c r="I177" s="111">
        <f t="shared" si="54"/>
        <v>3654562.964662313</v>
      </c>
      <c r="J177" s="111">
        <f t="shared" si="54"/>
        <v>1190617.5640386445</v>
      </c>
      <c r="K177" s="111">
        <f t="shared" si="54"/>
        <v>3683021.925998183</v>
      </c>
      <c r="L177" s="111">
        <f t="shared" si="54"/>
        <v>3822484.6549347816</v>
      </c>
      <c r="M177" s="236">
        <f t="shared" si="54"/>
        <v>-7486.1</v>
      </c>
      <c r="O177" s="32">
        <f t="shared" ref="O177:O192" si="55">C177-D42-F42-SUM(H42:M42)</f>
        <v>0</v>
      </c>
    </row>
    <row r="178" spans="1:15" x14ac:dyDescent="0.3">
      <c r="A178" s="162" t="s">
        <v>957</v>
      </c>
      <c r="B178" s="35"/>
      <c r="C178" s="111">
        <f t="shared" si="50"/>
        <v>119038.52</v>
      </c>
      <c r="D178" s="111">
        <f t="shared" si="51"/>
        <v>8892.9070411804132</v>
      </c>
      <c r="E178" s="39">
        <f t="shared" si="52"/>
        <v>110145.61295881959</v>
      </c>
      <c r="F178" s="111">
        <f t="shared" ref="F178:M178" si="56">F131</f>
        <v>0</v>
      </c>
      <c r="G178" s="111">
        <f t="shared" si="56"/>
        <v>0</v>
      </c>
      <c r="H178" s="111">
        <f t="shared" si="56"/>
        <v>0</v>
      </c>
      <c r="I178" s="111">
        <f t="shared" si="56"/>
        <v>0</v>
      </c>
      <c r="J178" s="111">
        <f t="shared" si="56"/>
        <v>0</v>
      </c>
      <c r="K178" s="111">
        <f t="shared" si="56"/>
        <v>0</v>
      </c>
      <c r="L178" s="111">
        <f t="shared" si="56"/>
        <v>0</v>
      </c>
      <c r="M178" s="236">
        <f t="shared" si="56"/>
        <v>110145.61295881959</v>
      </c>
      <c r="O178" s="32">
        <f t="shared" si="55"/>
        <v>0</v>
      </c>
    </row>
    <row r="179" spans="1:15" x14ac:dyDescent="0.3">
      <c r="A179" s="157" t="s">
        <v>88</v>
      </c>
      <c r="B179" s="35"/>
      <c r="C179" s="111">
        <f t="shared" si="50"/>
        <v>26741243.059999999</v>
      </c>
      <c r="D179" s="111">
        <f t="shared" si="51"/>
        <v>0</v>
      </c>
      <c r="E179" s="39">
        <f t="shared" si="52"/>
        <v>26741243.059999999</v>
      </c>
      <c r="F179" s="111">
        <f t="shared" ref="F179:M179" si="57">F132</f>
        <v>26741243.059999999</v>
      </c>
      <c r="G179" s="111">
        <f t="shared" si="57"/>
        <v>0</v>
      </c>
      <c r="H179" s="111">
        <f t="shared" si="57"/>
        <v>0</v>
      </c>
      <c r="I179" s="111">
        <f t="shared" si="57"/>
        <v>0</v>
      </c>
      <c r="J179" s="111">
        <f t="shared" si="57"/>
        <v>0</v>
      </c>
      <c r="K179" s="111">
        <f t="shared" si="57"/>
        <v>0</v>
      </c>
      <c r="L179" s="111">
        <f t="shared" si="57"/>
        <v>0</v>
      </c>
      <c r="M179" s="236">
        <f t="shared" si="57"/>
        <v>0</v>
      </c>
      <c r="O179" s="32">
        <f t="shared" si="55"/>
        <v>0</v>
      </c>
    </row>
    <row r="180" spans="1:15" x14ac:dyDescent="0.3">
      <c r="A180" s="162" t="s">
        <v>959</v>
      </c>
      <c r="B180" s="35"/>
      <c r="C180" s="111">
        <f t="shared" si="50"/>
        <v>6843089.2800000012</v>
      </c>
      <c r="D180" s="111">
        <f t="shared" si="51"/>
        <v>0</v>
      </c>
      <c r="E180" s="39">
        <f t="shared" si="52"/>
        <v>6843089.2800000012</v>
      </c>
      <c r="F180" s="111">
        <f t="shared" ref="F180:M180" si="58">F133</f>
        <v>6843089.2800000012</v>
      </c>
      <c r="G180" s="111">
        <f t="shared" si="58"/>
        <v>0</v>
      </c>
      <c r="H180" s="111">
        <f t="shared" si="58"/>
        <v>0</v>
      </c>
      <c r="I180" s="111">
        <f t="shared" si="58"/>
        <v>0</v>
      </c>
      <c r="J180" s="111">
        <f t="shared" si="58"/>
        <v>0</v>
      </c>
      <c r="K180" s="111">
        <f t="shared" si="58"/>
        <v>0</v>
      </c>
      <c r="L180" s="111">
        <f t="shared" si="58"/>
        <v>0</v>
      </c>
      <c r="M180" s="236">
        <f t="shared" si="58"/>
        <v>0</v>
      </c>
      <c r="O180" s="32">
        <f t="shared" si="55"/>
        <v>0</v>
      </c>
    </row>
    <row r="181" spans="1:15" ht="14.5" x14ac:dyDescent="0.45">
      <c r="A181" s="157" t="s">
        <v>960</v>
      </c>
      <c r="B181" s="35"/>
      <c r="C181" s="114">
        <f t="shared" si="50"/>
        <v>0</v>
      </c>
      <c r="D181" s="114">
        <f t="shared" si="51"/>
        <v>0</v>
      </c>
      <c r="E181" s="114">
        <f t="shared" si="52"/>
        <v>0</v>
      </c>
      <c r="F181" s="114">
        <f t="shared" ref="F181:M181" si="59">F134</f>
        <v>0</v>
      </c>
      <c r="G181" s="114">
        <f t="shared" si="59"/>
        <v>0</v>
      </c>
      <c r="H181" s="114">
        <f t="shared" si="59"/>
        <v>0</v>
      </c>
      <c r="I181" s="114">
        <f t="shared" si="59"/>
        <v>0</v>
      </c>
      <c r="J181" s="114">
        <f t="shared" si="59"/>
        <v>0</v>
      </c>
      <c r="K181" s="114">
        <f t="shared" si="59"/>
        <v>0</v>
      </c>
      <c r="L181" s="114">
        <f t="shared" si="59"/>
        <v>0</v>
      </c>
      <c r="M181" s="237">
        <f t="shared" si="59"/>
        <v>0</v>
      </c>
      <c r="O181" s="32">
        <f t="shared" si="55"/>
        <v>0</v>
      </c>
    </row>
    <row r="182" spans="1:15" x14ac:dyDescent="0.3">
      <c r="A182" s="157" t="s">
        <v>1020</v>
      </c>
      <c r="B182" s="35"/>
      <c r="C182" s="111">
        <f>SUM(C176:C181)</f>
        <v>1277362440.640516</v>
      </c>
      <c r="D182" s="111">
        <f>SUM(D176:D181)</f>
        <v>43831781.24217549</v>
      </c>
      <c r="E182" s="39">
        <f t="shared" si="52"/>
        <v>1233530659.3983409</v>
      </c>
      <c r="F182" s="111">
        <f t="shared" ref="F182:M182" si="60">SUM(F176:F181)</f>
        <v>1022073789.8739424</v>
      </c>
      <c r="G182" s="111">
        <f t="shared" si="60"/>
        <v>0</v>
      </c>
      <c r="H182" s="111">
        <f t="shared" si="60"/>
        <v>143618013.31458995</v>
      </c>
      <c r="I182" s="111">
        <f t="shared" si="60"/>
        <v>23753018.60776642</v>
      </c>
      <c r="J182" s="111">
        <f t="shared" si="60"/>
        <v>6889148.4272033079</v>
      </c>
      <c r="K182" s="111">
        <f t="shared" si="60"/>
        <v>21971024.746945158</v>
      </c>
      <c r="L182" s="111">
        <f t="shared" si="60"/>
        <v>15123004.91493478</v>
      </c>
      <c r="M182" s="236">
        <f t="shared" si="60"/>
        <v>102659.51295881959</v>
      </c>
      <c r="O182" s="32">
        <f t="shared" si="55"/>
        <v>-3.2782554626464844E-7</v>
      </c>
    </row>
    <row r="183" spans="1:15" x14ac:dyDescent="0.3">
      <c r="A183" s="157"/>
      <c r="B183" s="35"/>
      <c r="C183" s="111"/>
      <c r="D183" s="35"/>
      <c r="E183" s="39"/>
      <c r="F183" s="111"/>
      <c r="G183" s="111"/>
      <c r="H183" s="111"/>
      <c r="I183" s="111"/>
      <c r="J183" s="111"/>
      <c r="K183" s="111"/>
      <c r="L183" s="111"/>
      <c r="M183" s="236"/>
    </row>
    <row r="184" spans="1:15" x14ac:dyDescent="0.3">
      <c r="A184" s="157" t="s">
        <v>1019</v>
      </c>
      <c r="B184" s="35"/>
      <c r="C184" s="111">
        <f>C174+C182</f>
        <v>1647689911.8600359</v>
      </c>
      <c r="D184" s="111">
        <f>D174+D182</f>
        <v>97116830.202175498</v>
      </c>
      <c r="E184" s="39">
        <f>SUM(F184:M184)</f>
        <v>1550573081.657861</v>
      </c>
      <c r="F184" s="111">
        <f>F174+F182</f>
        <v>1339116212.1334624</v>
      </c>
      <c r="G184" s="111">
        <f t="shared" ref="G184:M184" si="61">G174+G182</f>
        <v>0</v>
      </c>
      <c r="H184" s="111">
        <f t="shared" si="61"/>
        <v>143618013.31458995</v>
      </c>
      <c r="I184" s="111">
        <f t="shared" si="61"/>
        <v>23753018.60776642</v>
      </c>
      <c r="J184" s="111">
        <f t="shared" si="61"/>
        <v>6889148.4272033079</v>
      </c>
      <c r="K184" s="111">
        <f t="shared" si="61"/>
        <v>21971024.746945158</v>
      </c>
      <c r="L184" s="111">
        <f t="shared" si="61"/>
        <v>15123004.91493478</v>
      </c>
      <c r="M184" s="236">
        <f t="shared" si="61"/>
        <v>102659.51295881959</v>
      </c>
    </row>
    <row r="185" spans="1:15" s="16" customFormat="1" ht="14.5" x14ac:dyDescent="0.45">
      <c r="A185" s="153" t="s">
        <v>958</v>
      </c>
      <c r="B185" s="53"/>
      <c r="C185" s="117">
        <f>+E185+D185</f>
        <v>0</v>
      </c>
      <c r="D185" s="117">
        <v>0</v>
      </c>
      <c r="E185" s="117">
        <f>SUM(F185:M185)</f>
        <v>0</v>
      </c>
      <c r="F185" s="117">
        <v>0</v>
      </c>
      <c r="G185" s="117">
        <v>0</v>
      </c>
      <c r="H185" s="117">
        <v>0</v>
      </c>
      <c r="I185" s="117">
        <v>0</v>
      </c>
      <c r="J185" s="117">
        <v>0</v>
      </c>
      <c r="K185" s="117">
        <v>0</v>
      </c>
      <c r="L185" s="117">
        <v>0</v>
      </c>
      <c r="M185" s="238">
        <v>0</v>
      </c>
      <c r="O185" s="32"/>
    </row>
    <row r="186" spans="1:15" x14ac:dyDescent="0.3">
      <c r="A186" s="157" t="s">
        <v>1021</v>
      </c>
      <c r="B186" s="35"/>
      <c r="C186" s="111">
        <f t="shared" ref="C186:M186" si="62">C184+C185</f>
        <v>1647689911.8600359</v>
      </c>
      <c r="D186" s="111">
        <f t="shared" si="62"/>
        <v>97116830.202175498</v>
      </c>
      <c r="E186" s="111">
        <f t="shared" si="62"/>
        <v>1550573081.657861</v>
      </c>
      <c r="F186" s="111">
        <f t="shared" si="62"/>
        <v>1339116212.1334624</v>
      </c>
      <c r="G186" s="111">
        <f t="shared" si="62"/>
        <v>0</v>
      </c>
      <c r="H186" s="111">
        <f t="shared" si="62"/>
        <v>143618013.31458995</v>
      </c>
      <c r="I186" s="111">
        <f t="shared" si="62"/>
        <v>23753018.60776642</v>
      </c>
      <c r="J186" s="111">
        <f t="shared" si="62"/>
        <v>6889148.4272033079</v>
      </c>
      <c r="K186" s="111">
        <f t="shared" si="62"/>
        <v>21971024.746945158</v>
      </c>
      <c r="L186" s="111">
        <f t="shared" si="62"/>
        <v>15123004.91493478</v>
      </c>
      <c r="M186" s="236">
        <f t="shared" si="62"/>
        <v>102659.51295881959</v>
      </c>
    </row>
    <row r="187" spans="1:15" x14ac:dyDescent="0.3">
      <c r="A187" s="157"/>
      <c r="B187" s="35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236"/>
    </row>
    <row r="188" spans="1:15" x14ac:dyDescent="0.3">
      <c r="A188" s="157" t="s">
        <v>1022</v>
      </c>
      <c r="B188" s="35"/>
      <c r="C188" s="111">
        <f>+E188+D188</f>
        <v>357035657.92999995</v>
      </c>
      <c r="D188" s="111">
        <f>D141</f>
        <v>19514685.52</v>
      </c>
      <c r="E188" s="39">
        <f>SUM(F188:M188)</f>
        <v>337520972.40999997</v>
      </c>
      <c r="F188" s="111">
        <f t="shared" ref="F188:M188" si="63">F141</f>
        <v>194662355.63</v>
      </c>
      <c r="G188" s="111">
        <f t="shared" si="63"/>
        <v>0</v>
      </c>
      <c r="H188" s="111">
        <f t="shared" si="63"/>
        <v>131670414.92717849</v>
      </c>
      <c r="I188" s="111">
        <f t="shared" si="63"/>
        <v>9523874.5472310148</v>
      </c>
      <c r="J188" s="111">
        <f t="shared" si="63"/>
        <v>555779.08889031655</v>
      </c>
      <c r="K188" s="111">
        <f t="shared" si="63"/>
        <v>2606336.511108852</v>
      </c>
      <c r="L188" s="111">
        <f t="shared" si="63"/>
        <v>518421.72659935633</v>
      </c>
      <c r="M188" s="236">
        <f t="shared" si="63"/>
        <v>-2016210.0210080447</v>
      </c>
      <c r="O188" s="32">
        <f t="shared" si="55"/>
        <v>0</v>
      </c>
    </row>
    <row r="189" spans="1:15" ht="14.5" x14ac:dyDescent="0.45">
      <c r="A189" s="157" t="s">
        <v>1023</v>
      </c>
      <c r="B189" s="35"/>
      <c r="C189" s="114">
        <f>+E189+D189</f>
        <v>4801002.3600000003</v>
      </c>
      <c r="D189" s="114">
        <f>D142</f>
        <v>252030.61</v>
      </c>
      <c r="E189" s="116">
        <f>SUM(F189:M189)</f>
        <v>4548971.75</v>
      </c>
      <c r="F189" s="114">
        <f t="shared" ref="F189:M189" si="64">F142</f>
        <v>2943425.5400000005</v>
      </c>
      <c r="G189" s="114">
        <f t="shared" si="64"/>
        <v>0</v>
      </c>
      <c r="H189" s="114">
        <f t="shared" si="64"/>
        <v>1479805.2817564094</v>
      </c>
      <c r="I189" s="114">
        <f t="shared" si="64"/>
        <v>107036.04044668967</v>
      </c>
      <c r="J189" s="114">
        <f t="shared" si="64"/>
        <v>6246.2386230385628</v>
      </c>
      <c r="K189" s="114">
        <f t="shared" si="64"/>
        <v>29291.853734238852</v>
      </c>
      <c r="L189" s="114">
        <f t="shared" si="64"/>
        <v>5826.3901547154037</v>
      </c>
      <c r="M189" s="237">
        <f t="shared" si="64"/>
        <v>-22659.594715092317</v>
      </c>
      <c r="O189" s="32">
        <f t="shared" si="55"/>
        <v>0</v>
      </c>
    </row>
    <row r="190" spans="1:15" x14ac:dyDescent="0.3">
      <c r="A190" s="157" t="s">
        <v>1024</v>
      </c>
      <c r="B190" s="35"/>
      <c r="C190" s="111">
        <f t="shared" ref="C190:M190" si="65">SUM(C188:C189)</f>
        <v>361836660.28999996</v>
      </c>
      <c r="D190" s="111">
        <f t="shared" si="65"/>
        <v>19766716.129999999</v>
      </c>
      <c r="E190" s="111">
        <f t="shared" si="65"/>
        <v>342069944.15999997</v>
      </c>
      <c r="F190" s="111">
        <f t="shared" si="65"/>
        <v>197605781.16999999</v>
      </c>
      <c r="G190" s="111">
        <f t="shared" si="65"/>
        <v>0</v>
      </c>
      <c r="H190" s="111">
        <f t="shared" si="65"/>
        <v>133150220.2089349</v>
      </c>
      <c r="I190" s="111">
        <f t="shared" si="65"/>
        <v>9630910.5876777042</v>
      </c>
      <c r="J190" s="111">
        <f t="shared" si="65"/>
        <v>562025.32751335506</v>
      </c>
      <c r="K190" s="111">
        <f t="shared" si="65"/>
        <v>2635628.364843091</v>
      </c>
      <c r="L190" s="111">
        <f t="shared" si="65"/>
        <v>524248.11675407173</v>
      </c>
      <c r="M190" s="236">
        <f t="shared" si="65"/>
        <v>-2038869.615723137</v>
      </c>
      <c r="O190" s="32">
        <f t="shared" si="55"/>
        <v>0</v>
      </c>
    </row>
    <row r="191" spans="1:15" x14ac:dyDescent="0.3">
      <c r="A191" s="157"/>
      <c r="B191" s="35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236"/>
    </row>
    <row r="192" spans="1:15" x14ac:dyDescent="0.3">
      <c r="A192" s="157" t="s">
        <v>1025</v>
      </c>
      <c r="B192" s="35"/>
      <c r="C192" s="111">
        <f>+E192+D192</f>
        <v>0</v>
      </c>
      <c r="D192" s="111">
        <v>0</v>
      </c>
      <c r="E192" s="111">
        <f>SUM(F192:M192)</f>
        <v>0</v>
      </c>
      <c r="F192" s="111">
        <v>0</v>
      </c>
      <c r="G192" s="111">
        <v>0</v>
      </c>
      <c r="H192" s="111">
        <v>0</v>
      </c>
      <c r="I192" s="111">
        <v>0</v>
      </c>
      <c r="J192" s="111">
        <v>0</v>
      </c>
      <c r="K192" s="111">
        <v>0</v>
      </c>
      <c r="L192" s="111">
        <v>0</v>
      </c>
      <c r="M192" s="236">
        <v>0</v>
      </c>
      <c r="O192" s="32">
        <f t="shared" si="55"/>
        <v>0</v>
      </c>
    </row>
    <row r="193" spans="1:20" x14ac:dyDescent="0.3">
      <c r="A193" s="157"/>
      <c r="B193" s="35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236"/>
    </row>
    <row r="194" spans="1:20" x14ac:dyDescent="0.3">
      <c r="A194" s="157" t="s">
        <v>6</v>
      </c>
      <c r="B194" s="35"/>
      <c r="C194" s="111">
        <f>+E194+D194</f>
        <v>152907564.97123986</v>
      </c>
      <c r="D194" s="111">
        <f>D222</f>
        <v>19897851.023999408</v>
      </c>
      <c r="E194" s="39">
        <f>SUM(F194:M194)</f>
        <v>133009713.94724047</v>
      </c>
      <c r="F194" s="111">
        <f t="shared" ref="F194:M194" si="66">F222</f>
        <v>75761083.444125861</v>
      </c>
      <c r="G194" s="111">
        <f t="shared" si="66"/>
        <v>0</v>
      </c>
      <c r="H194" s="111">
        <f t="shared" si="66"/>
        <v>29803449.630146042</v>
      </c>
      <c r="I194" s="111">
        <f t="shared" si="66"/>
        <v>23758014.280086655</v>
      </c>
      <c r="J194" s="111">
        <f t="shared" si="66"/>
        <v>-2504289.9638252901</v>
      </c>
      <c r="K194" s="111">
        <f t="shared" si="66"/>
        <v>5506561.9723668899</v>
      </c>
      <c r="L194" s="111">
        <f t="shared" si="66"/>
        <v>2061214.2903129475</v>
      </c>
      <c r="M194" s="236">
        <f t="shared" si="66"/>
        <v>-1376319.7059726343</v>
      </c>
    </row>
    <row r="195" spans="1:20" ht="14.5" x14ac:dyDescent="0.45">
      <c r="A195" s="157"/>
      <c r="B195" s="35"/>
      <c r="C195" s="114"/>
      <c r="D195" s="114"/>
      <c r="E195" s="116"/>
      <c r="F195" s="114"/>
      <c r="G195" s="114"/>
      <c r="H195" s="114"/>
      <c r="I195" s="114"/>
      <c r="J195" s="114"/>
      <c r="K195" s="114"/>
      <c r="L195" s="114"/>
      <c r="M195" s="237"/>
    </row>
    <row r="196" spans="1:20" ht="14.5" x14ac:dyDescent="0.45">
      <c r="A196" s="157" t="s">
        <v>150</v>
      </c>
      <c r="B196" s="35"/>
      <c r="C196" s="114">
        <f>+E196+D196</f>
        <v>60215752.567019694</v>
      </c>
      <c r="D196" s="114">
        <f>D149</f>
        <v>0</v>
      </c>
      <c r="E196" s="116">
        <f>SUM(F196:M196)</f>
        <v>60215752.567019694</v>
      </c>
      <c r="F196" s="114">
        <f t="shared" ref="F196:M196" si="67">F149</f>
        <v>0</v>
      </c>
      <c r="G196" s="114">
        <f t="shared" si="67"/>
        <v>60215752.567019694</v>
      </c>
      <c r="H196" s="114">
        <f t="shared" si="67"/>
        <v>0</v>
      </c>
      <c r="I196" s="114">
        <f t="shared" si="67"/>
        <v>0</v>
      </c>
      <c r="J196" s="114">
        <f t="shared" si="67"/>
        <v>0</v>
      </c>
      <c r="K196" s="114">
        <f t="shared" si="67"/>
        <v>0</v>
      </c>
      <c r="L196" s="114">
        <f t="shared" si="67"/>
        <v>0</v>
      </c>
      <c r="M196" s="237">
        <f t="shared" si="67"/>
        <v>0</v>
      </c>
      <c r="O196" s="32">
        <f>C196-C149</f>
        <v>0</v>
      </c>
    </row>
    <row r="197" spans="1:20" x14ac:dyDescent="0.3">
      <c r="A197" s="157" t="s">
        <v>1027</v>
      </c>
      <c r="B197" s="35"/>
      <c r="C197" s="111">
        <f>E197+D197</f>
        <v>2222649889.6882958</v>
      </c>
      <c r="D197" s="111">
        <f>D196+D194+D192+D190+D186</f>
        <v>136781397.35617489</v>
      </c>
      <c r="E197" s="39">
        <f>SUM(F197:M197)</f>
        <v>2085868492.3321209</v>
      </c>
      <c r="F197" s="111">
        <f t="shared" ref="F197:M197" si="68">F196+F194+F192+F190+F186</f>
        <v>1612483076.7475882</v>
      </c>
      <c r="G197" s="111">
        <f t="shared" si="68"/>
        <v>60215752.567019694</v>
      </c>
      <c r="H197" s="111">
        <f t="shared" si="68"/>
        <v>306571683.15367091</v>
      </c>
      <c r="I197" s="111">
        <f t="shared" si="68"/>
        <v>57141943.475530781</v>
      </c>
      <c r="J197" s="111">
        <f t="shared" si="68"/>
        <v>4946883.7908913726</v>
      </c>
      <c r="K197" s="111">
        <f t="shared" si="68"/>
        <v>30113215.084155139</v>
      </c>
      <c r="L197" s="111">
        <f t="shared" si="68"/>
        <v>17708467.3220018</v>
      </c>
      <c r="M197" s="236">
        <f t="shared" si="68"/>
        <v>-3312529.8087369516</v>
      </c>
    </row>
    <row r="198" spans="1:20" ht="14.5" x14ac:dyDescent="0.45">
      <c r="A198" s="157" t="s">
        <v>1028</v>
      </c>
      <c r="B198" s="35"/>
      <c r="C198" s="114">
        <f>E198+D198</f>
        <v>361826726.22832727</v>
      </c>
      <c r="D198" s="114">
        <f>D197/0.86*0.14</f>
        <v>22266739.104493588</v>
      </c>
      <c r="E198" s="116">
        <f>SUM(F198:M198)</f>
        <v>339559987.12383372</v>
      </c>
      <c r="F198" s="114">
        <f t="shared" ref="F198:M198" si="69">F197/0.86*0.14</f>
        <v>262497245.05193299</v>
      </c>
      <c r="G198" s="114">
        <f t="shared" si="69"/>
        <v>9802564.3713753</v>
      </c>
      <c r="H198" s="114">
        <f t="shared" si="69"/>
        <v>49907018.187806897</v>
      </c>
      <c r="I198" s="114">
        <f t="shared" si="69"/>
        <v>9302176.8448538482</v>
      </c>
      <c r="J198" s="114">
        <f t="shared" si="69"/>
        <v>805306.66363347939</v>
      </c>
      <c r="K198" s="114">
        <f t="shared" si="69"/>
        <v>4902151.2927694423</v>
      </c>
      <c r="L198" s="114">
        <f t="shared" si="69"/>
        <v>2882773.7500933162</v>
      </c>
      <c r="M198" s="237">
        <f t="shared" si="69"/>
        <v>-539249.03863159684</v>
      </c>
    </row>
    <row r="199" spans="1:20" x14ac:dyDescent="0.3">
      <c r="A199" s="157" t="s">
        <v>1043</v>
      </c>
      <c r="B199" s="35"/>
      <c r="C199" s="111">
        <f>E199+D199</f>
        <v>2584476615.9166226</v>
      </c>
      <c r="D199" s="111">
        <f>D197+D198</f>
        <v>159048136.46066847</v>
      </c>
      <c r="E199" s="39">
        <f>SUM(F199:M199)</f>
        <v>2425428479.4559541</v>
      </c>
      <c r="F199" s="111">
        <f t="shared" ref="F199:M199" si="70">F197+F198</f>
        <v>1874980321.7995212</v>
      </c>
      <c r="G199" s="111">
        <f t="shared" si="70"/>
        <v>70018316.938394994</v>
      </c>
      <c r="H199" s="111">
        <f t="shared" si="70"/>
        <v>356478701.34147781</v>
      </c>
      <c r="I199" s="111">
        <f t="shared" si="70"/>
        <v>66444120.320384629</v>
      </c>
      <c r="J199" s="111">
        <f t="shared" si="70"/>
        <v>5752190.4545248523</v>
      </c>
      <c r="K199" s="111">
        <f t="shared" si="70"/>
        <v>35015366.376924582</v>
      </c>
      <c r="L199" s="111">
        <f t="shared" si="70"/>
        <v>20591241.072095115</v>
      </c>
      <c r="M199" s="236">
        <f t="shared" si="70"/>
        <v>-3851778.8473685486</v>
      </c>
    </row>
    <row r="200" spans="1:20" x14ac:dyDescent="0.3">
      <c r="A200" s="157"/>
      <c r="B200" s="35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236"/>
    </row>
    <row r="201" spans="1:20" x14ac:dyDescent="0.3">
      <c r="A201" s="157"/>
      <c r="B201" s="35"/>
      <c r="C201" s="53"/>
      <c r="D201" s="53"/>
      <c r="E201" s="53"/>
      <c r="F201" s="53"/>
      <c r="G201" s="53"/>
      <c r="H201" s="53"/>
      <c r="I201" s="53"/>
      <c r="J201" s="53"/>
      <c r="K201" s="53"/>
      <c r="L201" s="53"/>
      <c r="M201" s="154"/>
      <c r="O201" s="16"/>
      <c r="P201" s="16"/>
      <c r="Q201" s="16"/>
      <c r="R201" s="16"/>
      <c r="S201" s="16"/>
      <c r="T201" s="16"/>
    </row>
    <row r="202" spans="1:20" x14ac:dyDescent="0.3">
      <c r="A202" s="157"/>
      <c r="B202" s="35"/>
      <c r="C202" s="53"/>
      <c r="D202" s="53"/>
      <c r="E202" s="53"/>
      <c r="F202" s="53"/>
      <c r="G202" s="53"/>
      <c r="H202" s="53"/>
      <c r="I202" s="53"/>
      <c r="J202" s="53"/>
      <c r="K202" s="53"/>
      <c r="L202" s="53"/>
      <c r="M202" s="154"/>
      <c r="O202" s="16"/>
      <c r="P202" s="16"/>
      <c r="Q202" s="16"/>
      <c r="R202" s="16"/>
      <c r="S202" s="16"/>
      <c r="T202" s="16"/>
    </row>
    <row r="203" spans="1:20" x14ac:dyDescent="0.3">
      <c r="A203" s="157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158"/>
    </row>
    <row r="204" spans="1:20" x14ac:dyDescent="0.3">
      <c r="A204" s="157" t="s">
        <v>1</v>
      </c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158"/>
    </row>
    <row r="205" spans="1:20" x14ac:dyDescent="0.3">
      <c r="A205" s="157" t="s">
        <v>178</v>
      </c>
      <c r="B205" s="35"/>
      <c r="C205" s="35">
        <f>C154</f>
        <v>-7845002.1399999997</v>
      </c>
      <c r="D205" s="35">
        <f t="shared" ref="D205:M205" si="71">D154</f>
        <v>-670903.62</v>
      </c>
      <c r="E205" s="111">
        <f t="shared" si="71"/>
        <v>-7174098.5199999996</v>
      </c>
      <c r="F205" s="111">
        <f t="shared" si="71"/>
        <v>0</v>
      </c>
      <c r="G205" s="111">
        <f t="shared" si="71"/>
        <v>0</v>
      </c>
      <c r="H205" s="111">
        <f t="shared" si="71"/>
        <v>0</v>
      </c>
      <c r="I205" s="111">
        <f t="shared" si="71"/>
        <v>0</v>
      </c>
      <c r="J205" s="111">
        <f t="shared" si="71"/>
        <v>0</v>
      </c>
      <c r="K205" s="111">
        <f t="shared" si="71"/>
        <v>0</v>
      </c>
      <c r="L205" s="111">
        <f t="shared" si="71"/>
        <v>0</v>
      </c>
      <c r="M205" s="158">
        <f t="shared" si="71"/>
        <v>-7174098.5199999996</v>
      </c>
    </row>
    <row r="206" spans="1:20" x14ac:dyDescent="0.3">
      <c r="A206" s="157" t="s">
        <v>1048</v>
      </c>
      <c r="B206" s="35"/>
      <c r="C206" s="35">
        <f>C155</f>
        <v>-22586859.545806892</v>
      </c>
      <c r="D206" s="35">
        <f t="shared" ref="D206:M206" si="72">D155</f>
        <v>-5686333.8977229428</v>
      </c>
      <c r="E206" s="35">
        <f t="shared" si="72"/>
        <v>-16900525.648083948</v>
      </c>
      <c r="F206" s="35">
        <f t="shared" si="72"/>
        <v>-3175736.6711724643</v>
      </c>
      <c r="G206" s="111">
        <f t="shared" si="72"/>
        <v>0</v>
      </c>
      <c r="H206" s="35">
        <f t="shared" si="72"/>
        <v>-7436415.7638784405</v>
      </c>
      <c r="I206" s="35">
        <f t="shared" si="72"/>
        <v>-415139.35028303484</v>
      </c>
      <c r="J206" s="35">
        <f t="shared" si="72"/>
        <v>-4208062.3516622186</v>
      </c>
      <c r="K206" s="35">
        <f t="shared" si="72"/>
        <v>-223503.29004645935</v>
      </c>
      <c r="L206" s="35">
        <f t="shared" si="72"/>
        <v>-62293.171041331167</v>
      </c>
      <c r="M206" s="158">
        <f t="shared" si="72"/>
        <v>-1379375.0499999989</v>
      </c>
    </row>
    <row r="207" spans="1:20" x14ac:dyDescent="0.3">
      <c r="A207" s="157" t="s">
        <v>1047</v>
      </c>
      <c r="B207" s="35"/>
      <c r="C207" s="35">
        <f>C156</f>
        <v>-11459065.177994002</v>
      </c>
      <c r="D207" s="35">
        <f t="shared" ref="D207:M207" si="73">D156</f>
        <v>-1073192.0056876966</v>
      </c>
      <c r="E207" s="35">
        <f t="shared" si="73"/>
        <v>-10385873.172306305</v>
      </c>
      <c r="F207" s="35">
        <f t="shared" si="73"/>
        <v>-6149759.370575917</v>
      </c>
      <c r="G207" s="111">
        <f t="shared" si="73"/>
        <v>0</v>
      </c>
      <c r="H207" s="35">
        <f t="shared" si="73"/>
        <v>-3904355.7512052124</v>
      </c>
      <c r="I207" s="35">
        <f t="shared" si="73"/>
        <v>-282406.6010557047</v>
      </c>
      <c r="J207" s="35">
        <f t="shared" si="73"/>
        <v>-16480.23418976742</v>
      </c>
      <c r="K207" s="35">
        <f t="shared" si="73"/>
        <v>-77284.368777903845</v>
      </c>
      <c r="L207" s="35">
        <f t="shared" si="73"/>
        <v>-15372.495370829587</v>
      </c>
      <c r="M207" s="158">
        <f t="shared" si="73"/>
        <v>59785.648869029399</v>
      </c>
    </row>
    <row r="208" spans="1:20" ht="14.5" x14ac:dyDescent="0.45">
      <c r="A208" s="157" t="s">
        <v>1049</v>
      </c>
      <c r="B208" s="35"/>
      <c r="C208" s="118">
        <f t="shared" ref="C208:M208" si="74">C157</f>
        <v>8128910.5700000003</v>
      </c>
      <c r="D208" s="118">
        <f t="shared" si="74"/>
        <v>1235594.3999999999</v>
      </c>
      <c r="E208" s="118">
        <f t="shared" si="74"/>
        <v>6893316.1699999999</v>
      </c>
      <c r="F208" s="114">
        <f t="shared" si="74"/>
        <v>0</v>
      </c>
      <c r="G208" s="114">
        <f t="shared" si="74"/>
        <v>0</v>
      </c>
      <c r="H208" s="114">
        <f t="shared" si="74"/>
        <v>0</v>
      </c>
      <c r="I208" s="114">
        <f t="shared" si="74"/>
        <v>0</v>
      </c>
      <c r="J208" s="114">
        <f t="shared" si="74"/>
        <v>0</v>
      </c>
      <c r="K208" s="114">
        <f t="shared" si="74"/>
        <v>0</v>
      </c>
      <c r="L208" s="114">
        <f t="shared" si="74"/>
        <v>0</v>
      </c>
      <c r="M208" s="251">
        <f t="shared" si="74"/>
        <v>6893316.1699999999</v>
      </c>
    </row>
    <row r="209" spans="1:13" x14ac:dyDescent="0.3">
      <c r="A209" s="157" t="s">
        <v>2</v>
      </c>
      <c r="B209" s="35"/>
      <c r="C209" s="35">
        <f t="shared" ref="C209:M209" si="75">SUM(C205:C208)</f>
        <v>-33762016.293800898</v>
      </c>
      <c r="D209" s="35">
        <f t="shared" si="75"/>
        <v>-6194835.1234106403</v>
      </c>
      <c r="E209" s="35">
        <f t="shared" si="75"/>
        <v>-27567181.170390248</v>
      </c>
      <c r="F209" s="35">
        <f t="shared" si="75"/>
        <v>-9325496.0417483822</v>
      </c>
      <c r="G209" s="111">
        <f t="shared" si="75"/>
        <v>0</v>
      </c>
      <c r="H209" s="35">
        <f t="shared" si="75"/>
        <v>-11340771.515083652</v>
      </c>
      <c r="I209" s="35">
        <f t="shared" si="75"/>
        <v>-697545.9513387396</v>
      </c>
      <c r="J209" s="35">
        <f t="shared" si="75"/>
        <v>-4224542.585851986</v>
      </c>
      <c r="K209" s="35">
        <f t="shared" si="75"/>
        <v>-300787.6588243632</v>
      </c>
      <c r="L209" s="35">
        <f t="shared" si="75"/>
        <v>-77665.666412160761</v>
      </c>
      <c r="M209" s="158">
        <f t="shared" si="75"/>
        <v>-1600371.7511309683</v>
      </c>
    </row>
    <row r="210" spans="1:13" x14ac:dyDescent="0.3">
      <c r="A210" s="157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158"/>
    </row>
    <row r="211" spans="1:13" x14ac:dyDescent="0.3">
      <c r="A211" s="157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158"/>
    </row>
    <row r="212" spans="1:13" x14ac:dyDescent="0.3">
      <c r="A212" s="157" t="s">
        <v>3</v>
      </c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158"/>
    </row>
    <row r="213" spans="1:13" x14ac:dyDescent="0.3">
      <c r="A213" s="157" t="s">
        <v>179</v>
      </c>
      <c r="B213" s="35"/>
      <c r="C213" s="35">
        <f>C205*0.86</f>
        <v>-6746701.8403999992</v>
      </c>
      <c r="D213" s="35">
        <f t="shared" ref="D213:M213" si="76">D205*0.86</f>
        <v>-576977.11320000002</v>
      </c>
      <c r="E213" s="35">
        <f t="shared" si="76"/>
        <v>-6169724.7271999996</v>
      </c>
      <c r="F213" s="111">
        <f t="shared" si="76"/>
        <v>0</v>
      </c>
      <c r="G213" s="111">
        <f t="shared" si="76"/>
        <v>0</v>
      </c>
      <c r="H213" s="111">
        <f t="shared" si="76"/>
        <v>0</v>
      </c>
      <c r="I213" s="111">
        <f t="shared" si="76"/>
        <v>0</v>
      </c>
      <c r="J213" s="111">
        <f t="shared" si="76"/>
        <v>0</v>
      </c>
      <c r="K213" s="111">
        <f t="shared" si="76"/>
        <v>0</v>
      </c>
      <c r="L213" s="111">
        <f t="shared" si="76"/>
        <v>0</v>
      </c>
      <c r="M213" s="158">
        <f t="shared" si="76"/>
        <v>-6169724.7271999996</v>
      </c>
    </row>
    <row r="214" spans="1:13" x14ac:dyDescent="0.3">
      <c r="A214" s="157" t="s">
        <v>1051</v>
      </c>
      <c r="B214" s="35"/>
      <c r="C214" s="35">
        <f>C206*0.86</f>
        <v>-19424699.209393926</v>
      </c>
      <c r="D214" s="35">
        <f t="shared" ref="D214:M214" si="77">D206*0.86</f>
        <v>-4890247.1520417305</v>
      </c>
      <c r="E214" s="35">
        <f t="shared" si="77"/>
        <v>-14534452.057352195</v>
      </c>
      <c r="F214" s="35">
        <f t="shared" si="77"/>
        <v>-2731133.5372083192</v>
      </c>
      <c r="G214" s="111">
        <f t="shared" si="77"/>
        <v>0</v>
      </c>
      <c r="H214" s="35">
        <f t="shared" si="77"/>
        <v>-6395317.5569354584</v>
      </c>
      <c r="I214" s="35">
        <f t="shared" si="77"/>
        <v>-357019.84124340996</v>
      </c>
      <c r="J214" s="35">
        <f t="shared" si="77"/>
        <v>-3618933.6224295078</v>
      </c>
      <c r="K214" s="35">
        <f t="shared" si="77"/>
        <v>-192212.82943995504</v>
      </c>
      <c r="L214" s="35">
        <f t="shared" si="77"/>
        <v>-53572.127095544805</v>
      </c>
      <c r="M214" s="158">
        <f t="shared" si="77"/>
        <v>-1186262.5429999991</v>
      </c>
    </row>
    <row r="215" spans="1:13" x14ac:dyDescent="0.3">
      <c r="A215" s="157" t="s">
        <v>1050</v>
      </c>
      <c r="B215" s="35"/>
      <c r="C215" s="35">
        <f>C207*0.86</f>
        <v>-9854796.0530748405</v>
      </c>
      <c r="D215" s="35">
        <f t="shared" ref="D215:M215" si="78">D207*0.86</f>
        <v>-922945.12489141908</v>
      </c>
      <c r="E215" s="35">
        <f t="shared" si="78"/>
        <v>-8931850.9281834215</v>
      </c>
      <c r="F215" s="35">
        <f t="shared" si="78"/>
        <v>-5288793.0586952884</v>
      </c>
      <c r="G215" s="111">
        <f t="shared" si="78"/>
        <v>0</v>
      </c>
      <c r="H215" s="35">
        <f t="shared" si="78"/>
        <v>-3357745.9460364827</v>
      </c>
      <c r="I215" s="35">
        <f t="shared" si="78"/>
        <v>-242869.67690790605</v>
      </c>
      <c r="J215" s="35">
        <f t="shared" si="78"/>
        <v>-14173.00140319998</v>
      </c>
      <c r="K215" s="35">
        <f t="shared" si="78"/>
        <v>-66464.557148997308</v>
      </c>
      <c r="L215" s="35">
        <f t="shared" si="78"/>
        <v>-13220.346018913444</v>
      </c>
      <c r="M215" s="158">
        <f t="shared" si="78"/>
        <v>51415.65802736528</v>
      </c>
    </row>
    <row r="216" spans="1:13" ht="14.5" x14ac:dyDescent="0.45">
      <c r="A216" s="157" t="s">
        <v>0</v>
      </c>
      <c r="B216" s="35"/>
      <c r="C216" s="118">
        <f>C208*0.86</f>
        <v>6990863.0902000004</v>
      </c>
      <c r="D216" s="118">
        <f t="shared" ref="D216:M216" si="79">D208*0.86</f>
        <v>1062611.1839999999</v>
      </c>
      <c r="E216" s="118">
        <f t="shared" si="79"/>
        <v>5928251.9062000001</v>
      </c>
      <c r="F216" s="114">
        <f t="shared" si="79"/>
        <v>0</v>
      </c>
      <c r="G216" s="114">
        <f t="shared" si="79"/>
        <v>0</v>
      </c>
      <c r="H216" s="114">
        <f t="shared" si="79"/>
        <v>0</v>
      </c>
      <c r="I216" s="114">
        <f t="shared" si="79"/>
        <v>0</v>
      </c>
      <c r="J216" s="114">
        <f t="shared" si="79"/>
        <v>0</v>
      </c>
      <c r="K216" s="114">
        <f t="shared" si="79"/>
        <v>0</v>
      </c>
      <c r="L216" s="114">
        <f t="shared" si="79"/>
        <v>0</v>
      </c>
      <c r="M216" s="251">
        <f t="shared" si="79"/>
        <v>5928251.9062000001</v>
      </c>
    </row>
    <row r="217" spans="1:13" x14ac:dyDescent="0.3">
      <c r="A217" s="157" t="s">
        <v>4</v>
      </c>
      <c r="B217" s="35"/>
      <c r="C217" s="35">
        <f t="shared" ref="C217:M217" si="80">SUM(C213:C216)</f>
        <v>-29035334.012668766</v>
      </c>
      <c r="D217" s="35">
        <f t="shared" si="80"/>
        <v>-5327558.2061331496</v>
      </c>
      <c r="E217" s="35">
        <f t="shared" si="80"/>
        <v>-23707775.806535617</v>
      </c>
      <c r="F217" s="35">
        <f t="shared" si="80"/>
        <v>-8019926.5959036071</v>
      </c>
      <c r="G217" s="111">
        <f t="shared" si="80"/>
        <v>0</v>
      </c>
      <c r="H217" s="35">
        <f t="shared" si="80"/>
        <v>-9753063.5029719416</v>
      </c>
      <c r="I217" s="35">
        <f t="shared" si="80"/>
        <v>-599889.51815131598</v>
      </c>
      <c r="J217" s="35">
        <f t="shared" si="80"/>
        <v>-3633106.6238327078</v>
      </c>
      <c r="K217" s="35">
        <f t="shared" si="80"/>
        <v>-258677.38658895233</v>
      </c>
      <c r="L217" s="35">
        <f t="shared" si="80"/>
        <v>-66792.473114458247</v>
      </c>
      <c r="M217" s="158">
        <f t="shared" si="80"/>
        <v>-1376319.7059726343</v>
      </c>
    </row>
    <row r="218" spans="1:13" x14ac:dyDescent="0.3">
      <c r="A218" s="157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158"/>
    </row>
    <row r="219" spans="1:13" x14ac:dyDescent="0.3">
      <c r="A219" s="157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158"/>
    </row>
    <row r="220" spans="1:13" x14ac:dyDescent="0.3">
      <c r="A220" s="157" t="s">
        <v>7</v>
      </c>
      <c r="B220" s="35"/>
      <c r="C220" s="35">
        <f>C147</f>
        <v>181942898.98390862</v>
      </c>
      <c r="D220" s="35">
        <f>D147</f>
        <v>25225409.230132557</v>
      </c>
      <c r="E220" s="35">
        <f t="shared" ref="E220:M220" si="81">E147</f>
        <v>156717489.75377607</v>
      </c>
      <c r="F220" s="35">
        <f t="shared" si="81"/>
        <v>83781010.040029466</v>
      </c>
      <c r="G220" s="111">
        <f t="shared" si="81"/>
        <v>0</v>
      </c>
      <c r="H220" s="35">
        <f t="shared" si="81"/>
        <v>39556513.133117981</v>
      </c>
      <c r="I220" s="35">
        <f t="shared" si="81"/>
        <v>24357903.798237972</v>
      </c>
      <c r="J220" s="35">
        <f t="shared" si="81"/>
        <v>1128816.6600074177</v>
      </c>
      <c r="K220" s="35">
        <f t="shared" si="81"/>
        <v>5765239.3589558424</v>
      </c>
      <c r="L220" s="35">
        <f t="shared" si="81"/>
        <v>2128006.7634274056</v>
      </c>
      <c r="M220" s="236">
        <f t="shared" si="81"/>
        <v>0</v>
      </c>
    </row>
    <row r="221" spans="1:13" ht="14.5" x14ac:dyDescent="0.45">
      <c r="A221" s="157" t="s">
        <v>5</v>
      </c>
      <c r="B221" s="35"/>
      <c r="C221" s="118">
        <f>C217</f>
        <v>-29035334.012668766</v>
      </c>
      <c r="D221" s="118">
        <f t="shared" ref="D221:M221" si="82">D217</f>
        <v>-5327558.2061331496</v>
      </c>
      <c r="E221" s="118">
        <f t="shared" si="82"/>
        <v>-23707775.806535617</v>
      </c>
      <c r="F221" s="114">
        <f t="shared" si="82"/>
        <v>-8019926.5959036071</v>
      </c>
      <c r="G221" s="114">
        <f t="shared" si="82"/>
        <v>0</v>
      </c>
      <c r="H221" s="114">
        <f t="shared" si="82"/>
        <v>-9753063.5029719416</v>
      </c>
      <c r="I221" s="114">
        <f t="shared" si="82"/>
        <v>-599889.51815131598</v>
      </c>
      <c r="J221" s="114">
        <f t="shared" si="82"/>
        <v>-3633106.6238327078</v>
      </c>
      <c r="K221" s="114">
        <f t="shared" si="82"/>
        <v>-258677.38658895233</v>
      </c>
      <c r="L221" s="114">
        <f t="shared" si="82"/>
        <v>-66792.473114458247</v>
      </c>
      <c r="M221" s="251">
        <f t="shared" si="82"/>
        <v>-1376319.7059726343</v>
      </c>
    </row>
    <row r="222" spans="1:13" x14ac:dyDescent="0.3">
      <c r="A222" s="157" t="s">
        <v>6</v>
      </c>
      <c r="B222" s="35"/>
      <c r="C222" s="35">
        <f t="shared" ref="C222:M222" si="83">C220+C221</f>
        <v>152907564.97123986</v>
      </c>
      <c r="D222" s="35">
        <f t="shared" si="83"/>
        <v>19897851.023999408</v>
      </c>
      <c r="E222" s="35">
        <f t="shared" si="83"/>
        <v>133009713.94724046</v>
      </c>
      <c r="F222" s="35">
        <f t="shared" si="83"/>
        <v>75761083.444125861</v>
      </c>
      <c r="G222" s="111">
        <f t="shared" si="83"/>
        <v>0</v>
      </c>
      <c r="H222" s="35">
        <f t="shared" si="83"/>
        <v>29803449.630146042</v>
      </c>
      <c r="I222" s="35">
        <f t="shared" si="83"/>
        <v>23758014.280086655</v>
      </c>
      <c r="J222" s="35">
        <f t="shared" si="83"/>
        <v>-2504289.9638252901</v>
      </c>
      <c r="K222" s="35">
        <f t="shared" si="83"/>
        <v>5506561.9723668899</v>
      </c>
      <c r="L222" s="35">
        <f t="shared" si="83"/>
        <v>2061214.2903129475</v>
      </c>
      <c r="M222" s="158">
        <f t="shared" si="83"/>
        <v>-1376319.7059726343</v>
      </c>
    </row>
    <row r="223" spans="1:13" ht="13.5" thickBot="1" x14ac:dyDescent="0.35">
      <c r="A223" s="33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161"/>
    </row>
  </sheetData>
  <customSheetViews>
    <customSheetView guid="{121E4431-22F3-11D5-8242-00600818425F}" scale="75" showRuler="0">
      <selection activeCell="A14" sqref="A14"/>
      <rowBreaks count="9" manualBreakCount="9">
        <brk id="30" max="16383" man="1"/>
        <brk id="93" max="16383" man="1"/>
        <brk id="136" max="16383" man="1"/>
        <brk id="191" max="16383" man="1"/>
        <brk id="217" max="16383" man="1"/>
        <brk id="261" max="16383" man="1"/>
        <brk id="316" max="16383" man="1"/>
        <brk id="342" max="16383" man="1"/>
        <brk id="386" max="16383" man="1"/>
      </rowBreaks>
      <pageMargins left="0" right="0" top="0.5" bottom="0.4" header="0.2" footer="0.2"/>
      <printOptions horizontalCentered="1" gridLines="1"/>
      <pageSetup scale="65" orientation="landscape" horizontalDpi="300" verticalDpi="300" r:id="rId1"/>
      <headerFooter alignWithMargins="0">
        <oddFooter>&amp;L&amp;8&amp;F &amp;C&amp;8&amp;A
page &amp;P&amp;R&amp;8&amp;D
&amp;T</oddFooter>
      </headerFooter>
    </customSheetView>
    <customSheetView guid="{26EFD302-2526-11D5-9AB1-0060975861A8}" scale="75" showPageBreaks="1" showRuler="0">
      <selection activeCell="A14" sqref="A14"/>
      <rowBreaks count="9" manualBreakCount="9">
        <brk id="30" max="16383" man="1"/>
        <brk id="93" max="16383" man="1"/>
        <brk id="136" max="16383" man="1"/>
        <brk id="191" max="16383" man="1"/>
        <brk id="217" max="16383" man="1"/>
        <brk id="261" max="16383" man="1"/>
        <brk id="316" max="16383" man="1"/>
        <brk id="342" max="16383" man="1"/>
        <brk id="386" max="16383" man="1"/>
      </rowBreaks>
      <pageMargins left="0" right="0" top="0.5" bottom="0.4" header="0.2" footer="0.2"/>
      <printOptions horizontalCentered="1" gridLines="1"/>
      <pageSetup scale="65" orientation="landscape" horizontalDpi="300" verticalDpi="300" r:id="rId2"/>
      <headerFooter alignWithMargins="0">
        <oddFooter>&amp;L&amp;8&amp;F &amp;C&amp;8&amp;A
page &amp;P&amp;R&amp;8&amp;D
&amp;T</oddFooter>
      </headerFooter>
    </customSheetView>
    <customSheetView guid="{44D25261-300E-11D5-83AB-006008184210}" scale="75" showPageBreaks="1" showRuler="0">
      <selection activeCell="A14" sqref="A14"/>
      <rowBreaks count="9" manualBreakCount="9">
        <brk id="30" max="16383" man="1"/>
        <brk id="93" max="16383" man="1"/>
        <brk id="136" max="16383" man="1"/>
        <brk id="191" max="16383" man="1"/>
        <brk id="217" max="16383" man="1"/>
        <brk id="261" max="16383" man="1"/>
        <brk id="316" max="16383" man="1"/>
        <brk id="342" max="16383" man="1"/>
        <brk id="386" max="16383" man="1"/>
      </rowBreaks>
      <pageMargins left="0" right="0" top="0.5" bottom="0.4" header="0.2" footer="0.2"/>
      <printOptions horizontalCentered="1" gridLines="1"/>
      <pageSetup scale="65" orientation="landscape" horizontalDpi="300" verticalDpi="300" r:id="rId3"/>
      <headerFooter alignWithMargins="0">
        <oddFooter>&amp;L&amp;8&amp;F 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65" orientation="landscape" verticalDpi="300" r:id="rId4"/>
  <headerFooter alignWithMargins="0">
    <oddFooter>&amp;L&amp;8&amp;F &amp;C&amp;8&amp;A
page &amp;P&amp;R&amp;8&amp;D
&amp;T</oddFooter>
  </headerFooter>
  <rowBreaks count="4" manualBreakCount="4">
    <brk id="30" max="16383" man="1"/>
    <brk id="92" max="16383" man="1"/>
    <brk id="118" max="16383" man="1"/>
    <brk id="16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O224"/>
  <sheetViews>
    <sheetView zoomScale="75" zoomScaleNormal="75" workbookViewId="0">
      <pane xSplit="1" ySplit="7" topLeftCell="B8" activePane="bottomRight" state="frozen"/>
      <selection activeCell="A149" sqref="A1:XFD1048576"/>
      <selection pane="topRight" activeCell="A149" sqref="A1:XFD1048576"/>
      <selection pane="bottomLeft" activeCell="A149" sqref="A1:XFD1048576"/>
      <selection pane="bottomRight" activeCell="B8" sqref="B8"/>
    </sheetView>
  </sheetViews>
  <sheetFormatPr defaultColWidth="9.1796875" defaultRowHeight="13" x14ac:dyDescent="0.3"/>
  <cols>
    <col min="1" max="1" width="26.453125" style="32" customWidth="1"/>
    <col min="2" max="2" width="16.54296875" style="32" customWidth="1"/>
    <col min="3" max="3" width="11.54296875" style="32" bestFit="1" customWidth="1"/>
    <col min="4" max="4" width="16.54296875" style="32" customWidth="1"/>
    <col min="5" max="11" width="15" style="32" customWidth="1"/>
    <col min="12" max="13" width="12.81640625" style="32" bestFit="1" customWidth="1"/>
    <col min="14" max="14" width="13.453125" style="32" customWidth="1"/>
    <col min="15" max="15" width="12.81640625" style="32" bestFit="1" customWidth="1"/>
    <col min="16" max="16" width="13.453125" style="32" customWidth="1"/>
    <col min="17" max="17" width="12.81640625" style="32" bestFit="1" customWidth="1"/>
    <col min="18" max="18" width="13.453125" style="32" customWidth="1"/>
    <col min="19" max="19" width="11.453125" style="32" bestFit="1" customWidth="1"/>
    <col min="20" max="20" width="13.453125" style="32" customWidth="1"/>
    <col min="21" max="21" width="12.54296875" style="32" bestFit="1" customWidth="1"/>
    <col min="22" max="22" width="11.453125" style="32" bestFit="1" customWidth="1"/>
    <col min="23" max="23" width="13.453125" style="32" customWidth="1"/>
    <col min="24" max="24" width="15.54296875" style="32" customWidth="1"/>
    <col min="25" max="31" width="13.453125" style="32" customWidth="1"/>
    <col min="32" max="32" width="14.54296875" style="32" customWidth="1"/>
    <col min="33" max="33" width="14" style="32" customWidth="1"/>
    <col min="34" max="34" width="14.453125" style="32" customWidth="1"/>
    <col min="35" max="37" width="16.54296875" style="32" customWidth="1"/>
    <col min="38" max="38" width="9.1796875" style="32"/>
    <col min="39" max="39" width="14.453125" style="32" bestFit="1" customWidth="1"/>
    <col min="40" max="40" width="12.54296875" style="32" bestFit="1" customWidth="1"/>
    <col min="41" max="16384" width="9.1796875" style="32"/>
  </cols>
  <sheetData>
    <row r="1" spans="1:40" x14ac:dyDescent="0.3">
      <c r="A1" s="205" t="str">
        <f>'1. RB-i'!A1</f>
        <v>CPS Energy</v>
      </c>
      <c r="B1" s="206"/>
      <c r="C1" s="206"/>
      <c r="D1" s="207"/>
      <c r="E1" s="207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  <c r="U1" s="206"/>
      <c r="V1" s="206"/>
      <c r="W1" s="206"/>
      <c r="X1" s="206"/>
      <c r="Y1" s="206"/>
      <c r="Z1" s="206"/>
      <c r="AA1" s="206"/>
      <c r="AB1" s="206"/>
      <c r="AC1" s="206"/>
      <c r="AD1" s="206"/>
      <c r="AE1" s="206"/>
      <c r="AF1" s="206"/>
      <c r="AG1" s="206"/>
      <c r="AH1" s="206"/>
      <c r="AI1" s="252" t="s">
        <v>1041</v>
      </c>
      <c r="AJ1" s="253"/>
      <c r="AK1" s="254"/>
    </row>
    <row r="2" spans="1:40" x14ac:dyDescent="0.3">
      <c r="A2" s="209" t="s">
        <v>1309</v>
      </c>
      <c r="B2" s="182"/>
      <c r="C2" s="182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9"/>
      <c r="AJ2" s="183"/>
      <c r="AK2" s="210"/>
    </row>
    <row r="3" spans="1:40" x14ac:dyDescent="0.3">
      <c r="A3" s="255" t="str">
        <f>'9a. Summary Schedules'!A3</f>
        <v>FYE 2017 UCOS</v>
      </c>
      <c r="B3" s="190"/>
      <c r="C3" s="191"/>
      <c r="D3" s="256"/>
      <c r="E3" s="256"/>
      <c r="F3" s="256"/>
      <c r="G3" s="256"/>
      <c r="H3" s="256"/>
      <c r="I3" s="256"/>
      <c r="J3" s="256"/>
      <c r="K3" s="256"/>
      <c r="L3" s="256"/>
      <c r="M3" s="257" t="s">
        <v>367</v>
      </c>
      <c r="N3" s="258"/>
      <c r="O3" s="258"/>
      <c r="P3" s="258"/>
      <c r="Q3" s="258"/>
      <c r="R3" s="258"/>
      <c r="S3" s="258"/>
      <c r="T3" s="258"/>
      <c r="U3" s="258"/>
      <c r="V3" s="259"/>
      <c r="W3" s="259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2"/>
      <c r="AJ3" s="184"/>
      <c r="AK3" s="260"/>
    </row>
    <row r="4" spans="1:40" x14ac:dyDescent="0.3">
      <c r="A4" s="261"/>
      <c r="B4" s="262"/>
      <c r="C4" s="263"/>
      <c r="D4" s="257" t="s">
        <v>544</v>
      </c>
      <c r="E4" s="258"/>
      <c r="F4" s="258"/>
      <c r="G4" s="258"/>
      <c r="H4" s="258"/>
      <c r="I4" s="259"/>
      <c r="J4" s="258"/>
      <c r="K4" s="259"/>
      <c r="L4" s="262"/>
      <c r="M4" s="191"/>
      <c r="N4" s="264" t="s">
        <v>922</v>
      </c>
      <c r="O4" s="265"/>
      <c r="P4" s="265"/>
      <c r="Q4" s="266"/>
      <c r="R4" s="264" t="s">
        <v>923</v>
      </c>
      <c r="S4" s="265"/>
      <c r="T4" s="265"/>
      <c r="U4" s="265"/>
      <c r="V4" s="266"/>
      <c r="W4" s="265"/>
      <c r="X4" s="257" t="s">
        <v>907</v>
      </c>
      <c r="Y4" s="258"/>
      <c r="Z4" s="259"/>
      <c r="AA4" s="191"/>
      <c r="AB4" s="257" t="s">
        <v>85</v>
      </c>
      <c r="AC4" s="258"/>
      <c r="AD4" s="258"/>
      <c r="AE4" s="258"/>
      <c r="AF4" s="257" t="s">
        <v>912</v>
      </c>
      <c r="AG4" s="259"/>
      <c r="AH4" s="191"/>
      <c r="AI4" s="214"/>
      <c r="AJ4" s="214"/>
      <c r="AK4" s="267"/>
    </row>
    <row r="5" spans="1:40" x14ac:dyDescent="0.3">
      <c r="A5" s="268"/>
      <c r="B5" s="194"/>
      <c r="C5" s="191"/>
      <c r="D5" s="195" t="s">
        <v>357</v>
      </c>
      <c r="E5" s="196" t="s">
        <v>924</v>
      </c>
      <c r="F5" s="196"/>
      <c r="G5" s="196"/>
      <c r="H5" s="196"/>
      <c r="I5" s="196" t="s">
        <v>924</v>
      </c>
      <c r="J5" s="269"/>
      <c r="K5" s="197" t="s">
        <v>79</v>
      </c>
      <c r="L5" s="198" t="s">
        <v>357</v>
      </c>
      <c r="M5" s="269" t="s">
        <v>357</v>
      </c>
      <c r="N5" s="270"/>
      <c r="O5" s="271" t="s">
        <v>925</v>
      </c>
      <c r="P5" s="271" t="s">
        <v>926</v>
      </c>
      <c r="Q5" s="216"/>
      <c r="R5" s="270" t="s">
        <v>925</v>
      </c>
      <c r="S5" s="271" t="s">
        <v>926</v>
      </c>
      <c r="T5" s="271"/>
      <c r="U5" s="263"/>
      <c r="V5" s="263"/>
      <c r="W5" s="216" t="s">
        <v>1010</v>
      </c>
      <c r="X5" s="271" t="s">
        <v>357</v>
      </c>
      <c r="Y5" s="270"/>
      <c r="Z5" s="270" t="s">
        <v>994</v>
      </c>
      <c r="AA5" s="215" t="s">
        <v>357</v>
      </c>
      <c r="AB5" s="215" t="s">
        <v>357</v>
      </c>
      <c r="AC5" s="215" t="s">
        <v>86</v>
      </c>
      <c r="AD5" s="215" t="s">
        <v>1003</v>
      </c>
      <c r="AE5" s="272"/>
      <c r="AF5" s="215" t="s">
        <v>911</v>
      </c>
      <c r="AG5" s="215"/>
      <c r="AH5" s="215" t="s">
        <v>357</v>
      </c>
      <c r="AI5" s="186" t="s">
        <v>355</v>
      </c>
      <c r="AJ5" s="186" t="s">
        <v>355</v>
      </c>
      <c r="AK5" s="219" t="s">
        <v>355</v>
      </c>
      <c r="AM5" s="7" t="s">
        <v>142</v>
      </c>
    </row>
    <row r="6" spans="1:40" x14ac:dyDescent="0.3">
      <c r="A6" s="268"/>
      <c r="B6" s="186"/>
      <c r="C6" s="196"/>
      <c r="D6" s="186" t="s">
        <v>544</v>
      </c>
      <c r="E6" s="196" t="s">
        <v>928</v>
      </c>
      <c r="F6" s="196" t="s">
        <v>1140</v>
      </c>
      <c r="G6" s="196" t="s">
        <v>1139</v>
      </c>
      <c r="H6" s="196" t="s">
        <v>947</v>
      </c>
      <c r="I6" s="196" t="s">
        <v>927</v>
      </c>
      <c r="J6" s="196" t="s">
        <v>617</v>
      </c>
      <c r="K6" s="187" t="s">
        <v>80</v>
      </c>
      <c r="L6" s="198" t="s">
        <v>366</v>
      </c>
      <c r="M6" s="199" t="s">
        <v>367</v>
      </c>
      <c r="N6" s="200" t="s">
        <v>929</v>
      </c>
      <c r="O6" s="196" t="s">
        <v>930</v>
      </c>
      <c r="P6" s="196" t="s">
        <v>930</v>
      </c>
      <c r="Q6" s="187" t="s">
        <v>931</v>
      </c>
      <c r="R6" s="200" t="s">
        <v>930</v>
      </c>
      <c r="S6" s="196" t="s">
        <v>930</v>
      </c>
      <c r="T6" s="196" t="s">
        <v>931</v>
      </c>
      <c r="U6" s="196" t="s">
        <v>456</v>
      </c>
      <c r="V6" s="196" t="s">
        <v>932</v>
      </c>
      <c r="W6" s="187" t="s">
        <v>1011</v>
      </c>
      <c r="X6" s="196" t="s">
        <v>907</v>
      </c>
      <c r="Y6" s="200" t="s">
        <v>907</v>
      </c>
      <c r="Z6" s="200" t="s">
        <v>995</v>
      </c>
      <c r="AA6" s="186" t="s">
        <v>84</v>
      </c>
      <c r="AB6" s="186" t="s">
        <v>82</v>
      </c>
      <c r="AC6" s="186" t="s">
        <v>87</v>
      </c>
      <c r="AD6" s="186" t="s">
        <v>1004</v>
      </c>
      <c r="AE6" s="186" t="s">
        <v>1005</v>
      </c>
      <c r="AF6" s="186" t="s">
        <v>912</v>
      </c>
      <c r="AG6" s="186" t="s">
        <v>1006</v>
      </c>
      <c r="AH6" s="186" t="s">
        <v>913</v>
      </c>
      <c r="AI6" s="186" t="s">
        <v>364</v>
      </c>
      <c r="AJ6" s="186" t="s">
        <v>947</v>
      </c>
      <c r="AK6" s="219" t="s">
        <v>948</v>
      </c>
      <c r="AM6" s="7" t="s">
        <v>143</v>
      </c>
    </row>
    <row r="7" spans="1:40" x14ac:dyDescent="0.3">
      <c r="A7" s="273" t="s">
        <v>359</v>
      </c>
      <c r="B7" s="201"/>
      <c r="C7" s="190"/>
      <c r="D7" s="202" t="s">
        <v>815</v>
      </c>
      <c r="E7" s="203" t="s">
        <v>816</v>
      </c>
      <c r="F7" s="203"/>
      <c r="G7" s="203"/>
      <c r="H7" s="203"/>
      <c r="I7" s="203" t="s">
        <v>817</v>
      </c>
      <c r="J7" s="203" t="s">
        <v>818</v>
      </c>
      <c r="K7" s="203" t="s">
        <v>819</v>
      </c>
      <c r="L7" s="188" t="s">
        <v>820</v>
      </c>
      <c r="M7" s="203" t="s">
        <v>821</v>
      </c>
      <c r="N7" s="202" t="s">
        <v>822</v>
      </c>
      <c r="O7" s="203" t="s">
        <v>823</v>
      </c>
      <c r="P7" s="203" t="s">
        <v>908</v>
      </c>
      <c r="Q7" s="203" t="s">
        <v>914</v>
      </c>
      <c r="R7" s="202" t="s">
        <v>915</v>
      </c>
      <c r="S7" s="203" t="s">
        <v>916</v>
      </c>
      <c r="T7" s="203" t="s">
        <v>917</v>
      </c>
      <c r="U7" s="203" t="s">
        <v>918</v>
      </c>
      <c r="V7" s="203" t="s">
        <v>934</v>
      </c>
      <c r="W7" s="204" t="s">
        <v>935</v>
      </c>
      <c r="X7" s="203" t="s">
        <v>936</v>
      </c>
      <c r="Y7" s="188" t="s">
        <v>937</v>
      </c>
      <c r="Z7" s="188" t="s">
        <v>938</v>
      </c>
      <c r="AA7" s="188" t="s">
        <v>939</v>
      </c>
      <c r="AB7" s="188" t="s">
        <v>985</v>
      </c>
      <c r="AC7" s="188" t="s">
        <v>986</v>
      </c>
      <c r="AD7" s="188" t="s">
        <v>987</v>
      </c>
      <c r="AE7" s="188" t="s">
        <v>988</v>
      </c>
      <c r="AF7" s="188" t="s">
        <v>989</v>
      </c>
      <c r="AG7" s="188" t="s">
        <v>990</v>
      </c>
      <c r="AH7" s="188" t="s">
        <v>991</v>
      </c>
      <c r="AI7" s="188" t="s">
        <v>992</v>
      </c>
      <c r="AJ7" s="188" t="s">
        <v>993</v>
      </c>
      <c r="AK7" s="220" t="s">
        <v>1002</v>
      </c>
      <c r="AM7" s="7" t="s">
        <v>144</v>
      </c>
      <c r="AN7" s="7" t="s">
        <v>145</v>
      </c>
    </row>
    <row r="8" spans="1:40" x14ac:dyDescent="0.3">
      <c r="A8" s="157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123"/>
      <c r="AJ8" s="35"/>
      <c r="AK8" s="158"/>
    </row>
    <row r="9" spans="1:40" s="101" customFormat="1" x14ac:dyDescent="0.3">
      <c r="A9" s="180" t="s">
        <v>950</v>
      </c>
      <c r="B9" s="39"/>
      <c r="C9" s="39"/>
      <c r="D9" s="99">
        <f>'2b. RB-sf'!D142</f>
        <v>3509750538.4622955</v>
      </c>
      <c r="E9" s="99">
        <f>'2b. RB-sf'!E142</f>
        <v>3430679145.0743985</v>
      </c>
      <c r="F9" s="645"/>
      <c r="G9" s="645"/>
      <c r="H9" s="645"/>
      <c r="I9" s="99">
        <f>'2b. RB-sf'!I142</f>
        <v>79071393.387896895</v>
      </c>
      <c r="J9" s="99">
        <f>'2b. RB-sf'!J142</f>
        <v>0</v>
      </c>
      <c r="K9" s="99">
        <f>'2b. RB-sf'!K142</f>
        <v>0</v>
      </c>
      <c r="L9" s="99">
        <f>'2b. RB-sf'!L142</f>
        <v>853049006.95694482</v>
      </c>
      <c r="M9" s="99">
        <f>'2b. RB-sf'!M142</f>
        <v>2238093162.236341</v>
      </c>
      <c r="N9" s="99">
        <f>'2b. RB-sf'!N142</f>
        <v>378396336.94476551</v>
      </c>
      <c r="O9" s="99">
        <f>'2b. RB-sf'!O142</f>
        <v>634524990.24899721</v>
      </c>
      <c r="P9" s="99">
        <f>'2b. RB-sf'!P142</f>
        <v>169681427.5601795</v>
      </c>
      <c r="Q9" s="99">
        <f>'2b. RB-sf'!Q142</f>
        <v>178295302.34677774</v>
      </c>
      <c r="R9" s="99">
        <f>'2b. RB-sf'!R142</f>
        <v>352514001.87719792</v>
      </c>
      <c r="S9" s="99">
        <f>'2b. RB-sf'!S142</f>
        <v>87221162.448025957</v>
      </c>
      <c r="T9" s="99">
        <f>'2b. RB-sf'!T142</f>
        <v>194903159.61077228</v>
      </c>
      <c r="U9" s="99">
        <f>'2b. RB-sf'!U142</f>
        <v>130630099.47089377</v>
      </c>
      <c r="V9" s="99">
        <f>'2b. RB-sf'!V142</f>
        <v>111605223.88534749</v>
      </c>
      <c r="W9" s="99">
        <f>'2b. RB-sf'!W142</f>
        <v>321457.84338360757</v>
      </c>
      <c r="X9" s="99">
        <f>'2b. RB-sf'!X142</f>
        <v>170138080.66719595</v>
      </c>
      <c r="Y9" s="99">
        <f>'2b. RB-sf'!Y142</f>
        <v>158535443.60408646</v>
      </c>
      <c r="Z9" s="99">
        <f>'2b. RB-sf'!Z142</f>
        <v>11602637.063109498</v>
      </c>
      <c r="AA9" s="99">
        <f>'2b. RB-sf'!AA142</f>
        <v>7645179.4379166793</v>
      </c>
      <c r="AB9" s="99">
        <f>'2b. RB-sf'!AB142</f>
        <v>39046455.428348765</v>
      </c>
      <c r="AC9" s="99">
        <f>'2b. RB-sf'!AC142</f>
        <v>35431144.438197859</v>
      </c>
      <c r="AD9" s="99">
        <f>'2b. RB-sf'!AD142</f>
        <v>3615310.9901508992</v>
      </c>
      <c r="AE9" s="99">
        <f>'2b. RB-sf'!AE142</f>
        <v>0</v>
      </c>
      <c r="AF9" s="99">
        <f>'2b. RB-sf'!AF142</f>
        <v>5541358.3705311799</v>
      </c>
      <c r="AG9" s="99">
        <f>'2b. RB-sf'!AG142</f>
        <v>5541358.3705311799</v>
      </c>
      <c r="AH9" s="99">
        <f>'2b. RB-sf'!AH142</f>
        <v>0</v>
      </c>
      <c r="AI9" s="124">
        <f>SUM(I9:K9,L9,N9:W9,Y9:Z9,AA9:AA9,AC9:AE9,AG9:AG9,AH9,E9)</f>
        <v>6823263781.5595741</v>
      </c>
      <c r="AJ9" s="99">
        <f>'1. RB-i'!G414</f>
        <v>626039589.20072007</v>
      </c>
      <c r="AK9" s="221">
        <f>+AI9+AJ9</f>
        <v>7449303370.760294</v>
      </c>
      <c r="AM9" s="101">
        <f>'9a. Summary Schedules'!C9</f>
        <v>7449303370.760293</v>
      </c>
      <c r="AN9" s="101">
        <f>AK9-AM9</f>
        <v>0</v>
      </c>
    </row>
    <row r="10" spans="1:40" s="101" customFormat="1" x14ac:dyDescent="0.3">
      <c r="A10" s="180"/>
      <c r="B10" s="39"/>
      <c r="C10" s="39"/>
      <c r="D10" s="39"/>
      <c r="E10" s="39"/>
      <c r="F10" s="646"/>
      <c r="G10" s="646"/>
      <c r="H10" s="646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124"/>
      <c r="AJ10" s="39"/>
      <c r="AK10" s="181"/>
    </row>
    <row r="11" spans="1:40" s="100" customFormat="1" x14ac:dyDescent="0.3">
      <c r="A11" s="222" t="s">
        <v>951</v>
      </c>
      <c r="B11" s="103"/>
      <c r="C11" s="103"/>
      <c r="D11" s="104">
        <f>'2b. RB-sf'!D156</f>
        <v>249599970.53407323</v>
      </c>
      <c r="E11" s="104">
        <f>'2b. RB-sf'!E156</f>
        <v>243976716.90296072</v>
      </c>
      <c r="F11" s="645"/>
      <c r="G11" s="645"/>
      <c r="H11" s="645"/>
      <c r="I11" s="104">
        <f>'2b. RB-sf'!I156</f>
        <v>5623253.6311125066</v>
      </c>
      <c r="J11" s="104">
        <f>'2b. RB-sf'!J156</f>
        <v>0</v>
      </c>
      <c r="K11" s="104">
        <f>'2b. RB-sf'!K156</f>
        <v>0</v>
      </c>
      <c r="L11" s="104">
        <f>'2b. RB-sf'!L156</f>
        <v>90839870.28130953</v>
      </c>
      <c r="M11" s="104">
        <f>'2b. RB-sf'!M156</f>
        <v>207852704.94391328</v>
      </c>
      <c r="N11" s="104">
        <f>'2b. RB-sf'!N156</f>
        <v>35141835.693849668</v>
      </c>
      <c r="O11" s="104">
        <f>'2b. RB-sf'!O156</f>
        <v>58928617.361924186</v>
      </c>
      <c r="P11" s="104">
        <f>'2b. RB-sf'!P156</f>
        <v>15758389.459483825</v>
      </c>
      <c r="Q11" s="104">
        <f>'2b. RB-sf'!Q156</f>
        <v>16558363.832603127</v>
      </c>
      <c r="R11" s="104">
        <f>'2b. RB-sf'!R156</f>
        <v>32738131.752998911</v>
      </c>
      <c r="S11" s="104">
        <f>'2b. RB-sf'!S156</f>
        <v>8100268.053658545</v>
      </c>
      <c r="T11" s="104">
        <f>'2b. RB-sf'!T156</f>
        <v>18100742.905060682</v>
      </c>
      <c r="U11" s="104">
        <f>'2b. RB-sf'!U156</f>
        <v>12131675.294064682</v>
      </c>
      <c r="V11" s="104">
        <f>'2b. RB-sf'!V156</f>
        <v>10364826.657734489</v>
      </c>
      <c r="W11" s="104">
        <f>'2b. RB-sf'!W156</f>
        <v>29853.932535121141</v>
      </c>
      <c r="X11" s="104">
        <f>'2b. RB-sf'!X156</f>
        <v>3903861.5496431245</v>
      </c>
      <c r="Y11" s="104">
        <f>'2b. RB-sf'!Y156</f>
        <v>3637636.0901368647</v>
      </c>
      <c r="Z11" s="104">
        <f>'2b. RB-sf'!Z156</f>
        <v>266225.45950626017</v>
      </c>
      <c r="AA11" s="104">
        <f>'2b. RB-sf'!AA156</f>
        <v>1483865.9682655758</v>
      </c>
      <c r="AB11" s="104">
        <f>'2b. RB-sf'!AB156</f>
        <v>4425298.1509868335</v>
      </c>
      <c r="AC11" s="104">
        <f>'2b. RB-sf'!AC156</f>
        <v>4015559.8312226897</v>
      </c>
      <c r="AD11" s="104">
        <f>'2b. RB-sf'!AD156</f>
        <v>409738.31976414385</v>
      </c>
      <c r="AE11" s="104">
        <f>'2b. RB-sf'!AE156</f>
        <v>0</v>
      </c>
      <c r="AF11" s="104">
        <f>'2b. RB-sf'!AF156</f>
        <v>2454258.4538577343</v>
      </c>
      <c r="AG11" s="104">
        <f>'2b. RB-sf'!AG156</f>
        <v>2454258.4538577343</v>
      </c>
      <c r="AH11" s="104">
        <f>'2b. RB-sf'!AH156</f>
        <v>0</v>
      </c>
      <c r="AI11" s="124">
        <f t="shared" ref="AI11:AI18" si="0">SUM(E11,I11:K11,L11,N11:W11,Y11:Z11,AA11:AA11,AC11:AE11,AG11:AG11,AH11)</f>
        <v>560559829.88204932</v>
      </c>
      <c r="AJ11" s="104">
        <f>'1. RB-i'!G428</f>
        <v>43440743.357950628</v>
      </c>
      <c r="AK11" s="223">
        <f t="shared" ref="AK11:AK17" si="1">+AI11+AJ11</f>
        <v>604000573.24000001</v>
      </c>
      <c r="AM11" s="100">
        <f>'9a. Summary Schedules'!C11</f>
        <v>604000573.24000001</v>
      </c>
      <c r="AN11" s="100">
        <f t="shared" ref="AN11:AN21" si="2">AK11-AM11</f>
        <v>0</v>
      </c>
    </row>
    <row r="12" spans="1:40" s="101" customFormat="1" x14ac:dyDescent="0.3">
      <c r="A12" s="180" t="s">
        <v>952</v>
      </c>
      <c r="B12" s="39"/>
      <c r="C12" s="39"/>
      <c r="D12" s="99">
        <f>'2b. RB-sf'!D172</f>
        <v>219505030.21077758</v>
      </c>
      <c r="E12" s="99">
        <f>'2b. RB-sf'!E172</f>
        <v>76379461.737461597</v>
      </c>
      <c r="F12" s="645"/>
      <c r="G12" s="645"/>
      <c r="H12" s="645"/>
      <c r="I12" s="99">
        <f>'2b. RB-sf'!I172</f>
        <v>36777227.653315984</v>
      </c>
      <c r="J12" s="99">
        <f>'2b. RB-sf'!J172</f>
        <v>106348340.82000001</v>
      </c>
      <c r="K12" s="99">
        <f>'2b. RB-sf'!K172</f>
        <v>0</v>
      </c>
      <c r="L12" s="99">
        <f>'2b. RB-sf'!L172</f>
        <v>6531929.7904038541</v>
      </c>
      <c r="M12" s="99">
        <f>'2b. RB-sf'!M172</f>
        <v>34286581.443658262</v>
      </c>
      <c r="N12" s="99">
        <f>'2b. RB-sf'!N172</f>
        <v>9760670.4665726088</v>
      </c>
      <c r="O12" s="99">
        <f>'2b. RB-sf'!O172</f>
        <v>10118877.786103692</v>
      </c>
      <c r="P12" s="99">
        <f>'2b. RB-sf'!P172</f>
        <v>2783420.9855469484</v>
      </c>
      <c r="Q12" s="99">
        <f>'2b. RB-sf'!Q172</f>
        <v>512729.58123417152</v>
      </c>
      <c r="R12" s="99">
        <f>'2b. RB-sf'!R172</f>
        <v>7156354.4687345158</v>
      </c>
      <c r="S12" s="99">
        <f>'2b. RB-sf'!S172</f>
        <v>1902249.6699367687</v>
      </c>
      <c r="T12" s="99">
        <f>'2b. RB-sf'!T172</f>
        <v>560489.33478955564</v>
      </c>
      <c r="U12" s="99">
        <f>'2b. RB-sf'!U172</f>
        <v>9361.271220833245</v>
      </c>
      <c r="V12" s="99">
        <f>'2b. RB-sf'!V172</f>
        <v>1233694.8708833982</v>
      </c>
      <c r="W12" s="99">
        <f>'2b. RB-sf'!W172</f>
        <v>248733.00863576814</v>
      </c>
      <c r="X12" s="99">
        <f>'2b. RB-sf'!X172</f>
        <v>2827639.5746785677</v>
      </c>
      <c r="Y12" s="99">
        <f>'2b. RB-sf'!Y172</f>
        <v>1533727.2091611889</v>
      </c>
      <c r="Z12" s="99">
        <f>'2b. RB-sf'!Z172</f>
        <v>1293912.3655173793</v>
      </c>
      <c r="AA12" s="99">
        <f>'2b. RB-sf'!AA172</f>
        <v>763136.54851638642</v>
      </c>
      <c r="AB12" s="99">
        <f>'2b. RB-sf'!AB172</f>
        <v>2688312.8158285483</v>
      </c>
      <c r="AC12" s="99">
        <f>'2b. RB-sf'!AC172</f>
        <v>2629742.6171822171</v>
      </c>
      <c r="AD12" s="99">
        <f>'2b. RB-sf'!AD172</f>
        <v>58570.198646331279</v>
      </c>
      <c r="AE12" s="99">
        <f>'2b. RB-sf'!AE172</f>
        <v>0</v>
      </c>
      <c r="AF12" s="99">
        <f>'2b. RB-sf'!AF172</f>
        <v>1825501.1895347987</v>
      </c>
      <c r="AG12" s="99">
        <f>'2b. RB-sf'!AG172</f>
        <v>1825501.1895347987</v>
      </c>
      <c r="AH12" s="99">
        <f>'2b. RB-sf'!AH172</f>
        <v>-935.76250000000005</v>
      </c>
      <c r="AI12" s="124">
        <f t="shared" si="0"/>
        <v>268427195.81089801</v>
      </c>
      <c r="AJ12" s="99">
        <f>'1. RB-i'!G444</f>
        <v>5958721.4669975545</v>
      </c>
      <c r="AK12" s="221">
        <f t="shared" si="1"/>
        <v>274385917.27789557</v>
      </c>
      <c r="AM12" s="101">
        <f>'9a. Summary Schedules'!C12</f>
        <v>274385917.27789557</v>
      </c>
      <c r="AN12" s="101">
        <f t="shared" si="2"/>
        <v>0</v>
      </c>
    </row>
    <row r="13" spans="1:40" s="101" customFormat="1" x14ac:dyDescent="0.3">
      <c r="A13" s="180" t="s">
        <v>503</v>
      </c>
      <c r="B13" s="39"/>
      <c r="C13" s="39"/>
      <c r="D13" s="125">
        <v>0</v>
      </c>
      <c r="E13" s="125">
        <v>0</v>
      </c>
      <c r="F13" s="647"/>
      <c r="G13" s="647"/>
      <c r="H13" s="647"/>
      <c r="I13" s="125">
        <v>0</v>
      </c>
      <c r="J13" s="125">
        <v>0</v>
      </c>
      <c r="K13" s="125">
        <v>0</v>
      </c>
      <c r="L13" s="125">
        <v>0</v>
      </c>
      <c r="M13" s="125">
        <v>0</v>
      </c>
      <c r="N13" s="125">
        <v>0</v>
      </c>
      <c r="O13" s="125">
        <v>0</v>
      </c>
      <c r="P13" s="125">
        <v>0</v>
      </c>
      <c r="Q13" s="125">
        <v>0</v>
      </c>
      <c r="R13" s="125">
        <v>0</v>
      </c>
      <c r="S13" s="125">
        <v>0</v>
      </c>
      <c r="T13" s="125">
        <v>0</v>
      </c>
      <c r="U13" s="125">
        <v>0</v>
      </c>
      <c r="V13" s="125">
        <v>0</v>
      </c>
      <c r="W13" s="125">
        <v>0</v>
      </c>
      <c r="X13" s="125">
        <v>0</v>
      </c>
      <c r="Y13" s="125">
        <v>0</v>
      </c>
      <c r="Z13" s="125">
        <v>0</v>
      </c>
      <c r="AA13" s="125">
        <v>0</v>
      </c>
      <c r="AB13" s="125">
        <v>0</v>
      </c>
      <c r="AC13" s="125">
        <v>0</v>
      </c>
      <c r="AD13" s="125">
        <v>0</v>
      </c>
      <c r="AE13" s="125">
        <v>0</v>
      </c>
      <c r="AF13" s="125">
        <v>0</v>
      </c>
      <c r="AG13" s="125">
        <v>0</v>
      </c>
      <c r="AH13" s="125">
        <v>0</v>
      </c>
      <c r="AI13" s="124">
        <f t="shared" si="0"/>
        <v>0</v>
      </c>
      <c r="AJ13" s="125">
        <v>0</v>
      </c>
      <c r="AK13" s="221">
        <f t="shared" si="1"/>
        <v>0</v>
      </c>
      <c r="AM13" s="101">
        <f>'9a. Summary Schedules'!C13</f>
        <v>0</v>
      </c>
      <c r="AN13" s="101">
        <f t="shared" si="2"/>
        <v>0</v>
      </c>
    </row>
    <row r="14" spans="1:40" s="101" customFormat="1" x14ac:dyDescent="0.3">
      <c r="A14" s="225" t="s">
        <v>511</v>
      </c>
      <c r="B14" s="106"/>
      <c r="C14" s="106"/>
      <c r="D14" s="99">
        <v>0</v>
      </c>
      <c r="E14" s="99">
        <v>0</v>
      </c>
      <c r="F14" s="645"/>
      <c r="G14" s="645"/>
      <c r="H14" s="645"/>
      <c r="I14" s="99">
        <v>0</v>
      </c>
      <c r="J14" s="99">
        <v>0</v>
      </c>
      <c r="K14" s="99">
        <v>0</v>
      </c>
      <c r="L14" s="99">
        <v>0</v>
      </c>
      <c r="M14" s="99">
        <v>0</v>
      </c>
      <c r="N14" s="99">
        <v>0</v>
      </c>
      <c r="O14" s="99">
        <v>0</v>
      </c>
      <c r="P14" s="99">
        <v>0</v>
      </c>
      <c r="Q14" s="99">
        <v>0</v>
      </c>
      <c r="R14" s="99">
        <v>0</v>
      </c>
      <c r="S14" s="99">
        <v>0</v>
      </c>
      <c r="T14" s="99">
        <v>0</v>
      </c>
      <c r="U14" s="99">
        <v>0</v>
      </c>
      <c r="V14" s="99">
        <v>0</v>
      </c>
      <c r="W14" s="99">
        <v>0</v>
      </c>
      <c r="X14" s="99">
        <v>0</v>
      </c>
      <c r="Y14" s="99">
        <v>0</v>
      </c>
      <c r="Z14" s="99">
        <v>0</v>
      </c>
      <c r="AA14" s="99">
        <v>0</v>
      </c>
      <c r="AB14" s="99">
        <v>0</v>
      </c>
      <c r="AC14" s="99">
        <v>0</v>
      </c>
      <c r="AD14" s="99">
        <v>0</v>
      </c>
      <c r="AE14" s="99">
        <v>0</v>
      </c>
      <c r="AF14" s="99">
        <v>0</v>
      </c>
      <c r="AG14" s="99">
        <f>'2b. RB-sf'!AG159</f>
        <v>0</v>
      </c>
      <c r="AH14" s="99">
        <v>0</v>
      </c>
      <c r="AI14" s="124">
        <f t="shared" si="0"/>
        <v>0</v>
      </c>
      <c r="AJ14" s="99"/>
      <c r="AK14" s="221">
        <f t="shared" si="1"/>
        <v>0</v>
      </c>
      <c r="AM14" s="101">
        <f>'9a. Summary Schedules'!C14</f>
        <v>0</v>
      </c>
      <c r="AN14" s="101">
        <f t="shared" si="2"/>
        <v>0</v>
      </c>
    </row>
    <row r="15" spans="1:40" s="101" customFormat="1" x14ac:dyDescent="0.3">
      <c r="A15" s="180" t="s">
        <v>504</v>
      </c>
      <c r="B15" s="39"/>
      <c r="C15" s="39"/>
      <c r="D15" s="99">
        <f>'2b. RB-sf'!D147</f>
        <v>0</v>
      </c>
      <c r="E15" s="99">
        <f>'2b. RB-sf'!E147</f>
        <v>0</v>
      </c>
      <c r="F15" s="645"/>
      <c r="G15" s="645"/>
      <c r="H15" s="645"/>
      <c r="I15" s="99">
        <f>'2b. RB-sf'!I147</f>
        <v>0</v>
      </c>
      <c r="J15" s="99">
        <f>'2b. RB-sf'!J147</f>
        <v>0</v>
      </c>
      <c r="K15" s="99">
        <f>'2b. RB-sf'!K147</f>
        <v>0</v>
      </c>
      <c r="L15" s="99">
        <f>'2b. RB-sf'!L147</f>
        <v>0</v>
      </c>
      <c r="M15" s="99">
        <f>'2b. RB-sf'!M147</f>
        <v>0</v>
      </c>
      <c r="N15" s="99">
        <f>'2b. RB-sf'!N147</f>
        <v>0</v>
      </c>
      <c r="O15" s="99">
        <f>'2b. RB-sf'!O147</f>
        <v>0</v>
      </c>
      <c r="P15" s="99">
        <f>'2b. RB-sf'!P147</f>
        <v>0</v>
      </c>
      <c r="Q15" s="99">
        <f>'2b. RB-sf'!Q147</f>
        <v>0</v>
      </c>
      <c r="R15" s="99">
        <f>'2b. RB-sf'!R147</f>
        <v>0</v>
      </c>
      <c r="S15" s="99">
        <f>'2b. RB-sf'!S147</f>
        <v>0</v>
      </c>
      <c r="T15" s="99">
        <f>'2b. RB-sf'!T147</f>
        <v>0</v>
      </c>
      <c r="U15" s="99">
        <f>'2b. RB-sf'!U147</f>
        <v>0</v>
      </c>
      <c r="V15" s="99">
        <f>'2b. RB-sf'!V147</f>
        <v>0</v>
      </c>
      <c r="W15" s="99">
        <f>'2b. RB-sf'!W147</f>
        <v>0</v>
      </c>
      <c r="X15" s="99">
        <f>'2b. RB-sf'!X147</f>
        <v>0</v>
      </c>
      <c r="Y15" s="99">
        <f>'2b. RB-sf'!Y147</f>
        <v>0</v>
      </c>
      <c r="Z15" s="99">
        <f>'2b. RB-sf'!Z147</f>
        <v>0</v>
      </c>
      <c r="AA15" s="99">
        <f>'2b. RB-sf'!AA147</f>
        <v>0</v>
      </c>
      <c r="AB15" s="99">
        <f>'2b. RB-sf'!AB147</f>
        <v>0</v>
      </c>
      <c r="AC15" s="99">
        <f>'2b. RB-sf'!AC147</f>
        <v>0</v>
      </c>
      <c r="AD15" s="99">
        <f>'2b. RB-sf'!AD147</f>
        <v>0</v>
      </c>
      <c r="AE15" s="99">
        <f>'2b. RB-sf'!AE147</f>
        <v>0</v>
      </c>
      <c r="AF15" s="99">
        <f>'2b. RB-sf'!AF147</f>
        <v>0</v>
      </c>
      <c r="AG15" s="99">
        <f>'2b. RB-sf'!AG147</f>
        <v>0</v>
      </c>
      <c r="AH15" s="99">
        <f>'2b. RB-sf'!AH147</f>
        <v>-37877851.181544743</v>
      </c>
      <c r="AI15" s="124">
        <f t="shared" si="0"/>
        <v>-37877851.181544743</v>
      </c>
      <c r="AJ15" s="99">
        <f>'1. RB-i'!G419</f>
        <v>-3058171.8184552598</v>
      </c>
      <c r="AK15" s="221">
        <f t="shared" si="1"/>
        <v>-40936023</v>
      </c>
      <c r="AM15" s="101">
        <f>'9a. Summary Schedules'!C15</f>
        <v>-40936023</v>
      </c>
      <c r="AN15" s="101">
        <f t="shared" si="2"/>
        <v>0</v>
      </c>
    </row>
    <row r="16" spans="1:40" s="101" customFormat="1" x14ac:dyDescent="0.3">
      <c r="A16" s="180" t="s">
        <v>505</v>
      </c>
      <c r="B16" s="39"/>
      <c r="C16" s="39"/>
      <c r="D16" s="99">
        <f>'2b. RB-sf'!D152</f>
        <v>-6798585.8499999996</v>
      </c>
      <c r="E16" s="99">
        <f>'2b. RB-sf'!E152</f>
        <v>-4453267.423986272</v>
      </c>
      <c r="F16" s="645"/>
      <c r="G16" s="645"/>
      <c r="H16" s="645"/>
      <c r="I16" s="99">
        <f>'2b. RB-sf'!I152</f>
        <v>-2345318.4260137281</v>
      </c>
      <c r="J16" s="99">
        <f>'2b. RB-sf'!J152</f>
        <v>0</v>
      </c>
      <c r="K16" s="99">
        <f>'2b. RB-sf'!K152</f>
        <v>0</v>
      </c>
      <c r="L16" s="99">
        <f>'2b. RB-sf'!L152</f>
        <v>0</v>
      </c>
      <c r="M16" s="99">
        <f>'2b. RB-sf'!M152</f>
        <v>0</v>
      </c>
      <c r="N16" s="99">
        <f>'2b. RB-sf'!N152</f>
        <v>0</v>
      </c>
      <c r="O16" s="99">
        <f>'2b. RB-sf'!O152</f>
        <v>0</v>
      </c>
      <c r="P16" s="99">
        <f>'2b. RB-sf'!P152</f>
        <v>0</v>
      </c>
      <c r="Q16" s="99">
        <f>'2b. RB-sf'!Q152</f>
        <v>0</v>
      </c>
      <c r="R16" s="99">
        <f>'2b. RB-sf'!R152</f>
        <v>0</v>
      </c>
      <c r="S16" s="99">
        <f>'2b. RB-sf'!S152</f>
        <v>0</v>
      </c>
      <c r="T16" s="99">
        <f>'2b. RB-sf'!T152</f>
        <v>0</v>
      </c>
      <c r="U16" s="99">
        <f>'2b. RB-sf'!U152</f>
        <v>0</v>
      </c>
      <c r="V16" s="99">
        <f>'2b. RB-sf'!V152</f>
        <v>0</v>
      </c>
      <c r="W16" s="99">
        <f>'2b. RB-sf'!W152</f>
        <v>0</v>
      </c>
      <c r="X16" s="99">
        <f>'2b. RB-sf'!X152</f>
        <v>0</v>
      </c>
      <c r="Y16" s="99">
        <f>'2b. RB-sf'!Y152</f>
        <v>0</v>
      </c>
      <c r="Z16" s="99">
        <f>'2b. RB-sf'!Z152</f>
        <v>0</v>
      </c>
      <c r="AA16" s="99">
        <f>'2b. RB-sf'!AA152</f>
        <v>0</v>
      </c>
      <c r="AB16" s="99">
        <f>'2b. RB-sf'!AB152</f>
        <v>0</v>
      </c>
      <c r="AC16" s="99">
        <f>'2b. RB-sf'!AC152</f>
        <v>0</v>
      </c>
      <c r="AD16" s="99">
        <f>'2b. RB-sf'!AD152</f>
        <v>0</v>
      </c>
      <c r="AE16" s="99">
        <f>'2b. RB-sf'!AE152</f>
        <v>0</v>
      </c>
      <c r="AF16" s="99">
        <f>'2b. RB-sf'!AF152</f>
        <v>0</v>
      </c>
      <c r="AG16" s="99">
        <f>'2b. RB-sf'!AG152</f>
        <v>0</v>
      </c>
      <c r="AH16" s="99">
        <f>'2b. RB-sf'!AH152</f>
        <v>0</v>
      </c>
      <c r="AI16" s="124">
        <f t="shared" si="0"/>
        <v>-6798585.8499999996</v>
      </c>
      <c r="AJ16" s="99">
        <f>'1. RB-i'!G424</f>
        <v>0</v>
      </c>
      <c r="AK16" s="221">
        <f t="shared" si="1"/>
        <v>-6798585.8499999996</v>
      </c>
      <c r="AM16" s="101">
        <f>'9a. Summary Schedules'!C16</f>
        <v>-6798585.8499999996</v>
      </c>
      <c r="AN16" s="101">
        <f t="shared" si="2"/>
        <v>0</v>
      </c>
    </row>
    <row r="17" spans="1:40" s="101" customFormat="1" x14ac:dyDescent="0.3">
      <c r="A17" s="180" t="s">
        <v>509</v>
      </c>
      <c r="B17" s="39"/>
      <c r="C17" s="39"/>
      <c r="D17" s="99">
        <f>'2b. RB-sf'!D154</f>
        <v>-2258861.19</v>
      </c>
      <c r="E17" s="99">
        <f>'2b. RB-sf'!E154</f>
        <v>-1485011.7795552779</v>
      </c>
      <c r="F17" s="645"/>
      <c r="G17" s="645"/>
      <c r="H17" s="645"/>
      <c r="I17" s="99">
        <f>'2b. RB-sf'!I154</f>
        <v>-773849.41044472216</v>
      </c>
      <c r="J17" s="99">
        <f>'2b. RB-sf'!J154</f>
        <v>0</v>
      </c>
      <c r="K17" s="99">
        <f>'2b. RB-sf'!K154</f>
        <v>0</v>
      </c>
      <c r="L17" s="99">
        <f>'2b. RB-sf'!L154</f>
        <v>-2986757.6499999994</v>
      </c>
      <c r="M17" s="99">
        <f>'2b. RB-sf'!M154</f>
        <v>-10635337.899999999</v>
      </c>
      <c r="N17" s="99">
        <f>'2b. RB-sf'!N154</f>
        <v>-3340264.8396003786</v>
      </c>
      <c r="O17" s="99">
        <f>'2b. RB-sf'!O154</f>
        <v>-3041837.5096486583</v>
      </c>
      <c r="P17" s="99">
        <f>'2b. RB-sf'!P154</f>
        <v>-837259.99351642677</v>
      </c>
      <c r="Q17" s="99">
        <f>'2b. RB-sf'!Q154</f>
        <v>-163983.23318771343</v>
      </c>
      <c r="R17" s="99">
        <f>'2b. RB-sf'!R154</f>
        <v>-2161877.0720444564</v>
      </c>
      <c r="S17" s="99">
        <f>'2b. RB-sf'!S154</f>
        <v>-575368.47718919185</v>
      </c>
      <c r="T17" s="99">
        <f>'2b. RB-sf'!T154</f>
        <v>-179257.94931664958</v>
      </c>
      <c r="U17" s="99">
        <f>'2b. RB-sf'!U154</f>
        <v>0</v>
      </c>
      <c r="V17" s="99">
        <f>'2b. RB-sf'!V154</f>
        <v>-302051.70568399469</v>
      </c>
      <c r="W17" s="99">
        <f>'2b. RB-sf'!W154</f>
        <v>-33437.119812529978</v>
      </c>
      <c r="X17" s="99">
        <f>'2b. RB-sf'!X154</f>
        <v>0</v>
      </c>
      <c r="Y17" s="99">
        <f>'2b. RB-sf'!Y154</f>
        <v>0</v>
      </c>
      <c r="Z17" s="99">
        <f>'2b. RB-sf'!Z154</f>
        <v>0</v>
      </c>
      <c r="AA17" s="99">
        <f>'2b. RB-sf'!AA154</f>
        <v>0</v>
      </c>
      <c r="AB17" s="99">
        <f>'2b. RB-sf'!AB154</f>
        <v>0</v>
      </c>
      <c r="AC17" s="99">
        <f>'2b. RB-sf'!AC154</f>
        <v>0</v>
      </c>
      <c r="AD17" s="99">
        <f>'2b. RB-sf'!AD154</f>
        <v>0</v>
      </c>
      <c r="AE17" s="99">
        <f>'2b. RB-sf'!AE154</f>
        <v>0</v>
      </c>
      <c r="AF17" s="99">
        <f>'2b. RB-sf'!AF154</f>
        <v>-690294.37999999989</v>
      </c>
      <c r="AG17" s="99">
        <f>'2b. RB-sf'!AG154</f>
        <v>-690294.37999999989</v>
      </c>
      <c r="AH17" s="99">
        <f>'2b. RB-sf'!AH154</f>
        <v>0</v>
      </c>
      <c r="AI17" s="124">
        <f t="shared" si="0"/>
        <v>-16571251.119999997</v>
      </c>
      <c r="AJ17" s="99">
        <f>'1. RB-i'!G426</f>
        <v>-5462423.4699999997</v>
      </c>
      <c r="AK17" s="221">
        <f t="shared" si="1"/>
        <v>-22033674.589999996</v>
      </c>
      <c r="AM17" s="101">
        <f>'9a. Summary Schedules'!C17</f>
        <v>-22033674.589999996</v>
      </c>
      <c r="AN17" s="101">
        <f t="shared" si="2"/>
        <v>0</v>
      </c>
    </row>
    <row r="18" spans="1:40" s="101" customFormat="1" x14ac:dyDescent="0.3">
      <c r="A18" s="180" t="s">
        <v>529</v>
      </c>
      <c r="B18" s="39"/>
      <c r="C18" s="39"/>
      <c r="D18" s="107">
        <f>'2b. RB-sf'!D185</f>
        <v>32893758.539220218</v>
      </c>
      <c r="E18" s="107">
        <f>'2b. RB-sf'!E185</f>
        <v>23445608.289351139</v>
      </c>
      <c r="F18" s="648"/>
      <c r="G18" s="648"/>
      <c r="H18" s="648"/>
      <c r="I18" s="107">
        <f>'2b. RB-sf'!I185</f>
        <v>9448150.2498690765</v>
      </c>
      <c r="J18" s="107">
        <f>'2b. RB-sf'!J185</f>
        <v>0</v>
      </c>
      <c r="K18" s="107">
        <f>'2b. RB-sf'!K185</f>
        <v>0</v>
      </c>
      <c r="L18" s="107">
        <f>'2b. RB-sf'!L185</f>
        <v>138618.23852046242</v>
      </c>
      <c r="M18" s="107">
        <f>'2b. RB-sf'!M185</f>
        <v>4111253.2622524542</v>
      </c>
      <c r="N18" s="107">
        <f>'2b. RB-sf'!N185</f>
        <v>1319806.4305773724</v>
      </c>
      <c r="O18" s="107">
        <f>'2b. RB-sf'!O185</f>
        <v>1176119.7689328657</v>
      </c>
      <c r="P18" s="107">
        <f>'2b. RB-sf'!P185</f>
        <v>324153.85049559252</v>
      </c>
      <c r="Q18" s="107">
        <f>'2b. RB-sf'!Q185</f>
        <v>50963.803009714771</v>
      </c>
      <c r="R18" s="107">
        <f>'2b. RB-sf'!R185</f>
        <v>844384.89862101711</v>
      </c>
      <c r="S18" s="107">
        <f>'2b. RB-sf'!S185</f>
        <v>225296.78031913986</v>
      </c>
      <c r="T18" s="107">
        <f>'2b. RB-sf'!T185</f>
        <v>55710.981173553679</v>
      </c>
      <c r="U18" s="107">
        <f>'2b. RB-sf'!U185</f>
        <v>-11278.013016499544</v>
      </c>
      <c r="V18" s="107">
        <f>'2b. RB-sf'!V185</f>
        <v>112591.94031631955</v>
      </c>
      <c r="W18" s="107">
        <f>'2b. RB-sf'!W185</f>
        <v>13502.821823378645</v>
      </c>
      <c r="X18" s="107">
        <f>'2b. RB-sf'!X185</f>
        <v>2056626.6772564026</v>
      </c>
      <c r="Y18" s="107">
        <f>'2b. RB-sf'!Y185</f>
        <v>1543458.9894413284</v>
      </c>
      <c r="Z18" s="107">
        <f>'2b. RB-sf'!Z185</f>
        <v>513167.68781507399</v>
      </c>
      <c r="AA18" s="107">
        <f>'2b. RB-sf'!AA185</f>
        <v>549308.46099777764</v>
      </c>
      <c r="AB18" s="107">
        <f>'2b. RB-sf'!AB185</f>
        <v>2805499.6632766193</v>
      </c>
      <c r="AC18" s="107">
        <f>'2b. RB-sf'!AC185</f>
        <v>2545738.4722993532</v>
      </c>
      <c r="AD18" s="107">
        <f>'2b. RB-sf'!AD185</f>
        <v>259761.19097726606</v>
      </c>
      <c r="AE18" s="107">
        <f>'2b. RB-sf'!AE185</f>
        <v>0</v>
      </c>
      <c r="AF18" s="107">
        <f>'2b. RB-sf'!AF185</f>
        <v>608829.40932712401</v>
      </c>
      <c r="AG18" s="107">
        <f>'2b. RB-sf'!AG185</f>
        <v>608829.40932712401</v>
      </c>
      <c r="AH18" s="107">
        <f>'2b. RB-sf'!AH185</f>
        <v>0</v>
      </c>
      <c r="AI18" s="126">
        <f t="shared" si="0"/>
        <v>43163894.25085105</v>
      </c>
      <c r="AJ18" s="107">
        <f>'1. RB-i'!G457</f>
        <v>14255709.389148939</v>
      </c>
      <c r="AK18" s="226">
        <f>+AI18+AJ18</f>
        <v>57419603.639999986</v>
      </c>
      <c r="AM18" s="101">
        <f>'9a. Summary Schedules'!C18</f>
        <v>57419603.640000001</v>
      </c>
      <c r="AN18" s="101">
        <f>AK18-AM18</f>
        <v>0</v>
      </c>
    </row>
    <row r="19" spans="1:40" s="101" customFormat="1" x14ac:dyDescent="0.3">
      <c r="A19" s="225" t="s">
        <v>524</v>
      </c>
      <c r="B19" s="106"/>
      <c r="C19" s="106"/>
      <c r="D19" s="39">
        <f t="shared" ref="D19:X19" si="3">SUM(D11:D18)</f>
        <v>492941312.24407101</v>
      </c>
      <c r="E19" s="39">
        <f t="shared" si="3"/>
        <v>337863507.72623199</v>
      </c>
      <c r="F19" s="646"/>
      <c r="G19" s="646"/>
      <c r="H19" s="646"/>
      <c r="I19" s="39">
        <f t="shared" si="3"/>
        <v>48729463.697839119</v>
      </c>
      <c r="J19" s="39">
        <f t="shared" si="3"/>
        <v>106348340.82000001</v>
      </c>
      <c r="K19" s="39">
        <f t="shared" si="3"/>
        <v>0</v>
      </c>
      <c r="L19" s="39">
        <f t="shared" si="3"/>
        <v>94523660.66023384</v>
      </c>
      <c r="M19" s="39">
        <f t="shared" si="3"/>
        <v>235615201.74982399</v>
      </c>
      <c r="N19" s="39">
        <f t="shared" si="3"/>
        <v>42882047.751399279</v>
      </c>
      <c r="O19" s="39">
        <f t="shared" si="3"/>
        <v>67181777.407312095</v>
      </c>
      <c r="P19" s="39">
        <f t="shared" si="3"/>
        <v>18028704.302009936</v>
      </c>
      <c r="Q19" s="39">
        <f t="shared" si="3"/>
        <v>16958073.983659301</v>
      </c>
      <c r="R19" s="39">
        <f t="shared" si="3"/>
        <v>38576994.048309989</v>
      </c>
      <c r="S19" s="39">
        <f t="shared" si="3"/>
        <v>9652446.0267252605</v>
      </c>
      <c r="T19" s="39">
        <f t="shared" si="3"/>
        <v>18537685.27170714</v>
      </c>
      <c r="U19" s="39">
        <f t="shared" si="3"/>
        <v>12129758.552269015</v>
      </c>
      <c r="V19" s="39">
        <f t="shared" si="3"/>
        <v>11409061.763250211</v>
      </c>
      <c r="W19" s="39">
        <f t="shared" si="3"/>
        <v>258652.64318173798</v>
      </c>
      <c r="X19" s="39">
        <f t="shared" si="3"/>
        <v>8788127.8015780933</v>
      </c>
      <c r="Y19" s="39">
        <f t="shared" ref="Y19:AG19" si="4">SUM(Y11:Y18)</f>
        <v>6714822.2887393823</v>
      </c>
      <c r="Z19" s="39">
        <f t="shared" si="4"/>
        <v>2073305.5128387134</v>
      </c>
      <c r="AA19" s="39">
        <f t="shared" si="4"/>
        <v>2796310.97777974</v>
      </c>
      <c r="AB19" s="39">
        <f t="shared" si="4"/>
        <v>9919110.6300920025</v>
      </c>
      <c r="AC19" s="39">
        <f>SUM(AC11:AC18)</f>
        <v>9191040.9207042605</v>
      </c>
      <c r="AD19" s="39">
        <f>SUM(AD11:AD18)</f>
        <v>728069.70938774117</v>
      </c>
      <c r="AE19" s="39">
        <f>SUM(AE11:AE18)</f>
        <v>0</v>
      </c>
      <c r="AF19" s="39">
        <f t="shared" si="4"/>
        <v>4198294.6727196574</v>
      </c>
      <c r="AG19" s="39">
        <f t="shared" si="4"/>
        <v>4198294.6727196574</v>
      </c>
      <c r="AH19" s="39">
        <f>SUM(AH11:AH18)</f>
        <v>-37878786.944044746</v>
      </c>
      <c r="AI19" s="124">
        <f>SUM(AI11:AI18)</f>
        <v>810903231.79225361</v>
      </c>
      <c r="AJ19" s="39">
        <f>SUM(AJ11:AJ18)</f>
        <v>55134578.925641865</v>
      </c>
      <c r="AK19" s="181">
        <f>SUM(AK11:AK18)</f>
        <v>866037810.71789551</v>
      </c>
      <c r="AM19" s="101">
        <f>'9a. Summary Schedules'!C19</f>
        <v>866037810.71789551</v>
      </c>
      <c r="AN19" s="101">
        <f t="shared" si="2"/>
        <v>0</v>
      </c>
    </row>
    <row r="20" spans="1:40" s="101" customFormat="1" x14ac:dyDescent="0.3">
      <c r="A20" s="180"/>
      <c r="B20" s="39"/>
      <c r="C20" s="39"/>
      <c r="D20" s="39"/>
      <c r="E20" s="39"/>
      <c r="F20" s="646"/>
      <c r="G20" s="646"/>
      <c r="H20" s="646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124"/>
      <c r="AJ20" s="99"/>
      <c r="AK20" s="221"/>
    </row>
    <row r="21" spans="1:40" s="101" customFormat="1" x14ac:dyDescent="0.3">
      <c r="A21" s="180" t="s">
        <v>953</v>
      </c>
      <c r="B21" s="39"/>
      <c r="C21" s="39"/>
      <c r="D21" s="39">
        <f t="shared" ref="D21:X21" si="5">D9+D19</f>
        <v>4002691850.7063665</v>
      </c>
      <c r="E21" s="39">
        <f>E9+E19</f>
        <v>3768542652.8006306</v>
      </c>
      <c r="F21" s="646"/>
      <c r="G21" s="646"/>
      <c r="H21" s="646"/>
      <c r="I21" s="39">
        <f t="shared" si="5"/>
        <v>127800857.08573601</v>
      </c>
      <c r="J21" s="39">
        <f t="shared" si="5"/>
        <v>106348340.82000001</v>
      </c>
      <c r="K21" s="39">
        <f>K9+K19</f>
        <v>0</v>
      </c>
      <c r="L21" s="39">
        <f t="shared" si="5"/>
        <v>947572667.61717868</v>
      </c>
      <c r="M21" s="39">
        <f t="shared" si="5"/>
        <v>2473708363.986165</v>
      </c>
      <c r="N21" s="39">
        <f t="shared" si="5"/>
        <v>421278384.69616479</v>
      </c>
      <c r="O21" s="39">
        <f t="shared" si="5"/>
        <v>701706767.65630937</v>
      </c>
      <c r="P21" s="39">
        <f t="shared" si="5"/>
        <v>187710131.86218944</v>
      </c>
      <c r="Q21" s="39">
        <f t="shared" si="5"/>
        <v>195253376.33043703</v>
      </c>
      <c r="R21" s="39">
        <f t="shared" si="5"/>
        <v>391090995.9255079</v>
      </c>
      <c r="S21" s="39">
        <f t="shared" si="5"/>
        <v>96873608.474751219</v>
      </c>
      <c r="T21" s="39">
        <f t="shared" si="5"/>
        <v>213440844.88247943</v>
      </c>
      <c r="U21" s="39">
        <f t="shared" si="5"/>
        <v>142759858.02316278</v>
      </c>
      <c r="V21" s="39">
        <f t="shared" si="5"/>
        <v>123014285.6485977</v>
      </c>
      <c r="W21" s="39">
        <f>W9+W19</f>
        <v>580110.48656534555</v>
      </c>
      <c r="X21" s="39">
        <f t="shared" si="5"/>
        <v>178926208.46877405</v>
      </c>
      <c r="Y21" s="39">
        <f t="shared" ref="Y21:AH21" si="6">Y9+Y19</f>
        <v>165250265.89282584</v>
      </c>
      <c r="Z21" s="39">
        <f t="shared" si="6"/>
        <v>13675942.575948212</v>
      </c>
      <c r="AA21" s="39">
        <f t="shared" si="6"/>
        <v>10441490.41569642</v>
      </c>
      <c r="AB21" s="39">
        <f t="shared" si="6"/>
        <v>48965566.058440767</v>
      </c>
      <c r="AC21" s="39">
        <f>AC9+AC19</f>
        <v>44622185.358902119</v>
      </c>
      <c r="AD21" s="39">
        <f>AD9+AD19</f>
        <v>4343380.6995386407</v>
      </c>
      <c r="AE21" s="39">
        <f>AE9+AE19</f>
        <v>0</v>
      </c>
      <c r="AF21" s="39">
        <f t="shared" si="6"/>
        <v>9739653.0432508364</v>
      </c>
      <c r="AG21" s="39">
        <f t="shared" si="6"/>
        <v>9739653.0432508364</v>
      </c>
      <c r="AH21" s="39">
        <f t="shared" si="6"/>
        <v>-37878786.944044746</v>
      </c>
      <c r="AI21" s="124">
        <f>AI9+AI19</f>
        <v>7634167013.3518276</v>
      </c>
      <c r="AJ21" s="39">
        <f>AJ9+AJ19</f>
        <v>681174168.12636197</v>
      </c>
      <c r="AK21" s="221">
        <f>+AI21+AJ21</f>
        <v>8315341181.4781895</v>
      </c>
      <c r="AM21" s="101">
        <f>'9a. Summary Schedules'!C21</f>
        <v>8315341181.4781885</v>
      </c>
      <c r="AN21" s="101">
        <f t="shared" si="2"/>
        <v>0</v>
      </c>
    </row>
    <row r="22" spans="1:40" s="101" customFormat="1" ht="13.5" thickBot="1" x14ac:dyDescent="0.35">
      <c r="A22" s="227"/>
      <c r="B22" s="228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74"/>
      <c r="AJ22" s="229"/>
      <c r="AK22" s="275"/>
    </row>
    <row r="23" spans="1:40" s="100" customFormat="1" x14ac:dyDescent="0.3">
      <c r="A23" s="102"/>
      <c r="B23" s="103"/>
      <c r="C23" s="103"/>
      <c r="D23" s="127"/>
      <c r="E23" s="127"/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03"/>
      <c r="AJ23" s="104"/>
      <c r="AK23" s="127"/>
    </row>
    <row r="24" spans="1:40" s="100" customFormat="1" x14ac:dyDescent="0.3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4"/>
      <c r="AK24" s="104"/>
      <c r="AL24" s="103"/>
    </row>
    <row r="25" spans="1:40" s="100" customFormat="1" x14ac:dyDescent="0.3">
      <c r="A25" s="103"/>
      <c r="B25" s="103"/>
      <c r="C25" s="103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3"/>
    </row>
    <row r="26" spans="1:40" x14ac:dyDescent="0.3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9"/>
      <c r="AJ26" s="35"/>
      <c r="AK26" s="35"/>
      <c r="AL26" s="35"/>
    </row>
    <row r="27" spans="1:40" x14ac:dyDescent="0.3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9"/>
      <c r="AJ27" s="35"/>
      <c r="AK27" s="35"/>
      <c r="AL27" s="35"/>
    </row>
    <row r="28" spans="1:40" x14ac:dyDescent="0.3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9"/>
      <c r="AJ28" s="35"/>
      <c r="AK28" s="35"/>
      <c r="AL28" s="35"/>
    </row>
    <row r="29" spans="1:40" x14ac:dyDescent="0.3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</row>
    <row r="30" spans="1:40" ht="13.5" thickBot="1" x14ac:dyDescent="0.35"/>
    <row r="31" spans="1:40" x14ac:dyDescent="0.3">
      <c r="A31" s="205" t="str">
        <f>A1</f>
        <v>CPS Energy</v>
      </c>
      <c r="B31" s="206"/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8"/>
    </row>
    <row r="32" spans="1:40" x14ac:dyDescent="0.3">
      <c r="A32" s="211" t="s">
        <v>1310</v>
      </c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  <c r="P32" s="183"/>
      <c r="Q32" s="183"/>
      <c r="R32" s="183"/>
      <c r="S32" s="183"/>
      <c r="T32" s="183"/>
      <c r="U32" s="183"/>
      <c r="V32" s="183"/>
      <c r="W32" s="183"/>
      <c r="X32" s="183"/>
      <c r="Y32" s="183"/>
      <c r="Z32" s="183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210"/>
    </row>
    <row r="33" spans="1:41" x14ac:dyDescent="0.3">
      <c r="A33" s="268"/>
      <c r="B33" s="191"/>
      <c r="C33" s="191"/>
      <c r="D33" s="256"/>
      <c r="E33" s="256"/>
      <c r="F33" s="256"/>
      <c r="G33" s="256"/>
      <c r="H33" s="256"/>
      <c r="I33" s="256"/>
      <c r="J33" s="256"/>
      <c r="K33" s="256"/>
      <c r="L33" s="256"/>
      <c r="M33" s="257" t="s">
        <v>367</v>
      </c>
      <c r="N33" s="258"/>
      <c r="O33" s="258"/>
      <c r="P33" s="258"/>
      <c r="Q33" s="258"/>
      <c r="R33" s="258"/>
      <c r="S33" s="258"/>
      <c r="T33" s="258"/>
      <c r="U33" s="258"/>
      <c r="V33" s="259"/>
      <c r="W33" s="259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83"/>
      <c r="AJ33" s="184"/>
      <c r="AK33" s="210"/>
    </row>
    <row r="34" spans="1:41" x14ac:dyDescent="0.3">
      <c r="A34" s="261"/>
      <c r="B34" s="262"/>
      <c r="C34" s="276"/>
      <c r="D34" s="257" t="s">
        <v>544</v>
      </c>
      <c r="E34" s="258"/>
      <c r="F34" s="258"/>
      <c r="G34" s="258"/>
      <c r="H34" s="258"/>
      <c r="I34" s="259"/>
      <c r="J34" s="258"/>
      <c r="K34" s="259"/>
      <c r="L34" s="262"/>
      <c r="M34" s="191"/>
      <c r="N34" s="257" t="s">
        <v>922</v>
      </c>
      <c r="O34" s="258"/>
      <c r="P34" s="258"/>
      <c r="Q34" s="259"/>
      <c r="R34" s="257" t="s">
        <v>923</v>
      </c>
      <c r="S34" s="258"/>
      <c r="T34" s="258"/>
      <c r="U34" s="258"/>
      <c r="V34" s="259"/>
      <c r="W34" s="265"/>
      <c r="X34" s="257" t="s">
        <v>907</v>
      </c>
      <c r="Y34" s="258"/>
      <c r="Z34" s="259"/>
      <c r="AA34" s="191"/>
      <c r="AB34" s="257" t="s">
        <v>85</v>
      </c>
      <c r="AC34" s="258"/>
      <c r="AD34" s="258"/>
      <c r="AE34" s="258"/>
      <c r="AF34" s="257" t="s">
        <v>912</v>
      </c>
      <c r="AG34" s="259"/>
      <c r="AH34" s="191"/>
      <c r="AI34" s="214"/>
      <c r="AJ34" s="214"/>
      <c r="AK34" s="267"/>
    </row>
    <row r="35" spans="1:41" x14ac:dyDescent="0.3">
      <c r="A35" s="268"/>
      <c r="B35" s="194"/>
      <c r="C35" s="193"/>
      <c r="D35" s="195" t="s">
        <v>357</v>
      </c>
      <c r="E35" s="196" t="s">
        <v>924</v>
      </c>
      <c r="F35" s="196"/>
      <c r="G35" s="196"/>
      <c r="H35" s="196"/>
      <c r="I35" s="196" t="s">
        <v>924</v>
      </c>
      <c r="J35" s="269"/>
      <c r="K35" s="197" t="s">
        <v>79</v>
      </c>
      <c r="L35" s="198" t="s">
        <v>357</v>
      </c>
      <c r="M35" s="199" t="s">
        <v>357</v>
      </c>
      <c r="N35" s="270"/>
      <c r="O35" s="271" t="s">
        <v>925</v>
      </c>
      <c r="P35" s="271" t="s">
        <v>926</v>
      </c>
      <c r="Q35" s="216"/>
      <c r="R35" s="270" t="s">
        <v>925</v>
      </c>
      <c r="S35" s="271" t="s">
        <v>926</v>
      </c>
      <c r="T35" s="271"/>
      <c r="U35" s="263"/>
      <c r="V35" s="263"/>
      <c r="W35" s="216" t="s">
        <v>1010</v>
      </c>
      <c r="X35" s="271" t="s">
        <v>357</v>
      </c>
      <c r="Y35" s="270"/>
      <c r="Z35" s="270" t="s">
        <v>994</v>
      </c>
      <c r="AA35" s="215" t="s">
        <v>357</v>
      </c>
      <c r="AB35" s="215" t="s">
        <v>357</v>
      </c>
      <c r="AC35" s="215" t="s">
        <v>86</v>
      </c>
      <c r="AD35" s="215" t="s">
        <v>1003</v>
      </c>
      <c r="AE35" s="277"/>
      <c r="AF35" s="215" t="s">
        <v>911</v>
      </c>
      <c r="AG35" s="215"/>
      <c r="AH35" s="215" t="s">
        <v>357</v>
      </c>
      <c r="AI35" s="186" t="s">
        <v>355</v>
      </c>
      <c r="AJ35" s="186" t="s">
        <v>355</v>
      </c>
      <c r="AK35" s="219" t="s">
        <v>355</v>
      </c>
    </row>
    <row r="36" spans="1:41" x14ac:dyDescent="0.3">
      <c r="A36" s="268"/>
      <c r="B36" s="186"/>
      <c r="C36" s="200"/>
      <c r="D36" s="186" t="s">
        <v>544</v>
      </c>
      <c r="E36" s="196" t="s">
        <v>928</v>
      </c>
      <c r="F36" s="196" t="s">
        <v>1140</v>
      </c>
      <c r="G36" s="196" t="s">
        <v>1139</v>
      </c>
      <c r="H36" s="196" t="s">
        <v>947</v>
      </c>
      <c r="I36" s="196" t="s">
        <v>927</v>
      </c>
      <c r="J36" s="196" t="s">
        <v>617</v>
      </c>
      <c r="K36" s="187" t="s">
        <v>80</v>
      </c>
      <c r="L36" s="198" t="s">
        <v>366</v>
      </c>
      <c r="M36" s="199" t="s">
        <v>367</v>
      </c>
      <c r="N36" s="200" t="s">
        <v>929</v>
      </c>
      <c r="O36" s="196" t="s">
        <v>930</v>
      </c>
      <c r="P36" s="196" t="s">
        <v>930</v>
      </c>
      <c r="Q36" s="187" t="s">
        <v>931</v>
      </c>
      <c r="R36" s="200" t="s">
        <v>930</v>
      </c>
      <c r="S36" s="196" t="s">
        <v>930</v>
      </c>
      <c r="T36" s="196" t="s">
        <v>931</v>
      </c>
      <c r="U36" s="196" t="s">
        <v>456</v>
      </c>
      <c r="V36" s="196" t="s">
        <v>932</v>
      </c>
      <c r="W36" s="187" t="s">
        <v>1011</v>
      </c>
      <c r="X36" s="196" t="s">
        <v>907</v>
      </c>
      <c r="Y36" s="200" t="s">
        <v>907</v>
      </c>
      <c r="Z36" s="200" t="s">
        <v>995</v>
      </c>
      <c r="AA36" s="186" t="s">
        <v>84</v>
      </c>
      <c r="AB36" s="186" t="s">
        <v>82</v>
      </c>
      <c r="AC36" s="186" t="s">
        <v>87</v>
      </c>
      <c r="AD36" s="186" t="s">
        <v>1004</v>
      </c>
      <c r="AE36" s="186" t="s">
        <v>1005</v>
      </c>
      <c r="AF36" s="186" t="s">
        <v>912</v>
      </c>
      <c r="AG36" s="186" t="s">
        <v>1006</v>
      </c>
      <c r="AH36" s="186" t="s">
        <v>913</v>
      </c>
      <c r="AI36" s="186" t="s">
        <v>364</v>
      </c>
      <c r="AJ36" s="186" t="s">
        <v>947</v>
      </c>
      <c r="AK36" s="219" t="s">
        <v>948</v>
      </c>
    </row>
    <row r="37" spans="1:41" ht="13.5" thickBot="1" x14ac:dyDescent="0.35">
      <c r="A37" s="278" t="s">
        <v>359</v>
      </c>
      <c r="B37" s="279"/>
      <c r="C37" s="280"/>
      <c r="D37" s="281" t="s">
        <v>815</v>
      </c>
      <c r="E37" s="282" t="s">
        <v>816</v>
      </c>
      <c r="F37" s="282"/>
      <c r="G37" s="282"/>
      <c r="H37" s="282"/>
      <c r="I37" s="282" t="s">
        <v>817</v>
      </c>
      <c r="J37" s="282" t="s">
        <v>818</v>
      </c>
      <c r="K37" s="282" t="s">
        <v>819</v>
      </c>
      <c r="L37" s="234" t="s">
        <v>820</v>
      </c>
      <c r="M37" s="282" t="s">
        <v>821</v>
      </c>
      <c r="N37" s="281" t="s">
        <v>822</v>
      </c>
      <c r="O37" s="282" t="s">
        <v>823</v>
      </c>
      <c r="P37" s="282" t="s">
        <v>908</v>
      </c>
      <c r="Q37" s="282" t="s">
        <v>914</v>
      </c>
      <c r="R37" s="281" t="s">
        <v>915</v>
      </c>
      <c r="S37" s="282" t="s">
        <v>916</v>
      </c>
      <c r="T37" s="282" t="s">
        <v>917</v>
      </c>
      <c r="U37" s="282" t="s">
        <v>918</v>
      </c>
      <c r="V37" s="282" t="s">
        <v>934</v>
      </c>
      <c r="W37" s="283" t="s">
        <v>935</v>
      </c>
      <c r="X37" s="282" t="s">
        <v>936</v>
      </c>
      <c r="Y37" s="234" t="s">
        <v>937</v>
      </c>
      <c r="Z37" s="234" t="s">
        <v>938</v>
      </c>
      <c r="AA37" s="234" t="s">
        <v>939</v>
      </c>
      <c r="AB37" s="234" t="s">
        <v>985</v>
      </c>
      <c r="AC37" s="234" t="s">
        <v>986</v>
      </c>
      <c r="AD37" s="234" t="s">
        <v>987</v>
      </c>
      <c r="AE37" s="234" t="s">
        <v>988</v>
      </c>
      <c r="AF37" s="234" t="s">
        <v>989</v>
      </c>
      <c r="AG37" s="234" t="s">
        <v>990</v>
      </c>
      <c r="AH37" s="234" t="s">
        <v>991</v>
      </c>
      <c r="AI37" s="234" t="s">
        <v>992</v>
      </c>
      <c r="AJ37" s="234" t="s">
        <v>993</v>
      </c>
      <c r="AK37" s="235" t="s">
        <v>1002</v>
      </c>
    </row>
    <row r="38" spans="1:41" x14ac:dyDescent="0.3">
      <c r="A38" s="157"/>
      <c r="B38" s="35"/>
      <c r="C38" s="35"/>
      <c r="D38" s="35"/>
      <c r="E38" s="35"/>
      <c r="F38" s="639"/>
      <c r="G38" s="639"/>
      <c r="H38" s="639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158"/>
    </row>
    <row r="39" spans="1:41" x14ac:dyDescent="0.3">
      <c r="A39" s="565" t="s">
        <v>955</v>
      </c>
      <c r="B39" s="566"/>
      <c r="C39" s="566"/>
      <c r="D39" s="709">
        <v>678895652.45999992</v>
      </c>
      <c r="E39" s="709">
        <v>0</v>
      </c>
      <c r="F39" s="709"/>
      <c r="G39" s="709"/>
      <c r="H39" s="709"/>
      <c r="I39" s="709">
        <v>0</v>
      </c>
      <c r="J39" s="709">
        <v>678895652.45999992</v>
      </c>
      <c r="K39" s="709">
        <v>0</v>
      </c>
      <c r="L39" s="709">
        <v>0</v>
      </c>
      <c r="M39" s="709">
        <v>0</v>
      </c>
      <c r="N39" s="709">
        <v>0</v>
      </c>
      <c r="O39" s="709">
        <v>0</v>
      </c>
      <c r="P39" s="709">
        <v>0</v>
      </c>
      <c r="Q39" s="709">
        <v>0</v>
      </c>
      <c r="R39" s="709">
        <v>0</v>
      </c>
      <c r="S39" s="709">
        <v>0</v>
      </c>
      <c r="T39" s="709">
        <v>0</v>
      </c>
      <c r="U39" s="709">
        <v>0</v>
      </c>
      <c r="V39" s="709">
        <v>0</v>
      </c>
      <c r="W39" s="709">
        <v>0</v>
      </c>
      <c r="X39" s="709">
        <v>0</v>
      </c>
      <c r="Y39" s="709">
        <v>0</v>
      </c>
      <c r="Z39" s="709">
        <v>0</v>
      </c>
      <c r="AA39" s="709">
        <v>0</v>
      </c>
      <c r="AB39" s="709">
        <v>0</v>
      </c>
      <c r="AC39" s="709">
        <v>0</v>
      </c>
      <c r="AD39" s="709">
        <v>0</v>
      </c>
      <c r="AE39" s="709">
        <v>0</v>
      </c>
      <c r="AF39" s="709">
        <v>0</v>
      </c>
      <c r="AG39" s="709">
        <v>0</v>
      </c>
      <c r="AH39" s="709">
        <v>0</v>
      </c>
      <c r="AI39" s="710">
        <v>678895652.45999992</v>
      </c>
      <c r="AJ39" s="709">
        <v>72749734.219999999</v>
      </c>
      <c r="AK39" s="711">
        <v>751645386.67999995</v>
      </c>
      <c r="AL39" s="121"/>
      <c r="AM39" s="570">
        <f>'9a. Summary Schedules'!C39</f>
        <v>72749734.219999999</v>
      </c>
      <c r="AN39" s="570">
        <f>AK39-AM39</f>
        <v>678895652.45999992</v>
      </c>
      <c r="AO39" s="121"/>
    </row>
    <row r="40" spans="1:41" x14ac:dyDescent="0.3">
      <c r="A40" s="565"/>
      <c r="B40" s="566"/>
      <c r="C40" s="566"/>
      <c r="D40" s="567"/>
      <c r="E40" s="567"/>
      <c r="F40" s="649"/>
      <c r="G40" s="649"/>
      <c r="H40" s="649"/>
      <c r="I40" s="567"/>
      <c r="J40" s="567"/>
      <c r="K40" s="567"/>
      <c r="L40" s="567"/>
      <c r="M40" s="567"/>
      <c r="N40" s="567"/>
      <c r="O40" s="567"/>
      <c r="P40" s="567"/>
      <c r="Q40" s="567"/>
      <c r="R40" s="567"/>
      <c r="S40" s="567"/>
      <c r="T40" s="567"/>
      <c r="U40" s="567"/>
      <c r="V40" s="567"/>
      <c r="W40" s="567"/>
      <c r="X40" s="567"/>
      <c r="Y40" s="567"/>
      <c r="Z40" s="567"/>
      <c r="AA40" s="567"/>
      <c r="AB40" s="567"/>
      <c r="AC40" s="567"/>
      <c r="AD40" s="567"/>
      <c r="AE40" s="567"/>
      <c r="AF40" s="567"/>
      <c r="AG40" s="567"/>
      <c r="AH40" s="567"/>
      <c r="AI40" s="571"/>
      <c r="AJ40" s="567"/>
      <c r="AK40" s="569"/>
      <c r="AL40" s="121"/>
      <c r="AM40" s="121"/>
      <c r="AN40" s="121"/>
      <c r="AO40" s="121"/>
    </row>
    <row r="41" spans="1:41" x14ac:dyDescent="0.3">
      <c r="A41" s="572" t="s">
        <v>810</v>
      </c>
      <c r="B41" s="243"/>
      <c r="C41" s="243"/>
      <c r="D41" s="567">
        <f>'3b. OM_AG-sf'!D243-'9b. Summary Schedules-sf'!D39</f>
        <v>227201666.57000005</v>
      </c>
      <c r="E41" s="567">
        <f>'3b. OM_AG-sf'!E243-'9b. Summary Schedules-sf'!E39</f>
        <v>169811627.8249402</v>
      </c>
      <c r="F41" s="649"/>
      <c r="G41" s="649"/>
      <c r="H41" s="649"/>
      <c r="I41" s="567">
        <f>'3b. OM_AG-sf'!I243-'9b. Summary Schedules-sf'!I39</f>
        <v>57390038.745059818</v>
      </c>
      <c r="J41" s="567">
        <f>'3b. OM_AG-sf'!J243-'9b. Summary Schedules-sf'!J39</f>
        <v>0</v>
      </c>
      <c r="K41" s="567">
        <f>'3b. OM_AG-sf'!K243-'9b. Summary Schedules-sf'!K39</f>
        <v>0</v>
      </c>
      <c r="L41" s="567">
        <f>'3b. OM_AG-sf'!L243-'9b. Summary Schedules-sf'!L39</f>
        <v>19376670.590000004</v>
      </c>
      <c r="M41" s="567">
        <f>'3b. OM_AG-sf'!M243-'9b. Summary Schedules-sf'!M39</f>
        <v>88810905.387649953</v>
      </c>
      <c r="N41" s="567">
        <f>'3b. OM_AG-sf'!N243-'9b. Summary Schedules-sf'!N39</f>
        <v>18567236.929002482</v>
      </c>
      <c r="O41" s="567">
        <f>'3b. OM_AG-sf'!O243-'9b. Summary Schedules-sf'!O39</f>
        <v>28230907.715102665</v>
      </c>
      <c r="P41" s="567">
        <f>'3b. OM_AG-sf'!P243-'9b. Summary Schedules-sf'!P39</f>
        <v>7768739.4674058827</v>
      </c>
      <c r="Q41" s="567">
        <f>'3b. OM_AG-sf'!Q243-'9b. Summary Schedules-sf'!Q39</f>
        <v>1105046.827609252</v>
      </c>
      <c r="R41" s="567">
        <f>'3b. OM_AG-sf'!R243-'9b. Summary Schedules-sf'!R39</f>
        <v>20029161.203761414</v>
      </c>
      <c r="S41" s="567">
        <f>'3b. OM_AG-sf'!S243-'9b. Summary Schedules-sf'!S39</f>
        <v>5328279.3604328306</v>
      </c>
      <c r="T41" s="567">
        <f>'3b. OM_AG-sf'!T243-'9b. Summary Schedules-sf'!T39</f>
        <v>1207979.7694277053</v>
      </c>
      <c r="U41" s="567">
        <f>'3b. OM_AG-sf'!U243-'9b. Summary Schedules-sf'!U39</f>
        <v>0</v>
      </c>
      <c r="V41" s="567">
        <f>'3b. OM_AG-sf'!V243-'9b. Summary Schedules-sf'!V39</f>
        <v>5117945.2002358725</v>
      </c>
      <c r="W41" s="567">
        <f>'3b. OM_AG-sf'!W243-'9b. Summary Schedules-sf'!W39</f>
        <v>1455608.914671842</v>
      </c>
      <c r="X41" s="567">
        <f>'3b. OM_AG-sf'!X243-'9b. Summary Schedules-sf'!X39</f>
        <v>20098455.643104106</v>
      </c>
      <c r="Y41" s="567">
        <f>'3b. OM_AG-sf'!Y243-'9b. Summary Schedules-sf'!Y39</f>
        <v>11236208.182350054</v>
      </c>
      <c r="Z41" s="567">
        <f>'3b. OM_AG-sf'!Z243-'9b. Summary Schedules-sf'!Z39</f>
        <v>8862247.4607540499</v>
      </c>
      <c r="AA41" s="567">
        <f>'3b. OM_AG-sf'!AA243-'9b. Summary Schedules-sf'!AA39</f>
        <v>5698530.8631646633</v>
      </c>
      <c r="AB41" s="567">
        <f>'3b. OM_AG-sf'!AB243-'9b. Summary Schedules-sf'!AB39</f>
        <v>18288002.820946973</v>
      </c>
      <c r="AC41" s="567">
        <f>'3b. OM_AG-sf'!AC243-'9b. Summary Schedules-sf'!AC39</f>
        <v>18288002.820946973</v>
      </c>
      <c r="AD41" s="567">
        <f>'3b. OM_AG-sf'!AD243-'9b. Summary Schedules-sf'!AD39</f>
        <v>0</v>
      </c>
      <c r="AE41" s="567">
        <f>'3b. OM_AG-sf'!AE243-'9b. Summary Schedules-sf'!AE39</f>
        <v>0</v>
      </c>
      <c r="AF41" s="567">
        <f>'3b. OM_AG-sf'!AF243-'9b. Summary Schedules-sf'!AF39</f>
        <v>11300520.26</v>
      </c>
      <c r="AG41" s="567">
        <f>'3b. OM_AG-sf'!AG243-'9b. Summary Schedules-sf'!AG39</f>
        <v>11300520.26</v>
      </c>
      <c r="AH41" s="567">
        <f>'3b. OM_AG-sf'!AH243-'9b. Summary Schedules-sf'!AH39</f>
        <v>0</v>
      </c>
      <c r="AI41" s="571">
        <f t="shared" ref="AI41:AI47" si="7">SUM(E41,I41:K41,L41,N41:W41,Y41:Z41,AA41:AA41,AC41:AE41,AG41:AG41,AH41)</f>
        <v>390774752.13486558</v>
      </c>
      <c r="AJ41" s="567">
        <f>'3a. OM_AG-i'!G243-AJ39</f>
        <v>32863415.13513431</v>
      </c>
      <c r="AK41" s="569">
        <f>'3a. OM_AG-i'!F243-'9b. Summary Schedules-sf'!AK39</f>
        <v>423638167.2700001</v>
      </c>
      <c r="AL41" s="121"/>
      <c r="AM41" s="570">
        <f>'9a. Summary Schedules'!C41</f>
        <v>1102533819.7299998</v>
      </c>
      <c r="AN41" s="570">
        <f t="shared" ref="AN41:AN47" si="8">AK41-AM41</f>
        <v>-678895652.45999968</v>
      </c>
      <c r="AO41" s="121"/>
    </row>
    <row r="42" spans="1:41" x14ac:dyDescent="0.3">
      <c r="A42" s="572" t="s">
        <v>956</v>
      </c>
      <c r="B42" s="243"/>
      <c r="C42" s="243"/>
      <c r="D42" s="567">
        <f>'3b. OM_AG-sf'!D275</f>
        <v>82392138.50394249</v>
      </c>
      <c r="E42" s="567">
        <f>'3b. OM_AG-sf'!E275</f>
        <v>48801916.431806602</v>
      </c>
      <c r="F42" s="649"/>
      <c r="G42" s="649"/>
      <c r="H42" s="649"/>
      <c r="I42" s="567">
        <f>'3b. OM_AG-sf'!I275</f>
        <v>33590222.072135881</v>
      </c>
      <c r="J42" s="567">
        <f>'3b. OM_AG-sf'!J275</f>
        <v>0</v>
      </c>
      <c r="K42" s="567">
        <f>'3b. OM_AG-sf'!K275</f>
        <v>0</v>
      </c>
      <c r="L42" s="567">
        <f>'3b. OM_AG-sf'!L275</f>
        <v>10438204.93948359</v>
      </c>
      <c r="M42" s="567">
        <f>'3b. OM_AG-sf'!M275</f>
        <v>54807107.926939994</v>
      </c>
      <c r="N42" s="567">
        <f>'3b. OM_AG-sf'!N275</f>
        <v>17020757.342097554</v>
      </c>
      <c r="O42" s="567">
        <f>'3b. OM_AG-sf'!O275</f>
        <v>15672566.697106455</v>
      </c>
      <c r="P42" s="567">
        <f>'3b. OM_AG-sf'!P275</f>
        <v>4310907.300118031</v>
      </c>
      <c r="Q42" s="567">
        <f>'3b. OM_AG-sf'!Q275</f>
        <v>930035.77646424621</v>
      </c>
      <c r="R42" s="567">
        <f>'3b. OM_AG-sf'!R275</f>
        <v>11080542.126136133</v>
      </c>
      <c r="S42" s="567">
        <f>'3b. OM_AG-sf'!S275</f>
        <v>2945110.2454890464</v>
      </c>
      <c r="T42" s="567">
        <f>'3b. OM_AG-sf'!T275</f>
        <v>1016666.782568293</v>
      </c>
      <c r="U42" s="567">
        <f>'3b. OM_AG-sf'!U275</f>
        <v>77186.851341631787</v>
      </c>
      <c r="V42" s="567">
        <f>'3b. OM_AG-sf'!V275</f>
        <v>1584986.9808297632</v>
      </c>
      <c r="W42" s="567">
        <f>'3b. OM_AG-sf'!W275</f>
        <v>168347.82478884305</v>
      </c>
      <c r="X42" s="567">
        <f>'3b. OM_AG-sf'!X275</f>
        <v>3654562.964662313</v>
      </c>
      <c r="Y42" s="567">
        <f>'3b. OM_AG-sf'!Y275</f>
        <v>1776552.6850167948</v>
      </c>
      <c r="Z42" s="567">
        <f>'3b. OM_AG-sf'!Z275</f>
        <v>1878010.2796455179</v>
      </c>
      <c r="AA42" s="567">
        <f>'3b. OM_AG-sf'!AA275</f>
        <v>1190617.5640386445</v>
      </c>
      <c r="AB42" s="567">
        <f>'3b. OM_AG-sf'!AB275</f>
        <v>3683021.925998183</v>
      </c>
      <c r="AC42" s="567">
        <f>'3b. OM_AG-sf'!AC275</f>
        <v>3342010.9558612946</v>
      </c>
      <c r="AD42" s="567">
        <f>'3b. OM_AG-sf'!AD275</f>
        <v>341010.97013688786</v>
      </c>
      <c r="AE42" s="567">
        <f>'3b. OM_AG-sf'!AE275</f>
        <v>0</v>
      </c>
      <c r="AF42" s="567">
        <f>'3b. OM_AG-sf'!AF275</f>
        <v>3822484.6549347816</v>
      </c>
      <c r="AG42" s="567">
        <f>'3b. OM_AG-sf'!AG275</f>
        <v>3822484.6549347816</v>
      </c>
      <c r="AH42" s="567">
        <f>'3b. OM_AG-sf'!AH275</f>
        <v>-7486.1</v>
      </c>
      <c r="AI42" s="571">
        <f t="shared" si="7"/>
        <v>159980652.38000003</v>
      </c>
      <c r="AJ42" s="567">
        <f>'3a. OM_AG-i'!G275</f>
        <v>10959473.199999999</v>
      </c>
      <c r="AK42" s="569">
        <f>'3a. OM_AG-i'!F275</f>
        <v>170940125.57999998</v>
      </c>
      <c r="AL42" s="121"/>
      <c r="AM42" s="570">
        <f>'9a. Summary Schedules'!C42</f>
        <v>170940125.57999998</v>
      </c>
      <c r="AN42" s="570">
        <f t="shared" si="8"/>
        <v>0</v>
      </c>
      <c r="AO42" s="121"/>
    </row>
    <row r="43" spans="1:41" x14ac:dyDescent="0.3">
      <c r="A43" s="565" t="s">
        <v>957</v>
      </c>
      <c r="B43" s="566"/>
      <c r="C43" s="566"/>
      <c r="D43" s="567">
        <f>'6b. OE_OR-sf'!D82</f>
        <v>0</v>
      </c>
      <c r="E43" s="567">
        <f>'6b. OE_OR-sf'!E82</f>
        <v>0</v>
      </c>
      <c r="F43" s="649"/>
      <c r="G43" s="649"/>
      <c r="H43" s="649"/>
      <c r="I43" s="567">
        <f>'6b. OE_OR-sf'!I82</f>
        <v>0</v>
      </c>
      <c r="J43" s="567">
        <f>'6b. OE_OR-sf'!J82</f>
        <v>0</v>
      </c>
      <c r="K43" s="567">
        <f>'6b. OE_OR-sf'!K82</f>
        <v>0</v>
      </c>
      <c r="L43" s="567">
        <f>'6b. OE_OR-sf'!L82</f>
        <v>0</v>
      </c>
      <c r="M43" s="567">
        <f>'6b. OE_OR-sf'!M82</f>
        <v>0</v>
      </c>
      <c r="N43" s="567">
        <f>'6b. OE_OR-sf'!N82</f>
        <v>0</v>
      </c>
      <c r="O43" s="567">
        <f>'6b. OE_OR-sf'!O82</f>
        <v>0</v>
      </c>
      <c r="P43" s="567">
        <f>'6b. OE_OR-sf'!P82</f>
        <v>0</v>
      </c>
      <c r="Q43" s="567">
        <f>'6b. OE_OR-sf'!Q82</f>
        <v>0</v>
      </c>
      <c r="R43" s="567">
        <f>'6b. OE_OR-sf'!R82</f>
        <v>0</v>
      </c>
      <c r="S43" s="567">
        <f>'6b. OE_OR-sf'!S82</f>
        <v>0</v>
      </c>
      <c r="T43" s="567">
        <f>'6b. OE_OR-sf'!T82</f>
        <v>0</v>
      </c>
      <c r="U43" s="567">
        <f>'6b. OE_OR-sf'!U82</f>
        <v>0</v>
      </c>
      <c r="V43" s="567">
        <f>'6b. OE_OR-sf'!V82</f>
        <v>0</v>
      </c>
      <c r="W43" s="567">
        <f>'6b. OE_OR-sf'!W82</f>
        <v>0</v>
      </c>
      <c r="X43" s="567">
        <f>'6b. OE_OR-sf'!X82</f>
        <v>0</v>
      </c>
      <c r="Y43" s="567">
        <f>'6b. OE_OR-sf'!Y82</f>
        <v>0</v>
      </c>
      <c r="Z43" s="567">
        <f>'6b. OE_OR-sf'!Z82</f>
        <v>0</v>
      </c>
      <c r="AA43" s="567">
        <f>'6b. OE_OR-sf'!AA82</f>
        <v>0</v>
      </c>
      <c r="AB43" s="567">
        <f>'6b. OE_OR-sf'!AB82</f>
        <v>0</v>
      </c>
      <c r="AC43" s="567">
        <f>'6b. OE_OR-sf'!AC82</f>
        <v>0</v>
      </c>
      <c r="AD43" s="567">
        <f>'6b. OE_OR-sf'!AD82</f>
        <v>0</v>
      </c>
      <c r="AE43" s="567">
        <f>'6b. OE_OR-sf'!AE82</f>
        <v>0</v>
      </c>
      <c r="AF43" s="567">
        <f>'6b. OE_OR-sf'!AF82</f>
        <v>0</v>
      </c>
      <c r="AG43" s="567">
        <f>'6b. OE_OR-sf'!AG82</f>
        <v>0</v>
      </c>
      <c r="AH43" s="567">
        <f>'6b. OE_OR-sf'!AH82</f>
        <v>110145.61295881959</v>
      </c>
      <c r="AI43" s="571">
        <f t="shared" si="7"/>
        <v>110145.61295881959</v>
      </c>
      <c r="AJ43" s="567">
        <f>'6a. OE_OR-i'!G82</f>
        <v>8892.9070411804132</v>
      </c>
      <c r="AK43" s="569">
        <f>+AI43+AJ43</f>
        <v>119038.52</v>
      </c>
      <c r="AL43" s="121"/>
      <c r="AM43" s="570">
        <f>'9a. Summary Schedules'!C43</f>
        <v>119038.52</v>
      </c>
      <c r="AN43" s="570">
        <f t="shared" si="8"/>
        <v>0</v>
      </c>
      <c r="AO43" s="121"/>
    </row>
    <row r="44" spans="1:41" x14ac:dyDescent="0.3">
      <c r="A44" s="572" t="s">
        <v>88</v>
      </c>
      <c r="B44" s="243"/>
      <c r="C44" s="243"/>
      <c r="D44" s="567">
        <f>'6b. OE_OR-sf'!D83</f>
        <v>26741243.059999999</v>
      </c>
      <c r="E44" s="567">
        <f>'6b. OE_OR-sf'!E83</f>
        <v>0</v>
      </c>
      <c r="F44" s="649"/>
      <c r="G44" s="649"/>
      <c r="H44" s="649"/>
      <c r="I44" s="567">
        <f>'6b. OE_OR-sf'!I83</f>
        <v>0</v>
      </c>
      <c r="J44" s="567">
        <f>'6b. OE_OR-sf'!J83</f>
        <v>0</v>
      </c>
      <c r="K44" s="567">
        <f>'6b. OE_OR-sf'!K83</f>
        <v>26741243.059999999</v>
      </c>
      <c r="L44" s="567">
        <f>'6b. OE_OR-sf'!L83</f>
        <v>0</v>
      </c>
      <c r="M44" s="567">
        <f>'6b. OE_OR-sf'!M83</f>
        <v>0</v>
      </c>
      <c r="N44" s="567">
        <f>'6b. OE_OR-sf'!N83</f>
        <v>0</v>
      </c>
      <c r="O44" s="567">
        <f>'6b. OE_OR-sf'!O83</f>
        <v>0</v>
      </c>
      <c r="P44" s="567">
        <f>'6b. OE_OR-sf'!P83</f>
        <v>0</v>
      </c>
      <c r="Q44" s="567">
        <f>'6b. OE_OR-sf'!Q83</f>
        <v>0</v>
      </c>
      <c r="R44" s="567">
        <f>'6b. OE_OR-sf'!R83</f>
        <v>0</v>
      </c>
      <c r="S44" s="567">
        <f>'6b. OE_OR-sf'!S83</f>
        <v>0</v>
      </c>
      <c r="T44" s="567">
        <f>'6b. OE_OR-sf'!T83</f>
        <v>0</v>
      </c>
      <c r="U44" s="567">
        <f>'6b. OE_OR-sf'!U83</f>
        <v>0</v>
      </c>
      <c r="V44" s="567">
        <f>'6b. OE_OR-sf'!V83</f>
        <v>0</v>
      </c>
      <c r="W44" s="567">
        <f>'6b. OE_OR-sf'!W83</f>
        <v>0</v>
      </c>
      <c r="X44" s="567">
        <f>'6b. OE_OR-sf'!X83</f>
        <v>0</v>
      </c>
      <c r="Y44" s="567">
        <f>'6b. OE_OR-sf'!Y83</f>
        <v>0</v>
      </c>
      <c r="Z44" s="567">
        <f>'6b. OE_OR-sf'!Z83</f>
        <v>0</v>
      </c>
      <c r="AA44" s="567">
        <f>'6b. OE_OR-sf'!AA83</f>
        <v>0</v>
      </c>
      <c r="AB44" s="567">
        <f>'6b. OE_OR-sf'!AB83</f>
        <v>0</v>
      </c>
      <c r="AC44" s="567">
        <f>'6b. OE_OR-sf'!AC83</f>
        <v>0</v>
      </c>
      <c r="AD44" s="567">
        <f>'6b. OE_OR-sf'!AD83</f>
        <v>0</v>
      </c>
      <c r="AE44" s="567">
        <f>'6b. OE_OR-sf'!AE83</f>
        <v>0</v>
      </c>
      <c r="AF44" s="567">
        <f>'6b. OE_OR-sf'!AF83</f>
        <v>0</v>
      </c>
      <c r="AG44" s="567">
        <f>'6b. OE_OR-sf'!AG83</f>
        <v>0</v>
      </c>
      <c r="AH44" s="567">
        <f>'6b. OE_OR-sf'!AH83</f>
        <v>0</v>
      </c>
      <c r="AI44" s="571">
        <f t="shared" si="7"/>
        <v>26741243.059999999</v>
      </c>
      <c r="AJ44" s="567">
        <f>'6a. OE_OR-i'!G83</f>
        <v>0</v>
      </c>
      <c r="AK44" s="569">
        <f>+AI44+AJ44</f>
        <v>26741243.059999999</v>
      </c>
      <c r="AL44" s="121"/>
      <c r="AM44" s="570">
        <f>'9a. Summary Schedules'!C44</f>
        <v>26741243.059999999</v>
      </c>
      <c r="AN44" s="570">
        <f t="shared" si="8"/>
        <v>0</v>
      </c>
      <c r="AO44" s="121"/>
    </row>
    <row r="45" spans="1:41" x14ac:dyDescent="0.3">
      <c r="A45" s="565" t="s">
        <v>959</v>
      </c>
      <c r="B45" s="566"/>
      <c r="C45" s="566"/>
      <c r="D45" s="567">
        <f>'6b. OE_OR-sf'!D47</f>
        <v>6843089.2800000012</v>
      </c>
      <c r="E45" s="567">
        <f>'6b. OE_OR-sf'!E47</f>
        <v>2737235.7120000008</v>
      </c>
      <c r="F45" s="649"/>
      <c r="G45" s="649"/>
      <c r="H45" s="649"/>
      <c r="I45" s="567">
        <f>'6b. OE_OR-sf'!I47</f>
        <v>4105853.5680000004</v>
      </c>
      <c r="J45" s="567">
        <f>'6b. OE_OR-sf'!J47</f>
        <v>0</v>
      </c>
      <c r="K45" s="567">
        <f>'6b. OE_OR-sf'!K47</f>
        <v>0</v>
      </c>
      <c r="L45" s="567">
        <f>'6b. OE_OR-sf'!L47</f>
        <v>0</v>
      </c>
      <c r="M45" s="567">
        <f>'6b. OE_OR-sf'!M47</f>
        <v>0</v>
      </c>
      <c r="N45" s="567">
        <f>'6b. OE_OR-sf'!N47</f>
        <v>0</v>
      </c>
      <c r="O45" s="567">
        <f>'6b. OE_OR-sf'!O47</f>
        <v>0</v>
      </c>
      <c r="P45" s="567">
        <f>'6b. OE_OR-sf'!P47</f>
        <v>0</v>
      </c>
      <c r="Q45" s="567">
        <f>'6b. OE_OR-sf'!Q47</f>
        <v>0</v>
      </c>
      <c r="R45" s="567">
        <f>'6b. OE_OR-sf'!R47</f>
        <v>0</v>
      </c>
      <c r="S45" s="567">
        <f>'6b. OE_OR-sf'!S47</f>
        <v>0</v>
      </c>
      <c r="T45" s="567">
        <f>'6b. OE_OR-sf'!T47</f>
        <v>0</v>
      </c>
      <c r="U45" s="567">
        <f>'6b. OE_OR-sf'!U47</f>
        <v>0</v>
      </c>
      <c r="V45" s="567">
        <f>'6b. OE_OR-sf'!V47</f>
        <v>0</v>
      </c>
      <c r="W45" s="567">
        <f>'6b. OE_OR-sf'!W47</f>
        <v>0</v>
      </c>
      <c r="X45" s="567">
        <f>'6b. OE_OR-sf'!X47</f>
        <v>0</v>
      </c>
      <c r="Y45" s="567">
        <f>'6b. OE_OR-sf'!Y47</f>
        <v>0</v>
      </c>
      <c r="Z45" s="567">
        <f>'6b. OE_OR-sf'!Z47</f>
        <v>0</v>
      </c>
      <c r="AA45" s="567">
        <f>'6b. OE_OR-sf'!AA47</f>
        <v>0</v>
      </c>
      <c r="AB45" s="567">
        <f>'6b. OE_OR-sf'!AB47</f>
        <v>0</v>
      </c>
      <c r="AC45" s="567">
        <f>'6b. OE_OR-sf'!AC47</f>
        <v>0</v>
      </c>
      <c r="AD45" s="567">
        <f>'6b. OE_OR-sf'!AD47</f>
        <v>0</v>
      </c>
      <c r="AE45" s="567">
        <f>'6b. OE_OR-sf'!AE47</f>
        <v>0</v>
      </c>
      <c r="AF45" s="567">
        <f>'6b. OE_OR-sf'!AF47</f>
        <v>0</v>
      </c>
      <c r="AG45" s="567">
        <f>'6b. OE_OR-sf'!AG47</f>
        <v>0</v>
      </c>
      <c r="AH45" s="567">
        <f>'6b. OE_OR-sf'!AH47</f>
        <v>0</v>
      </c>
      <c r="AI45" s="571">
        <f t="shared" si="7"/>
        <v>6843089.2800000012</v>
      </c>
      <c r="AJ45" s="567">
        <f>'6a. OE_OR-i'!G47</f>
        <v>0</v>
      </c>
      <c r="AK45" s="569">
        <f>+AI45+AJ45</f>
        <v>6843089.2800000012</v>
      </c>
      <c r="AL45" s="121"/>
      <c r="AM45" s="570">
        <f>'9a. Summary Schedules'!C45</f>
        <v>6843089.2800000012</v>
      </c>
      <c r="AN45" s="570">
        <f t="shared" si="8"/>
        <v>0</v>
      </c>
      <c r="AO45" s="121"/>
    </row>
    <row r="46" spans="1:41" x14ac:dyDescent="0.3">
      <c r="A46" s="572" t="s">
        <v>960</v>
      </c>
      <c r="B46" s="243"/>
      <c r="C46" s="243"/>
      <c r="D46" s="567">
        <v>0</v>
      </c>
      <c r="E46" s="567">
        <v>0</v>
      </c>
      <c r="F46" s="649"/>
      <c r="G46" s="649"/>
      <c r="H46" s="649"/>
      <c r="I46" s="567">
        <v>0</v>
      </c>
      <c r="J46" s="567">
        <v>0</v>
      </c>
      <c r="K46" s="567">
        <v>0</v>
      </c>
      <c r="L46" s="567">
        <v>0</v>
      </c>
      <c r="M46" s="567">
        <v>0</v>
      </c>
      <c r="N46" s="567">
        <v>0</v>
      </c>
      <c r="O46" s="567">
        <v>0</v>
      </c>
      <c r="P46" s="567">
        <v>0</v>
      </c>
      <c r="Q46" s="567">
        <v>0</v>
      </c>
      <c r="R46" s="567">
        <v>0</v>
      </c>
      <c r="S46" s="567">
        <v>0</v>
      </c>
      <c r="T46" s="567">
        <v>0</v>
      </c>
      <c r="U46" s="567">
        <v>0</v>
      </c>
      <c r="V46" s="567">
        <v>0</v>
      </c>
      <c r="W46" s="567">
        <v>0</v>
      </c>
      <c r="X46" s="567">
        <v>0</v>
      </c>
      <c r="Y46" s="567">
        <v>0</v>
      </c>
      <c r="Z46" s="567">
        <v>0</v>
      </c>
      <c r="AA46" s="567">
        <v>0</v>
      </c>
      <c r="AB46" s="567">
        <v>0</v>
      </c>
      <c r="AC46" s="567">
        <v>0</v>
      </c>
      <c r="AD46" s="567">
        <v>0</v>
      </c>
      <c r="AE46" s="567">
        <v>0</v>
      </c>
      <c r="AF46" s="567">
        <v>0</v>
      </c>
      <c r="AG46" s="567">
        <v>0</v>
      </c>
      <c r="AH46" s="567">
        <v>0</v>
      </c>
      <c r="AI46" s="571">
        <f t="shared" si="7"/>
        <v>0</v>
      </c>
      <c r="AJ46" s="567">
        <v>0</v>
      </c>
      <c r="AK46" s="569">
        <f>+AI46+AJ46</f>
        <v>0</v>
      </c>
      <c r="AL46" s="121"/>
      <c r="AM46" s="570">
        <f>'9a. Summary Schedules'!C46</f>
        <v>0</v>
      </c>
      <c r="AN46" s="570">
        <f t="shared" si="8"/>
        <v>0</v>
      </c>
      <c r="AO46" s="121"/>
    </row>
    <row r="47" spans="1:41" x14ac:dyDescent="0.3">
      <c r="A47" s="572" t="s">
        <v>1020</v>
      </c>
      <c r="B47" s="243"/>
      <c r="C47" s="243"/>
      <c r="D47" s="567">
        <f>SUM(D41:D46)</f>
        <v>343178137.41394258</v>
      </c>
      <c r="E47" s="567">
        <f t="shared" ref="E47:AH47" si="9">SUM(E41:E46)</f>
        <v>221350779.96874681</v>
      </c>
      <c r="F47" s="649"/>
      <c r="G47" s="649"/>
      <c r="H47" s="649"/>
      <c r="I47" s="567">
        <f t="shared" si="9"/>
        <v>95086114.385195702</v>
      </c>
      <c r="J47" s="567">
        <f t="shared" si="9"/>
        <v>0</v>
      </c>
      <c r="K47" s="567">
        <f t="shared" si="9"/>
        <v>26741243.059999999</v>
      </c>
      <c r="L47" s="567">
        <f t="shared" si="9"/>
        <v>29814875.529483594</v>
      </c>
      <c r="M47" s="567">
        <f t="shared" si="9"/>
        <v>143618013.31458995</v>
      </c>
      <c r="N47" s="567">
        <f t="shared" si="9"/>
        <v>35587994.271100037</v>
      </c>
      <c r="O47" s="567">
        <f t="shared" si="9"/>
        <v>43903474.412209123</v>
      </c>
      <c r="P47" s="567">
        <f t="shared" si="9"/>
        <v>12079646.767523915</v>
      </c>
      <c r="Q47" s="567">
        <f t="shared" si="9"/>
        <v>2035082.6040734982</v>
      </c>
      <c r="R47" s="567">
        <f t="shared" si="9"/>
        <v>31109703.329897545</v>
      </c>
      <c r="S47" s="567">
        <f t="shared" si="9"/>
        <v>8273389.6059218775</v>
      </c>
      <c r="T47" s="567">
        <f t="shared" si="9"/>
        <v>2224646.5519959982</v>
      </c>
      <c r="U47" s="567">
        <f t="shared" si="9"/>
        <v>77186.851341631787</v>
      </c>
      <c r="V47" s="567">
        <f t="shared" si="9"/>
        <v>6702932.1810656358</v>
      </c>
      <c r="W47" s="567">
        <f t="shared" si="9"/>
        <v>1623956.7394606851</v>
      </c>
      <c r="X47" s="567">
        <f t="shared" si="9"/>
        <v>23753018.60776642</v>
      </c>
      <c r="Y47" s="567">
        <f t="shared" si="9"/>
        <v>13012760.867366849</v>
      </c>
      <c r="Z47" s="567">
        <f t="shared" si="9"/>
        <v>10740257.740399567</v>
      </c>
      <c r="AA47" s="567">
        <f t="shared" si="9"/>
        <v>6889148.4272033079</v>
      </c>
      <c r="AB47" s="567">
        <f t="shared" si="9"/>
        <v>21971024.746945158</v>
      </c>
      <c r="AC47" s="567">
        <f>SUM(AC41:AC46)</f>
        <v>21630013.776808269</v>
      </c>
      <c r="AD47" s="567">
        <f>SUM(AD41:AD46)</f>
        <v>341010.97013688786</v>
      </c>
      <c r="AE47" s="567">
        <f>SUM(AE41:AE46)</f>
        <v>0</v>
      </c>
      <c r="AF47" s="567">
        <f t="shared" si="9"/>
        <v>15123004.91493478</v>
      </c>
      <c r="AG47" s="567">
        <f t="shared" si="9"/>
        <v>15123004.91493478</v>
      </c>
      <c r="AH47" s="567">
        <f t="shared" si="9"/>
        <v>102659.51295881959</v>
      </c>
      <c r="AI47" s="571">
        <f t="shared" si="7"/>
        <v>584449882.46782446</v>
      </c>
      <c r="AJ47" s="567">
        <f>SUM(AJ41:AJ46)</f>
        <v>43831781.24217549</v>
      </c>
      <c r="AK47" s="569">
        <f>+AI47+AJ47</f>
        <v>628281663.70999992</v>
      </c>
      <c r="AL47" s="121"/>
      <c r="AM47" s="570">
        <f>'9a. Summary Schedules'!C47</f>
        <v>1307177316.1699996</v>
      </c>
      <c r="AN47" s="570">
        <f t="shared" si="8"/>
        <v>-678895652.45999968</v>
      </c>
      <c r="AO47" s="121"/>
    </row>
    <row r="48" spans="1:41" x14ac:dyDescent="0.3">
      <c r="A48" s="572"/>
      <c r="B48" s="243"/>
      <c r="C48" s="243"/>
      <c r="D48" s="567"/>
      <c r="E48" s="567"/>
      <c r="F48" s="649"/>
      <c r="G48" s="649"/>
      <c r="H48" s="649"/>
      <c r="I48" s="567"/>
      <c r="J48" s="567"/>
      <c r="K48" s="567"/>
      <c r="L48" s="567"/>
      <c r="M48" s="567"/>
      <c r="N48" s="567"/>
      <c r="O48" s="567"/>
      <c r="P48" s="567"/>
      <c r="Q48" s="567"/>
      <c r="R48" s="567"/>
      <c r="S48" s="567"/>
      <c r="T48" s="567"/>
      <c r="U48" s="567"/>
      <c r="V48" s="567"/>
      <c r="W48" s="567"/>
      <c r="X48" s="567"/>
      <c r="Y48" s="567"/>
      <c r="Z48" s="567"/>
      <c r="AA48" s="567"/>
      <c r="AB48" s="567">
        <f>SUM(AC42:AE42)</f>
        <v>3683021.9259981825</v>
      </c>
      <c r="AC48" s="567"/>
      <c r="AD48" s="567"/>
      <c r="AE48" s="567"/>
      <c r="AF48" s="567"/>
      <c r="AG48" s="567"/>
      <c r="AH48" s="567"/>
      <c r="AI48" s="571"/>
      <c r="AJ48" s="567"/>
      <c r="AK48" s="569"/>
      <c r="AL48" s="121"/>
      <c r="AM48" s="121"/>
      <c r="AN48" s="121"/>
      <c r="AO48" s="121"/>
    </row>
    <row r="49" spans="1:41" x14ac:dyDescent="0.3">
      <c r="A49" s="572" t="s">
        <v>1019</v>
      </c>
      <c r="B49" s="243"/>
      <c r="C49" s="243"/>
      <c r="D49" s="567">
        <f>D47+D39</f>
        <v>1022073789.8739425</v>
      </c>
      <c r="E49" s="567">
        <f t="shared" ref="E49:AH49" si="10">E47+E39</f>
        <v>221350779.96874681</v>
      </c>
      <c r="F49" s="649"/>
      <c r="G49" s="649"/>
      <c r="H49" s="649"/>
      <c r="I49" s="567">
        <f t="shared" si="10"/>
        <v>95086114.385195702</v>
      </c>
      <c r="J49" s="567">
        <f t="shared" si="10"/>
        <v>678895652.45999992</v>
      </c>
      <c r="K49" s="567">
        <f>K47+K39</f>
        <v>26741243.059999999</v>
      </c>
      <c r="L49" s="567">
        <f t="shared" si="10"/>
        <v>29814875.529483594</v>
      </c>
      <c r="M49" s="567">
        <f t="shared" si="10"/>
        <v>143618013.31458995</v>
      </c>
      <c r="N49" s="567">
        <f t="shared" si="10"/>
        <v>35587994.271100037</v>
      </c>
      <c r="O49" s="567">
        <f t="shared" si="10"/>
        <v>43903474.412209123</v>
      </c>
      <c r="P49" s="567">
        <f t="shared" si="10"/>
        <v>12079646.767523915</v>
      </c>
      <c r="Q49" s="567">
        <f t="shared" si="10"/>
        <v>2035082.6040734982</v>
      </c>
      <c r="R49" s="567">
        <f t="shared" si="10"/>
        <v>31109703.329897545</v>
      </c>
      <c r="S49" s="567">
        <f t="shared" si="10"/>
        <v>8273389.6059218775</v>
      </c>
      <c r="T49" s="567">
        <f t="shared" si="10"/>
        <v>2224646.5519959982</v>
      </c>
      <c r="U49" s="567">
        <f t="shared" si="10"/>
        <v>77186.851341631787</v>
      </c>
      <c r="V49" s="567">
        <f t="shared" si="10"/>
        <v>6702932.1810656358</v>
      </c>
      <c r="W49" s="567">
        <f t="shared" si="10"/>
        <v>1623956.7394606851</v>
      </c>
      <c r="X49" s="567">
        <f t="shared" si="10"/>
        <v>23753018.60776642</v>
      </c>
      <c r="Y49" s="567">
        <f t="shared" si="10"/>
        <v>13012760.867366849</v>
      </c>
      <c r="Z49" s="567">
        <f t="shared" si="10"/>
        <v>10740257.740399567</v>
      </c>
      <c r="AA49" s="567">
        <f t="shared" si="10"/>
        <v>6889148.4272033079</v>
      </c>
      <c r="AB49" s="567">
        <f t="shared" si="10"/>
        <v>21971024.746945158</v>
      </c>
      <c r="AC49" s="567">
        <f>AC47+AC39</f>
        <v>21630013.776808269</v>
      </c>
      <c r="AD49" s="567">
        <f>AD47+AD39</f>
        <v>341010.97013688786</v>
      </c>
      <c r="AE49" s="567">
        <f>AE47+AE39</f>
        <v>0</v>
      </c>
      <c r="AF49" s="567">
        <f t="shared" si="10"/>
        <v>15123004.91493478</v>
      </c>
      <c r="AG49" s="567">
        <f t="shared" si="10"/>
        <v>15123004.91493478</v>
      </c>
      <c r="AH49" s="567">
        <f t="shared" si="10"/>
        <v>102659.51295881959</v>
      </c>
      <c r="AI49" s="584">
        <f>SUM(E49,I49:K49,L49,N49:W49,Y49:Z49,AA49:AA49,AC49:AE49,AG49:AG49,AH49)</f>
        <v>1263345534.9278247</v>
      </c>
      <c r="AJ49" s="567">
        <f>AJ47+AJ39</f>
        <v>116581515.46217549</v>
      </c>
      <c r="AK49" s="569">
        <f>AI49+AJ49</f>
        <v>1379927050.3900003</v>
      </c>
      <c r="AL49" s="121"/>
      <c r="AM49" s="570">
        <f>'9a. Summary Schedules'!C49</f>
        <v>1379927050.3899996</v>
      </c>
      <c r="AN49" s="570">
        <f>AK49-AM49</f>
        <v>0</v>
      </c>
      <c r="AO49" s="121"/>
    </row>
    <row r="50" spans="1:41" s="16" customFormat="1" x14ac:dyDescent="0.3">
      <c r="A50" s="572" t="s">
        <v>958</v>
      </c>
      <c r="B50" s="243"/>
      <c r="C50" s="243"/>
      <c r="D50" s="567">
        <v>0</v>
      </c>
      <c r="E50" s="567">
        <v>0</v>
      </c>
      <c r="F50" s="649"/>
      <c r="G50" s="649"/>
      <c r="H50" s="649"/>
      <c r="I50" s="567">
        <v>0</v>
      </c>
      <c r="J50" s="567">
        <v>0</v>
      </c>
      <c r="K50" s="567">
        <v>0</v>
      </c>
      <c r="L50" s="567">
        <v>0</v>
      </c>
      <c r="M50" s="567">
        <v>0</v>
      </c>
      <c r="N50" s="567">
        <v>0</v>
      </c>
      <c r="O50" s="567">
        <v>0</v>
      </c>
      <c r="P50" s="567">
        <v>0</v>
      </c>
      <c r="Q50" s="567">
        <v>0</v>
      </c>
      <c r="R50" s="567">
        <v>0</v>
      </c>
      <c r="S50" s="567">
        <v>0</v>
      </c>
      <c r="T50" s="567">
        <v>0</v>
      </c>
      <c r="U50" s="567">
        <v>0</v>
      </c>
      <c r="V50" s="567">
        <v>0</v>
      </c>
      <c r="W50" s="567">
        <v>0</v>
      </c>
      <c r="X50" s="567">
        <v>0</v>
      </c>
      <c r="Y50" s="567">
        <v>0</v>
      </c>
      <c r="Z50" s="567">
        <v>0</v>
      </c>
      <c r="AA50" s="567">
        <v>0</v>
      </c>
      <c r="AB50" s="567">
        <v>0</v>
      </c>
      <c r="AC50" s="567">
        <v>0</v>
      </c>
      <c r="AD50" s="567">
        <v>0</v>
      </c>
      <c r="AE50" s="567">
        <v>0</v>
      </c>
      <c r="AF50" s="567">
        <v>0</v>
      </c>
      <c r="AG50" s="567">
        <v>0</v>
      </c>
      <c r="AH50" s="567">
        <v>0</v>
      </c>
      <c r="AI50" s="584">
        <f>SUM(E50,I50:K50,L50,N50:W50,Y50:Z50,AA50:AA50,AC50:AE50,AG50:AG50,AH50)</f>
        <v>0</v>
      </c>
      <c r="AJ50" s="567">
        <v>0</v>
      </c>
      <c r="AK50" s="569">
        <f>+AI50+AJ50</f>
        <v>0</v>
      </c>
      <c r="AL50" s="121"/>
      <c r="AM50" s="570">
        <f>'9a. Summary Schedules'!C50</f>
        <v>0</v>
      </c>
      <c r="AN50" s="570">
        <f>AK50-AM50</f>
        <v>0</v>
      </c>
      <c r="AO50" s="121"/>
    </row>
    <row r="51" spans="1:41" x14ac:dyDescent="0.3">
      <c r="A51" s="572" t="s">
        <v>1021</v>
      </c>
      <c r="B51" s="243"/>
      <c r="C51" s="243"/>
      <c r="D51" s="567">
        <f>D49+D50</f>
        <v>1022073789.8739425</v>
      </c>
      <c r="E51" s="567">
        <f t="shared" ref="E51:AH51" si="11">E49+E50</f>
        <v>221350779.96874681</v>
      </c>
      <c r="F51" s="649"/>
      <c r="G51" s="649"/>
      <c r="H51" s="649"/>
      <c r="I51" s="567">
        <f t="shared" si="11"/>
        <v>95086114.385195702</v>
      </c>
      <c r="J51" s="567">
        <f t="shared" si="11"/>
        <v>678895652.45999992</v>
      </c>
      <c r="K51" s="567">
        <f t="shared" si="11"/>
        <v>26741243.059999999</v>
      </c>
      <c r="L51" s="567">
        <f t="shared" si="11"/>
        <v>29814875.529483594</v>
      </c>
      <c r="M51" s="567">
        <f t="shared" si="11"/>
        <v>143618013.31458995</v>
      </c>
      <c r="N51" s="567">
        <f t="shared" si="11"/>
        <v>35587994.271100037</v>
      </c>
      <c r="O51" s="567">
        <f t="shared" si="11"/>
        <v>43903474.412209123</v>
      </c>
      <c r="P51" s="567">
        <f t="shared" si="11"/>
        <v>12079646.767523915</v>
      </c>
      <c r="Q51" s="567">
        <f t="shared" si="11"/>
        <v>2035082.6040734982</v>
      </c>
      <c r="R51" s="567">
        <f t="shared" si="11"/>
        <v>31109703.329897545</v>
      </c>
      <c r="S51" s="567">
        <f t="shared" si="11"/>
        <v>8273389.6059218775</v>
      </c>
      <c r="T51" s="567">
        <f t="shared" si="11"/>
        <v>2224646.5519959982</v>
      </c>
      <c r="U51" s="567">
        <f t="shared" si="11"/>
        <v>77186.851341631787</v>
      </c>
      <c r="V51" s="567">
        <f t="shared" si="11"/>
        <v>6702932.1810656358</v>
      </c>
      <c r="W51" s="567">
        <f t="shared" si="11"/>
        <v>1623956.7394606851</v>
      </c>
      <c r="X51" s="567">
        <f t="shared" si="11"/>
        <v>23753018.60776642</v>
      </c>
      <c r="Y51" s="567">
        <f t="shared" si="11"/>
        <v>13012760.867366849</v>
      </c>
      <c r="Z51" s="567">
        <f t="shared" si="11"/>
        <v>10740257.740399567</v>
      </c>
      <c r="AA51" s="567">
        <f t="shared" si="11"/>
        <v>6889148.4272033079</v>
      </c>
      <c r="AB51" s="567">
        <f t="shared" si="11"/>
        <v>21971024.746945158</v>
      </c>
      <c r="AC51" s="567">
        <f>AC49+AC50</f>
        <v>21630013.776808269</v>
      </c>
      <c r="AD51" s="567">
        <f>AD49+AD50</f>
        <v>341010.97013688786</v>
      </c>
      <c r="AE51" s="567">
        <f>AE49+AE50</f>
        <v>0</v>
      </c>
      <c r="AF51" s="567">
        <f t="shared" si="11"/>
        <v>15123004.91493478</v>
      </c>
      <c r="AG51" s="567">
        <f t="shared" si="11"/>
        <v>15123004.91493478</v>
      </c>
      <c r="AH51" s="567">
        <f t="shared" si="11"/>
        <v>102659.51295881959</v>
      </c>
      <c r="AI51" s="584">
        <f>SUM(E51,I51:K51,L51,N51:W51,Y51:Z51,AA51:AA51,AC51:AE51,AG51:AG51,AH51)</f>
        <v>1263345534.9278247</v>
      </c>
      <c r="AJ51" s="567">
        <f>AJ49+AJ50</f>
        <v>116581515.46217549</v>
      </c>
      <c r="AK51" s="569">
        <f>+AI51+AJ51</f>
        <v>1379927050.3900003</v>
      </c>
      <c r="AL51" s="121"/>
      <c r="AM51" s="570">
        <f>'9a. Summary Schedules'!C51</f>
        <v>1379927050.3899996</v>
      </c>
      <c r="AN51" s="570">
        <f>AK51-AM51</f>
        <v>0</v>
      </c>
      <c r="AO51" s="121"/>
    </row>
    <row r="52" spans="1:41" ht="12.75" customHeight="1" x14ac:dyDescent="0.3">
      <c r="A52" s="572"/>
      <c r="B52" s="243"/>
      <c r="C52" s="243"/>
      <c r="D52" s="567"/>
      <c r="E52" s="567"/>
      <c r="F52" s="649"/>
      <c r="G52" s="649"/>
      <c r="H52" s="649"/>
      <c r="I52" s="567"/>
      <c r="J52" s="567"/>
      <c r="K52" s="567"/>
      <c r="L52" s="567"/>
      <c r="M52" s="567"/>
      <c r="N52" s="567"/>
      <c r="O52" s="567"/>
      <c r="P52" s="567"/>
      <c r="Q52" s="567"/>
      <c r="R52" s="567"/>
      <c r="S52" s="567"/>
      <c r="T52" s="567"/>
      <c r="U52" s="567"/>
      <c r="V52" s="567"/>
      <c r="W52" s="567"/>
      <c r="X52" s="567"/>
      <c r="Y52" s="567"/>
      <c r="Z52" s="567"/>
      <c r="AA52" s="567"/>
      <c r="AB52" s="567">
        <f>SUM(AC45:AE45)</f>
        <v>0</v>
      </c>
      <c r="AC52" s="567"/>
      <c r="AD52" s="567"/>
      <c r="AE52" s="567"/>
      <c r="AF52" s="567"/>
      <c r="AG52" s="567"/>
      <c r="AH52" s="567"/>
      <c r="AI52" s="584"/>
      <c r="AJ52" s="567"/>
      <c r="AK52" s="569"/>
      <c r="AL52" s="121"/>
      <c r="AM52" s="121"/>
      <c r="AN52" s="121"/>
      <c r="AO52" s="121"/>
    </row>
    <row r="53" spans="1:41" x14ac:dyDescent="0.3">
      <c r="A53" s="572" t="s">
        <v>1022</v>
      </c>
      <c r="B53" s="243"/>
      <c r="C53" s="243"/>
      <c r="D53" s="567">
        <f>'8b.DS-Cash-sf'!D11</f>
        <v>194662355.63</v>
      </c>
      <c r="E53" s="567">
        <f>'8b.DS-Cash-sf'!E11</f>
        <v>188277390.89865169</v>
      </c>
      <c r="F53" s="649"/>
      <c r="G53" s="649"/>
      <c r="H53" s="649"/>
      <c r="I53" s="567">
        <f>'8b.DS-Cash-sf'!I11</f>
        <v>6384964.7313483134</v>
      </c>
      <c r="J53" s="567">
        <f>'8b.DS-Cash-sf'!J11</f>
        <v>0</v>
      </c>
      <c r="K53" s="567">
        <f>'8b.DS-Cash-sf'!K11</f>
        <v>0</v>
      </c>
      <c r="L53" s="567">
        <f>'8b.DS-Cash-sf'!L11</f>
        <v>32542419.640000001</v>
      </c>
      <c r="M53" s="567">
        <f>'8b.DS-Cash-sf'!M11</f>
        <v>131670414.92717849</v>
      </c>
      <c r="N53" s="567">
        <f>'8b.DS-Cash-sf'!N11</f>
        <v>22423783.062046431</v>
      </c>
      <c r="O53" s="567">
        <f>'8b.DS-Cash-sf'!O11</f>
        <v>37350409.854147315</v>
      </c>
      <c r="P53" s="567">
        <f>'8b.DS-Cash-sf'!P11</f>
        <v>9991424.7403450608</v>
      </c>
      <c r="Q53" s="567">
        <f>'8b.DS-Cash-sf'!Q11</f>
        <v>10392936.14867891</v>
      </c>
      <c r="R53" s="567">
        <f>'8b.DS-Cash-sf'!R11</f>
        <v>20816970.366229925</v>
      </c>
      <c r="S53" s="567">
        <f>'8b.DS-Cash-sf'!S11</f>
        <v>5156383.189330101</v>
      </c>
      <c r="T53" s="567">
        <f>'8b.DS-Cash-sf'!T11</f>
        <v>11361017.740505479</v>
      </c>
      <c r="U53" s="567">
        <f>'8b.DS-Cash-sf'!U11</f>
        <v>7598813.9970407877</v>
      </c>
      <c r="V53" s="567">
        <f>'8b.DS-Cash-sf'!V11</f>
        <v>6547797.7392697642</v>
      </c>
      <c r="W53" s="567">
        <f>'8b.DS-Cash-sf'!W11</f>
        <v>30878.089584732337</v>
      </c>
      <c r="X53" s="567">
        <f>'8b.DS-Cash-sf'!X11</f>
        <v>9523874.5472310148</v>
      </c>
      <c r="Y53" s="567">
        <f>'8b.DS-Cash-sf'!Y11</f>
        <v>8795932.2154557519</v>
      </c>
      <c r="Z53" s="567">
        <f>'8b.DS-Cash-sf'!Z11</f>
        <v>727942.33177526272</v>
      </c>
      <c r="AA53" s="567">
        <f>'8b.DS-Cash-sf'!AA11</f>
        <v>555779.08889031655</v>
      </c>
      <c r="AB53" s="567">
        <f>'8b.DS-Cash-sf'!AB11</f>
        <v>2606336.511108852</v>
      </c>
      <c r="AC53" s="567">
        <f>'8b.DS-Cash-sf'!AC11</f>
        <v>2375147.2773248046</v>
      </c>
      <c r="AD53" s="567">
        <f>'8b.DS-Cash-sf'!AD11</f>
        <v>231189.2337840471</v>
      </c>
      <c r="AE53" s="567">
        <f>'8b.DS-Cash-sf'!AE11</f>
        <v>0</v>
      </c>
      <c r="AF53" s="567">
        <f>'8b.DS-Cash-sf'!AF11</f>
        <v>518421.72659935633</v>
      </c>
      <c r="AG53" s="567">
        <f>'8b.DS-Cash-sf'!AG11</f>
        <v>518421.72659935639</v>
      </c>
      <c r="AH53" s="567">
        <f>'8b.DS-Cash-sf'!AH11</f>
        <v>-2016210.0210080447</v>
      </c>
      <c r="AI53" s="584">
        <f>SUM(E53,I53:K53,L53,N53:W53,Y53:Z53,AA53:AA53,AC53:AE53,AG53:AG53,AH53)</f>
        <v>370063392.04999989</v>
      </c>
      <c r="AJ53" s="567">
        <f>'8a. DS-Cash '!E11</f>
        <v>19514685.52</v>
      </c>
      <c r="AK53" s="569">
        <f>AI53+AJ53</f>
        <v>389578077.56999987</v>
      </c>
      <c r="AL53" s="121"/>
      <c r="AM53" s="570">
        <f>'9a. Summary Schedules'!C53</f>
        <v>389578077.56999993</v>
      </c>
      <c r="AN53" s="570">
        <f>AK53-AM53</f>
        <v>0</v>
      </c>
      <c r="AO53" s="121"/>
    </row>
    <row r="54" spans="1:41" x14ac:dyDescent="0.3">
      <c r="A54" s="572" t="s">
        <v>1023</v>
      </c>
      <c r="B54" s="243"/>
      <c r="C54" s="243"/>
      <c r="D54" s="567">
        <f>'8b.DS-Cash-sf'!D13</f>
        <v>2943425.5400000005</v>
      </c>
      <c r="E54" s="567">
        <f>'8b.DS-Cash-sf'!E13</f>
        <v>2846880.585525231</v>
      </c>
      <c r="F54" s="649"/>
      <c r="G54" s="649"/>
      <c r="H54" s="649"/>
      <c r="I54" s="567">
        <f>'8b.DS-Cash-sf'!I13</f>
        <v>96544.954474770158</v>
      </c>
      <c r="J54" s="567">
        <f>'8b.DS-Cash-sf'!J13</f>
        <v>0</v>
      </c>
      <c r="K54" s="567">
        <f>'8b.DS-Cash-sf'!K13</f>
        <v>0</v>
      </c>
      <c r="L54" s="567">
        <f>'8b.DS-Cash-sf'!L13</f>
        <v>324108.45</v>
      </c>
      <c r="M54" s="567">
        <f>'8b.DS-Cash-sf'!M13</f>
        <v>1479805.2817564094</v>
      </c>
      <c r="N54" s="567">
        <f>'8b.DS-Cash-sf'!N13</f>
        <v>252014.33921605154</v>
      </c>
      <c r="O54" s="567">
        <f>'8b.DS-Cash-sf'!O13</f>
        <v>419770.33191930124</v>
      </c>
      <c r="P54" s="567">
        <f>'8b.DS-Cash-sf'!P13</f>
        <v>112290.70031571985</v>
      </c>
      <c r="Q54" s="567">
        <f>'8b.DS-Cash-sf'!Q13</f>
        <v>116803.16959795372</v>
      </c>
      <c r="R54" s="567">
        <f>'8b.DS-Cash-sf'!R13</f>
        <v>233955.84129624499</v>
      </c>
      <c r="S54" s="567">
        <f>'8b.DS-Cash-sf'!S13</f>
        <v>57951.082500580931</v>
      </c>
      <c r="T54" s="567">
        <f>'8b.DS-Cash-sf'!T13</f>
        <v>127683.15545923021</v>
      </c>
      <c r="U54" s="567">
        <f>'8b.DS-Cash-sf'!U13</f>
        <v>85400.847974273565</v>
      </c>
      <c r="V54" s="567">
        <f>'8b.DS-Cash-sf'!V13</f>
        <v>73588.783659586115</v>
      </c>
      <c r="W54" s="567">
        <f>'8b.DS-Cash-sf'!W13</f>
        <v>347.02981746739175</v>
      </c>
      <c r="X54" s="567">
        <f>'8b.DS-Cash-sf'!X13</f>
        <v>107036.04044668967</v>
      </c>
      <c r="Y54" s="567">
        <f>'8b.DS-Cash-sf'!Y13</f>
        <v>98854.909492018705</v>
      </c>
      <c r="Z54" s="567">
        <f>'8b.DS-Cash-sf'!Z13</f>
        <v>8181.130954670969</v>
      </c>
      <c r="AA54" s="567">
        <f>'8b.DS-Cash-sf'!AA13</f>
        <v>6246.2386230385628</v>
      </c>
      <c r="AB54" s="567">
        <f>'8b.DS-Cash-sf'!AB13</f>
        <v>29291.853734238852</v>
      </c>
      <c r="AC54" s="567">
        <f>'8b.DS-Cash-sf'!AC13</f>
        <v>26693.585555103389</v>
      </c>
      <c r="AD54" s="567">
        <f>'8b.DS-Cash-sf'!AD13</f>
        <v>2598.268179135458</v>
      </c>
      <c r="AE54" s="567">
        <f>'8b.DS-Cash-sf'!AE13</f>
        <v>0</v>
      </c>
      <c r="AF54" s="567">
        <f>'8b.DS-Cash-sf'!AF13</f>
        <v>5826.3901547154037</v>
      </c>
      <c r="AG54" s="567">
        <f>'8b.DS-Cash-sf'!AG13</f>
        <v>5826.3901547154037</v>
      </c>
      <c r="AH54" s="567">
        <f>'8b.DS-Cash-sf'!AH13</f>
        <v>-22659.594715092317</v>
      </c>
      <c r="AI54" s="584">
        <f>SUM(E54,I54:K54,L54,N54:W54,Y54:Z54,AA54:AA54,AC54:AE54,AG54:AG54,AH54)</f>
        <v>4873080.2</v>
      </c>
      <c r="AJ54" s="567">
        <f>'8a. DS-Cash '!E13</f>
        <v>252030.61</v>
      </c>
      <c r="AK54" s="569">
        <f>AI54+AJ54</f>
        <v>5125110.8100000005</v>
      </c>
      <c r="AL54" s="121"/>
      <c r="AM54" s="570">
        <f>'9a. Summary Schedules'!C54</f>
        <v>5125110.8100000015</v>
      </c>
      <c r="AN54" s="570">
        <f>AK54-AM54</f>
        <v>0</v>
      </c>
      <c r="AO54" s="121"/>
    </row>
    <row r="55" spans="1:41" x14ac:dyDescent="0.3">
      <c r="A55" s="572" t="s">
        <v>1024</v>
      </c>
      <c r="B55" s="243"/>
      <c r="C55" s="243"/>
      <c r="D55" s="567">
        <f>D53+D54</f>
        <v>197605781.16999999</v>
      </c>
      <c r="E55" s="567">
        <f t="shared" ref="E55:AH55" si="12">E53+E54</f>
        <v>191124271.48417693</v>
      </c>
      <c r="F55" s="649"/>
      <c r="G55" s="649"/>
      <c r="H55" s="649"/>
      <c r="I55" s="567">
        <f t="shared" si="12"/>
        <v>6481509.6858230839</v>
      </c>
      <c r="J55" s="567">
        <f t="shared" si="12"/>
        <v>0</v>
      </c>
      <c r="K55" s="567">
        <f t="shared" si="12"/>
        <v>0</v>
      </c>
      <c r="L55" s="567">
        <f t="shared" si="12"/>
        <v>32866528.09</v>
      </c>
      <c r="M55" s="567">
        <f t="shared" si="12"/>
        <v>133150220.2089349</v>
      </c>
      <c r="N55" s="567">
        <f t="shared" si="12"/>
        <v>22675797.401262481</v>
      </c>
      <c r="O55" s="567">
        <f t="shared" si="12"/>
        <v>37770180.186066613</v>
      </c>
      <c r="P55" s="567">
        <f t="shared" si="12"/>
        <v>10103715.44066078</v>
      </c>
      <c r="Q55" s="567">
        <f t="shared" si="12"/>
        <v>10509739.318276864</v>
      </c>
      <c r="R55" s="567">
        <f t="shared" si="12"/>
        <v>21050926.20752617</v>
      </c>
      <c r="S55" s="567">
        <f t="shared" si="12"/>
        <v>5214334.2718306817</v>
      </c>
      <c r="T55" s="567">
        <f t="shared" si="12"/>
        <v>11488700.89596471</v>
      </c>
      <c r="U55" s="567">
        <f t="shared" si="12"/>
        <v>7684214.8450150611</v>
      </c>
      <c r="V55" s="567">
        <f t="shared" si="12"/>
        <v>6621386.5229293499</v>
      </c>
      <c r="W55" s="567">
        <f t="shared" si="12"/>
        <v>31225.119402199729</v>
      </c>
      <c r="X55" s="567">
        <f t="shared" si="12"/>
        <v>9630910.5876777042</v>
      </c>
      <c r="Y55" s="567">
        <f t="shared" si="12"/>
        <v>8894787.1249477714</v>
      </c>
      <c r="Z55" s="567">
        <f t="shared" si="12"/>
        <v>736123.46272993367</v>
      </c>
      <c r="AA55" s="567">
        <f t="shared" si="12"/>
        <v>562025.32751335506</v>
      </c>
      <c r="AB55" s="567">
        <f t="shared" si="12"/>
        <v>2635628.364843091</v>
      </c>
      <c r="AC55" s="567">
        <f>AC53+AC54</f>
        <v>2401840.8628799082</v>
      </c>
      <c r="AD55" s="567">
        <f>AD53+AD54</f>
        <v>233787.50196318256</v>
      </c>
      <c r="AE55" s="567">
        <f>AE53+AE54</f>
        <v>0</v>
      </c>
      <c r="AF55" s="567">
        <f t="shared" si="12"/>
        <v>524248.11675407173</v>
      </c>
      <c r="AG55" s="567">
        <f t="shared" si="12"/>
        <v>524248.11675407179</v>
      </c>
      <c r="AH55" s="567">
        <f t="shared" si="12"/>
        <v>-2038869.615723137</v>
      </c>
      <c r="AI55" s="584">
        <f>SUM(E55,I55:K55,L55,N55:W55,Y55:Z55,AA55:AA55,AC55:AE55,AG55:AG55,AH55)</f>
        <v>374936472.25</v>
      </c>
      <c r="AJ55" s="567">
        <f>AJ53+AJ54</f>
        <v>19766716.129999999</v>
      </c>
      <c r="AK55" s="244">
        <f>AK53+AK54</f>
        <v>394703188.37999988</v>
      </c>
      <c r="AL55" s="121"/>
      <c r="AM55" s="570">
        <f>'9a. Summary Schedules'!C55</f>
        <v>394703188.37999994</v>
      </c>
      <c r="AN55" s="570">
        <f>AK55-AM55</f>
        <v>0</v>
      </c>
      <c r="AO55" s="121"/>
    </row>
    <row r="56" spans="1:41" x14ac:dyDescent="0.3">
      <c r="A56" s="572"/>
      <c r="B56" s="243"/>
      <c r="C56" s="243"/>
      <c r="D56" s="567"/>
      <c r="E56" s="567"/>
      <c r="F56" s="649"/>
      <c r="G56" s="649"/>
      <c r="H56" s="649"/>
      <c r="I56" s="567"/>
      <c r="J56" s="567"/>
      <c r="K56" s="567"/>
      <c r="L56" s="567"/>
      <c r="M56" s="567"/>
      <c r="N56" s="567"/>
      <c r="O56" s="567"/>
      <c r="P56" s="567"/>
      <c r="Q56" s="567"/>
      <c r="R56" s="567"/>
      <c r="S56" s="567"/>
      <c r="T56" s="567"/>
      <c r="U56" s="567"/>
      <c r="V56" s="567"/>
      <c r="W56" s="567"/>
      <c r="X56" s="567"/>
      <c r="Y56" s="567"/>
      <c r="Z56" s="567"/>
      <c r="AA56" s="567"/>
      <c r="AB56" s="567"/>
      <c r="AC56" s="567"/>
      <c r="AD56" s="567"/>
      <c r="AE56" s="567"/>
      <c r="AF56" s="567"/>
      <c r="AG56" s="567"/>
      <c r="AH56" s="567"/>
      <c r="AI56" s="584"/>
      <c r="AJ56" s="567"/>
      <c r="AK56" s="569"/>
      <c r="AL56" s="121"/>
      <c r="AM56" s="121"/>
      <c r="AN56" s="121"/>
      <c r="AO56" s="121"/>
    </row>
    <row r="57" spans="1:41" x14ac:dyDescent="0.3">
      <c r="A57" s="572" t="s">
        <v>1025</v>
      </c>
      <c r="B57" s="243"/>
      <c r="C57" s="243"/>
      <c r="D57" s="567">
        <f>'8b.DS-Cash-sf'!D15</f>
        <v>0</v>
      </c>
      <c r="E57" s="567">
        <f>'8b.DS-Cash-sf'!E15</f>
        <v>0</v>
      </c>
      <c r="F57" s="649"/>
      <c r="G57" s="649"/>
      <c r="H57" s="649"/>
      <c r="I57" s="567">
        <f>'8b.DS-Cash-sf'!I15</f>
        <v>0</v>
      </c>
      <c r="J57" s="567">
        <f>'8b.DS-Cash-sf'!J15</f>
        <v>0</v>
      </c>
      <c r="K57" s="567">
        <f>'8b.DS-Cash-sf'!K15</f>
        <v>0</v>
      </c>
      <c r="L57" s="567">
        <f>'8b.DS-Cash-sf'!L15</f>
        <v>0</v>
      </c>
      <c r="M57" s="567">
        <f>'8b.DS-Cash-sf'!M15</f>
        <v>0</v>
      </c>
      <c r="N57" s="567">
        <f>'8b.DS-Cash-sf'!N15</f>
        <v>0</v>
      </c>
      <c r="O57" s="567">
        <f>'8b.DS-Cash-sf'!O15</f>
        <v>0</v>
      </c>
      <c r="P57" s="567">
        <f>'8b.DS-Cash-sf'!P15</f>
        <v>0</v>
      </c>
      <c r="Q57" s="567">
        <f>'8b.DS-Cash-sf'!Q15</f>
        <v>0</v>
      </c>
      <c r="R57" s="567">
        <f>'8b.DS-Cash-sf'!R15</f>
        <v>0</v>
      </c>
      <c r="S57" s="567">
        <f>'8b.DS-Cash-sf'!S15</f>
        <v>0</v>
      </c>
      <c r="T57" s="567">
        <f>'8b.DS-Cash-sf'!T15</f>
        <v>0</v>
      </c>
      <c r="U57" s="567">
        <f>'8b.DS-Cash-sf'!U15</f>
        <v>0</v>
      </c>
      <c r="V57" s="567">
        <f>'8b.DS-Cash-sf'!V15</f>
        <v>0</v>
      </c>
      <c r="W57" s="567">
        <f>'8b.DS-Cash-sf'!W15</f>
        <v>0</v>
      </c>
      <c r="X57" s="567">
        <f>'8b.DS-Cash-sf'!X15</f>
        <v>0</v>
      </c>
      <c r="Y57" s="567">
        <f>'8b.DS-Cash-sf'!Y15</f>
        <v>0</v>
      </c>
      <c r="Z57" s="567">
        <f>'8b.DS-Cash-sf'!Z15</f>
        <v>0</v>
      </c>
      <c r="AA57" s="567">
        <f>'8b.DS-Cash-sf'!AA15</f>
        <v>0</v>
      </c>
      <c r="AB57" s="567">
        <f>'8b.DS-Cash-sf'!AB15</f>
        <v>0</v>
      </c>
      <c r="AC57" s="567">
        <f>'8b.DS-Cash-sf'!AC15</f>
        <v>0</v>
      </c>
      <c r="AD57" s="567">
        <f>'8b.DS-Cash-sf'!AD15</f>
        <v>0</v>
      </c>
      <c r="AE57" s="567">
        <f>'8b.DS-Cash-sf'!AE15</f>
        <v>0</v>
      </c>
      <c r="AF57" s="567">
        <f>'8b.DS-Cash-sf'!AF15</f>
        <v>0</v>
      </c>
      <c r="AG57" s="567">
        <f>'8b.DS-Cash-sf'!AG15</f>
        <v>0</v>
      </c>
      <c r="AH57" s="567">
        <f>'8b.DS-Cash-sf'!AH15</f>
        <v>0</v>
      </c>
      <c r="AI57" s="584">
        <f>SUM(E57,I57:K57,L57,N57:W57,Y57:Z57,AA57:AA57,AC57:AE57,AG57:AG57,AH57)</f>
        <v>0</v>
      </c>
      <c r="AJ57" s="567">
        <f>'8a. DS-Cash '!E15</f>
        <v>0</v>
      </c>
      <c r="AK57" s="569">
        <f>AI57+AJ57</f>
        <v>0</v>
      </c>
      <c r="AL57" s="121"/>
      <c r="AM57" s="570">
        <f>'9a. Summary Schedules'!C57</f>
        <v>0</v>
      </c>
      <c r="AN57" s="570">
        <f>AK57-AM57</f>
        <v>0</v>
      </c>
      <c r="AO57" s="121"/>
    </row>
    <row r="58" spans="1:41" x14ac:dyDescent="0.3">
      <c r="A58" s="572"/>
      <c r="B58" s="243"/>
      <c r="C58" s="243"/>
      <c r="D58" s="567"/>
      <c r="E58" s="567"/>
      <c r="F58" s="649"/>
      <c r="G58" s="649"/>
      <c r="H58" s="649"/>
      <c r="I58" s="567"/>
      <c r="J58" s="567"/>
      <c r="K58" s="567"/>
      <c r="L58" s="567"/>
      <c r="M58" s="567"/>
      <c r="N58" s="567"/>
      <c r="O58" s="567"/>
      <c r="P58" s="567"/>
      <c r="Q58" s="567"/>
      <c r="R58" s="567"/>
      <c r="S58" s="567"/>
      <c r="T58" s="567"/>
      <c r="U58" s="567"/>
      <c r="V58" s="567"/>
      <c r="W58" s="567"/>
      <c r="X58" s="567"/>
      <c r="Y58" s="567"/>
      <c r="Z58" s="567"/>
      <c r="AA58" s="567"/>
      <c r="AB58" s="567"/>
      <c r="AC58" s="567"/>
      <c r="AD58" s="567"/>
      <c r="AE58" s="567"/>
      <c r="AF58" s="567"/>
      <c r="AG58" s="567"/>
      <c r="AH58" s="567"/>
      <c r="AI58" s="571"/>
      <c r="AJ58" s="243"/>
      <c r="AK58" s="569"/>
      <c r="AL58" s="121"/>
      <c r="AM58" s="121"/>
      <c r="AN58" s="121"/>
      <c r="AO58" s="121"/>
    </row>
    <row r="59" spans="1:41" ht="14.5" x14ac:dyDescent="0.45">
      <c r="A59" s="574" t="s">
        <v>1026</v>
      </c>
      <c r="B59" s="575"/>
      <c r="C59" s="573"/>
      <c r="D59" s="576">
        <f>'8b.DS-Cash-sf'!D17</f>
        <v>83781010.040029466</v>
      </c>
      <c r="E59" s="576">
        <f>'8b.DS-Cash-sf'!E17</f>
        <v>81032975.924593717</v>
      </c>
      <c r="F59" s="650"/>
      <c r="G59" s="650"/>
      <c r="H59" s="650"/>
      <c r="I59" s="576">
        <f>'8b.DS-Cash-sf'!I17</f>
        <v>2748034.1154357539</v>
      </c>
      <c r="J59" s="576">
        <f>'8b.DS-Cash-sf'!J17</f>
        <v>0</v>
      </c>
      <c r="K59" s="576">
        <f>'8b.DS-Cash-sf'!K17</f>
        <v>0</v>
      </c>
      <c r="L59" s="576">
        <f>'8b.DS-Cash-sf'!L17</f>
        <v>30701008.972941764</v>
      </c>
      <c r="M59" s="576">
        <f>'8b.DS-Cash-sf'!M17</f>
        <v>39556513.133117981</v>
      </c>
      <c r="N59" s="576">
        <f>'8b.DS-Cash-sf'!N17</f>
        <v>6736567.7375482954</v>
      </c>
      <c r="O59" s="576">
        <f>'8b.DS-Cash-sf'!O17</f>
        <v>11220834.830208711</v>
      </c>
      <c r="P59" s="576">
        <f>'8b.DS-Cash-sf'!P17</f>
        <v>3001630.4283585846</v>
      </c>
      <c r="Q59" s="576">
        <f>'8b.DS-Cash-sf'!Q17</f>
        <v>3122252.7511912305</v>
      </c>
      <c r="R59" s="576">
        <f>'8b.DS-Cash-sf'!R17</f>
        <v>6253848.0047998372</v>
      </c>
      <c r="S59" s="576">
        <f>'8b.DS-Cash-sf'!S17</f>
        <v>1549084.0479308248</v>
      </c>
      <c r="T59" s="576">
        <f>'8b.DS-Cash-sf'!T17</f>
        <v>3413084.4632519567</v>
      </c>
      <c r="U59" s="576">
        <f>'8b.DS-Cash-sf'!U17</f>
        <v>2282840.72649353</v>
      </c>
      <c r="V59" s="576">
        <f>'8b.DS-Cash-sf'!V17</f>
        <v>1967093.7272406367</v>
      </c>
      <c r="W59" s="576">
        <f>'8b.DS-Cash-sf'!W17</f>
        <v>9276.416094379143</v>
      </c>
      <c r="X59" s="576">
        <f>'8b.DS-Cash-sf'!X17</f>
        <v>24357903.798237972</v>
      </c>
      <c r="Y59" s="576">
        <f>'8b.DS-Cash-sf'!Y17</f>
        <v>22496145.834069695</v>
      </c>
      <c r="Z59" s="576">
        <f>'8b.DS-Cash-sf'!Z17</f>
        <v>1861757.9641682764</v>
      </c>
      <c r="AA59" s="576">
        <f>'8b.DS-Cash-sf'!AA17</f>
        <v>1128816.6600074177</v>
      </c>
      <c r="AB59" s="576">
        <f>'8b.DS-Cash-sf'!AB17</f>
        <v>5765239.3589558424</v>
      </c>
      <c r="AC59" s="576">
        <f>'8b.DS-Cash-sf'!AC17</f>
        <v>5253846.7339829542</v>
      </c>
      <c r="AD59" s="576">
        <f>'8b.DS-Cash-sf'!AD17</f>
        <v>511392.6249728871</v>
      </c>
      <c r="AE59" s="576">
        <f>'8b.DS-Cash-sf'!AE17</f>
        <v>0</v>
      </c>
      <c r="AF59" s="576">
        <f>'8b.DS-Cash-sf'!AF17</f>
        <v>2128006.7634274056</v>
      </c>
      <c r="AG59" s="576">
        <f>'8b.DS-Cash-sf'!AG17</f>
        <v>2128006.7634274056</v>
      </c>
      <c r="AH59" s="576">
        <f>'8b.DS-Cash-sf'!AH17</f>
        <v>0</v>
      </c>
      <c r="AI59" s="577">
        <f>SUM(E59,I59:K59,L59,N59:W59,Y59:Z59,AA59:AA59,AC59:AE59,AG59:AG59,AH59)</f>
        <v>187418498.72671786</v>
      </c>
      <c r="AJ59" s="578">
        <f>'8a. DS-Cash '!E20</f>
        <v>25225409.230132557</v>
      </c>
      <c r="AK59" s="579">
        <f>AI59+AJ59</f>
        <v>212643907.95685041</v>
      </c>
      <c r="AL59" s="121"/>
      <c r="AM59" s="570">
        <f>'9a. Summary Schedules'!C59</f>
        <v>212643907.95685038</v>
      </c>
      <c r="AN59" s="570">
        <f>AK59-AM59</f>
        <v>0</v>
      </c>
      <c r="AO59" s="121"/>
    </row>
    <row r="60" spans="1:41" x14ac:dyDescent="0.3">
      <c r="A60" s="572" t="s">
        <v>1027</v>
      </c>
      <c r="B60" s="243"/>
      <c r="C60" s="243"/>
      <c r="D60" s="567">
        <f>D59+D57+D55+D51</f>
        <v>1303460581.083972</v>
      </c>
      <c r="E60" s="567">
        <f t="shared" ref="E60:AH60" si="13">E59+E57+E55+E51</f>
        <v>493508027.37751746</v>
      </c>
      <c r="F60" s="649"/>
      <c r="G60" s="649"/>
      <c r="H60" s="649"/>
      <c r="I60" s="567">
        <f t="shared" si="13"/>
        <v>104315658.18645453</v>
      </c>
      <c r="J60" s="567">
        <f t="shared" si="13"/>
        <v>678895652.45999992</v>
      </c>
      <c r="K60" s="567">
        <f t="shared" si="13"/>
        <v>26741243.059999999</v>
      </c>
      <c r="L60" s="567">
        <f t="shared" si="13"/>
        <v>93382412.592425346</v>
      </c>
      <c r="M60" s="567">
        <f t="shared" si="13"/>
        <v>316324746.65664279</v>
      </c>
      <c r="N60" s="567">
        <f t="shared" si="13"/>
        <v>65000359.409910813</v>
      </c>
      <c r="O60" s="567">
        <f t="shared" si="13"/>
        <v>92894489.42848444</v>
      </c>
      <c r="P60" s="567">
        <f t="shared" si="13"/>
        <v>25184992.636543281</v>
      </c>
      <c r="Q60" s="567">
        <f t="shared" si="13"/>
        <v>15667074.673541592</v>
      </c>
      <c r="R60" s="567">
        <f t="shared" si="13"/>
        <v>58414477.54222355</v>
      </c>
      <c r="S60" s="567">
        <f t="shared" si="13"/>
        <v>15036807.925683383</v>
      </c>
      <c r="T60" s="567">
        <f t="shared" si="13"/>
        <v>17126431.911212668</v>
      </c>
      <c r="U60" s="567">
        <f t="shared" si="13"/>
        <v>10044242.422850221</v>
      </c>
      <c r="V60" s="567">
        <f t="shared" si="13"/>
        <v>15291412.431235623</v>
      </c>
      <c r="W60" s="567">
        <f t="shared" si="13"/>
        <v>1664458.2749572638</v>
      </c>
      <c r="X60" s="567">
        <f t="shared" si="13"/>
        <v>57741832.993682094</v>
      </c>
      <c r="Y60" s="567">
        <f t="shared" si="13"/>
        <v>44403693.826384313</v>
      </c>
      <c r="Z60" s="567">
        <f t="shared" si="13"/>
        <v>13338139.167297777</v>
      </c>
      <c r="AA60" s="567">
        <f t="shared" si="13"/>
        <v>8579990.4147240799</v>
      </c>
      <c r="AB60" s="567">
        <f t="shared" si="13"/>
        <v>30371892.470744092</v>
      </c>
      <c r="AC60" s="567">
        <f>AC59+AC57+AC55+AC51</f>
        <v>29285701.373671129</v>
      </c>
      <c r="AD60" s="567">
        <f>AD59+AD57+AD55+AD51</f>
        <v>1086191.0970729575</v>
      </c>
      <c r="AE60" s="567">
        <f>AE59+AE57+AE55+AE51</f>
        <v>0</v>
      </c>
      <c r="AF60" s="567">
        <f t="shared" si="13"/>
        <v>17775259.795116257</v>
      </c>
      <c r="AG60" s="567">
        <f t="shared" si="13"/>
        <v>17775259.795116257</v>
      </c>
      <c r="AH60" s="567">
        <f t="shared" si="13"/>
        <v>-1936210.1027643175</v>
      </c>
      <c r="AI60" s="571">
        <f>SUM(E60,I60:K60,L60,N60:W60,Y60:Z60,AA60:AA60,AC60:AE60,AG60:AG60,AH60)</f>
        <v>1825700505.904542</v>
      </c>
      <c r="AJ60" s="567">
        <f>AJ59+AJ57+AJ55+AJ51</f>
        <v>161573640.82230806</v>
      </c>
      <c r="AK60" s="569">
        <f>AI60+AJ60</f>
        <v>1987274146.72685</v>
      </c>
      <c r="AL60" s="121"/>
      <c r="AM60" s="570">
        <f>'9a. Summary Schedules'!C60</f>
        <v>1987274146.7268505</v>
      </c>
      <c r="AN60" s="570">
        <f>AK60-AM60</f>
        <v>0</v>
      </c>
      <c r="AO60" s="121"/>
    </row>
    <row r="61" spans="1:41" ht="14.5" x14ac:dyDescent="0.45">
      <c r="A61" s="572" t="s">
        <v>1028</v>
      </c>
      <c r="B61" s="243"/>
      <c r="C61" s="243"/>
      <c r="D61" s="576">
        <f t="shared" ref="D61:AH61" si="14">D60/0.86*0.14</f>
        <v>212191257.3857629</v>
      </c>
      <c r="E61" s="576">
        <f t="shared" si="14"/>
        <v>80338516.084712148</v>
      </c>
      <c r="F61" s="650"/>
      <c r="G61" s="650"/>
      <c r="H61" s="650"/>
      <c r="I61" s="576">
        <f t="shared" si="14"/>
        <v>16981618.774539113</v>
      </c>
      <c r="J61" s="576">
        <f t="shared" si="14"/>
        <v>110517896.91209303</v>
      </c>
      <c r="K61" s="576">
        <f t="shared" si="14"/>
        <v>4353225.6144186044</v>
      </c>
      <c r="L61" s="576">
        <f t="shared" si="14"/>
        <v>15201788.096441338</v>
      </c>
      <c r="M61" s="576">
        <f t="shared" si="14"/>
        <v>51494726.199918605</v>
      </c>
      <c r="N61" s="576">
        <f t="shared" si="14"/>
        <v>10581453.857427344</v>
      </c>
      <c r="O61" s="576">
        <f t="shared" si="14"/>
        <v>15122358.744171888</v>
      </c>
      <c r="P61" s="576">
        <f t="shared" si="14"/>
        <v>4099882.5222279765</v>
      </c>
      <c r="Q61" s="576">
        <f t="shared" si="14"/>
        <v>2550454.0166230504</v>
      </c>
      <c r="R61" s="576">
        <f t="shared" si="14"/>
        <v>9509333.5533852316</v>
      </c>
      <c r="S61" s="576">
        <f t="shared" si="14"/>
        <v>2447852.4530182253</v>
      </c>
      <c r="T61" s="576">
        <f t="shared" si="14"/>
        <v>2788023.7994997366</v>
      </c>
      <c r="U61" s="576">
        <f t="shared" si="14"/>
        <v>1635109.2316267805</v>
      </c>
      <c r="V61" s="576">
        <f t="shared" si="14"/>
        <v>2489299.698108125</v>
      </c>
      <c r="W61" s="576">
        <f t="shared" si="14"/>
        <v>270958.32383025228</v>
      </c>
      <c r="X61" s="576">
        <f t="shared" si="14"/>
        <v>9399833.2780412715</v>
      </c>
      <c r="Y61" s="576">
        <f t="shared" si="14"/>
        <v>7228508.2973183775</v>
      </c>
      <c r="Z61" s="576">
        <f t="shared" si="14"/>
        <v>2171324.9807228944</v>
      </c>
      <c r="AA61" s="576">
        <f t="shared" si="14"/>
        <v>1396742.6256527572</v>
      </c>
      <c r="AB61" s="576">
        <f t="shared" si="14"/>
        <v>4944261.5650048526</v>
      </c>
      <c r="AC61" s="576">
        <f>AC60/0.86*0.14</f>
        <v>4767439.7585046021</v>
      </c>
      <c r="AD61" s="576">
        <f>AD60/0.86*0.14</f>
        <v>176821.8065002489</v>
      </c>
      <c r="AE61" s="576">
        <f>AE60/0.86*0.14</f>
        <v>0</v>
      </c>
      <c r="AF61" s="576">
        <f t="shared" si="14"/>
        <v>2893646.9433910185</v>
      </c>
      <c r="AG61" s="576">
        <f t="shared" si="14"/>
        <v>2893646.9433910185</v>
      </c>
      <c r="AH61" s="576">
        <f t="shared" si="14"/>
        <v>-315196.99347326101</v>
      </c>
      <c r="AI61" s="577">
        <f>SUM(E61,I61:K61,L61,N61:W61,Y61:Z61,AA61:AA61,AC61:AE61,AG61:AG61,AH61)</f>
        <v>297207059.1007396</v>
      </c>
      <c r="AJ61" s="578">
        <f>'9a. Summary Schedules'!D61</f>
        <v>26302685.715259455</v>
      </c>
      <c r="AK61" s="579">
        <f>AI61+AJ61</f>
        <v>323509744.81599903</v>
      </c>
      <c r="AL61" s="121"/>
      <c r="AM61" s="570">
        <f>'9a. Summary Schedules'!C61</f>
        <v>323509744.81599885</v>
      </c>
      <c r="AN61" s="570">
        <f>AK61-AM61</f>
        <v>0</v>
      </c>
      <c r="AO61" s="121"/>
    </row>
    <row r="62" spans="1:41" x14ac:dyDescent="0.3">
      <c r="A62" s="572" t="s">
        <v>1045</v>
      </c>
      <c r="B62" s="243"/>
      <c r="C62" s="243"/>
      <c r="D62" s="567">
        <f>D60+D61</f>
        <v>1515651838.4697349</v>
      </c>
      <c r="E62" s="567">
        <f t="shared" ref="E62:AH62" si="15">E60+E61</f>
        <v>573846543.46222961</v>
      </c>
      <c r="F62" s="649"/>
      <c r="G62" s="649"/>
      <c r="H62" s="649"/>
      <c r="I62" s="567">
        <f t="shared" si="15"/>
        <v>121297276.96099365</v>
      </c>
      <c r="J62" s="567">
        <f t="shared" si="15"/>
        <v>789413549.37209296</v>
      </c>
      <c r="K62" s="567">
        <f t="shared" si="15"/>
        <v>31094468.674418602</v>
      </c>
      <c r="L62" s="567">
        <f t="shared" si="15"/>
        <v>108584200.68886669</v>
      </c>
      <c r="M62" s="567">
        <f t="shared" si="15"/>
        <v>367819472.85656142</v>
      </c>
      <c r="N62" s="567">
        <f t="shared" si="15"/>
        <v>75581813.267338157</v>
      </c>
      <c r="O62" s="567">
        <f t="shared" si="15"/>
        <v>108016848.17265633</v>
      </c>
      <c r="P62" s="567">
        <f t="shared" si="15"/>
        <v>29284875.158771258</v>
      </c>
      <c r="Q62" s="567">
        <f t="shared" si="15"/>
        <v>18217528.690164644</v>
      </c>
      <c r="R62" s="567">
        <f t="shared" si="15"/>
        <v>67923811.095608786</v>
      </c>
      <c r="S62" s="567">
        <f t="shared" si="15"/>
        <v>17484660.378701609</v>
      </c>
      <c r="T62" s="567">
        <f t="shared" si="15"/>
        <v>19914455.710712403</v>
      </c>
      <c r="U62" s="567">
        <f t="shared" si="15"/>
        <v>11679351.654477002</v>
      </c>
      <c r="V62" s="567">
        <f t="shared" si="15"/>
        <v>17780712.129343748</v>
      </c>
      <c r="W62" s="567">
        <f t="shared" si="15"/>
        <v>1935416.5987875161</v>
      </c>
      <c r="X62" s="567">
        <f t="shared" si="15"/>
        <v>67141666.27172336</v>
      </c>
      <c r="Y62" s="567">
        <f t="shared" si="15"/>
        <v>51632202.12370269</v>
      </c>
      <c r="Z62" s="567">
        <f t="shared" si="15"/>
        <v>15509464.148020672</v>
      </c>
      <c r="AA62" s="567">
        <f t="shared" si="15"/>
        <v>9976733.0403768364</v>
      </c>
      <c r="AB62" s="567">
        <f t="shared" si="15"/>
        <v>35316154.035748944</v>
      </c>
      <c r="AC62" s="567">
        <f>AC60+AC61</f>
        <v>34053141.132175729</v>
      </c>
      <c r="AD62" s="567">
        <f>AD60+AD61</f>
        <v>1263012.9035732064</v>
      </c>
      <c r="AE62" s="567">
        <f>AE60+AE61</f>
        <v>0</v>
      </c>
      <c r="AF62" s="567">
        <f t="shared" si="15"/>
        <v>20668906.738507275</v>
      </c>
      <c r="AG62" s="567">
        <f t="shared" si="15"/>
        <v>20668906.738507275</v>
      </c>
      <c r="AH62" s="567">
        <f t="shared" si="15"/>
        <v>-2251407.0962375784</v>
      </c>
      <c r="AI62" s="571">
        <f>SUM(E62,I62:K62,L62,N62:W62,Y62:Z62,AA62:AA62,AC62:AE62,AG62:AG62,AH62)</f>
        <v>2122907565.0052819</v>
      </c>
      <c r="AJ62" s="567">
        <f>AJ60+AJ61</f>
        <v>187876326.53756753</v>
      </c>
      <c r="AK62" s="569">
        <f>AK60+AK61</f>
        <v>2310783891.5428491</v>
      </c>
      <c r="AL62" s="121"/>
      <c r="AM62" s="570">
        <f>'9a. Summary Schedules'!C62</f>
        <v>2310783891.5428491</v>
      </c>
      <c r="AN62" s="570">
        <f>AK62-AM62</f>
        <v>0</v>
      </c>
      <c r="AO62" s="121"/>
    </row>
    <row r="63" spans="1:41" x14ac:dyDescent="0.3">
      <c r="A63" s="572"/>
      <c r="B63" s="243"/>
      <c r="C63" s="243"/>
      <c r="D63" s="567"/>
      <c r="E63" s="567"/>
      <c r="F63" s="649"/>
      <c r="G63" s="649"/>
      <c r="H63" s="649"/>
      <c r="I63" s="567"/>
      <c r="J63" s="567"/>
      <c r="K63" s="567"/>
      <c r="L63" s="567"/>
      <c r="M63" s="567"/>
      <c r="N63" s="567"/>
      <c r="O63" s="567"/>
      <c r="P63" s="567"/>
      <c r="Q63" s="567"/>
      <c r="R63" s="567"/>
      <c r="S63" s="567"/>
      <c r="T63" s="567"/>
      <c r="U63" s="567"/>
      <c r="V63" s="567"/>
      <c r="W63" s="567"/>
      <c r="X63" s="567"/>
      <c r="Y63" s="567"/>
      <c r="Z63" s="567"/>
      <c r="AA63" s="567"/>
      <c r="AB63" s="567"/>
      <c r="AC63" s="567"/>
      <c r="AD63" s="567"/>
      <c r="AE63" s="567"/>
      <c r="AF63" s="567"/>
      <c r="AG63" s="567"/>
      <c r="AH63" s="567"/>
      <c r="AI63" s="571"/>
      <c r="AJ63" s="243"/>
      <c r="AK63" s="569"/>
      <c r="AL63" s="121"/>
      <c r="AM63" s="121"/>
      <c r="AN63" s="121"/>
      <c r="AO63" s="121"/>
    </row>
    <row r="64" spans="1:41" x14ac:dyDescent="0.3">
      <c r="A64" s="572" t="s">
        <v>175</v>
      </c>
      <c r="B64" s="243"/>
      <c r="C64" s="243"/>
      <c r="D64" s="567">
        <f>'6b. OE_OR-sf'!D90</f>
        <v>0</v>
      </c>
      <c r="E64" s="567">
        <f>'6b. OE_OR-sf'!E90</f>
        <v>0</v>
      </c>
      <c r="F64" s="649"/>
      <c r="G64" s="649"/>
      <c r="H64" s="649"/>
      <c r="I64" s="567">
        <f>'6b. OE_OR-sf'!I90</f>
        <v>0</v>
      </c>
      <c r="J64" s="567">
        <f>'6b. OE_OR-sf'!J90</f>
        <v>0</v>
      </c>
      <c r="K64" s="567">
        <f>'6b. OE_OR-sf'!K90</f>
        <v>0</v>
      </c>
      <c r="L64" s="567">
        <f>'6b. OE_OR-sf'!L90</f>
        <v>0</v>
      </c>
      <c r="M64" s="567">
        <f>'6b. OE_OR-sf'!M90</f>
        <v>0</v>
      </c>
      <c r="N64" s="567">
        <f>'6b. OE_OR-sf'!N90</f>
        <v>0</v>
      </c>
      <c r="O64" s="567">
        <f>'6b. OE_OR-sf'!O90</f>
        <v>0</v>
      </c>
      <c r="P64" s="567">
        <f>'6b. OE_OR-sf'!P90</f>
        <v>0</v>
      </c>
      <c r="Q64" s="567">
        <f>'6b. OE_OR-sf'!Q90</f>
        <v>0</v>
      </c>
      <c r="R64" s="567">
        <f>'6b. OE_OR-sf'!R90</f>
        <v>0</v>
      </c>
      <c r="S64" s="567">
        <f>'6b. OE_OR-sf'!S90</f>
        <v>0</v>
      </c>
      <c r="T64" s="567">
        <f>'6b. OE_OR-sf'!T90</f>
        <v>0</v>
      </c>
      <c r="U64" s="567">
        <f>'6b. OE_OR-sf'!U90</f>
        <v>0</v>
      </c>
      <c r="V64" s="567">
        <f>'6b. OE_OR-sf'!V90</f>
        <v>0</v>
      </c>
      <c r="W64" s="567">
        <f>'6b. OE_OR-sf'!W90</f>
        <v>0</v>
      </c>
      <c r="X64" s="567">
        <f>'6b. OE_OR-sf'!X90</f>
        <v>0</v>
      </c>
      <c r="Y64" s="567">
        <f>'6b. OE_OR-sf'!Y90</f>
        <v>0</v>
      </c>
      <c r="Z64" s="567">
        <f>'6b. OE_OR-sf'!Z90</f>
        <v>0</v>
      </c>
      <c r="AA64" s="567">
        <f>'6b. OE_OR-sf'!AA90</f>
        <v>0</v>
      </c>
      <c r="AB64" s="567">
        <f>'6b. OE_OR-sf'!AB90</f>
        <v>0</v>
      </c>
      <c r="AC64" s="567">
        <f>'6b. OE_OR-sf'!AC90</f>
        <v>0</v>
      </c>
      <c r="AD64" s="567">
        <f>'6b. OE_OR-sf'!AD90</f>
        <v>0</v>
      </c>
      <c r="AE64" s="567">
        <f>'6b. OE_OR-sf'!AE90</f>
        <v>0</v>
      </c>
      <c r="AF64" s="567">
        <f>'6b. OE_OR-sf'!AF90</f>
        <v>0</v>
      </c>
      <c r="AG64" s="567">
        <f>'6b. OE_OR-sf'!AG90</f>
        <v>0</v>
      </c>
      <c r="AH64" s="567">
        <f>'6b. OE_OR-sf'!AH90</f>
        <v>-7174098.5199999996</v>
      </c>
      <c r="AI64" s="571">
        <f>SUM(E64,I64:K64,L64,N64:W64,Y64:Z64,AA64:AA64,AC64:AE64,AG64:AG64,AH64)</f>
        <v>-7174098.5199999996</v>
      </c>
      <c r="AJ64" s="567">
        <f>'6a. OE_OR-i'!G90</f>
        <v>-670903.62</v>
      </c>
      <c r="AK64" s="569">
        <f>AI64+AJ64</f>
        <v>-7845002.1399999997</v>
      </c>
      <c r="AL64" s="121"/>
      <c r="AM64" s="570">
        <f>'9a. Summary Schedules'!C64</f>
        <v>-7845002.1399999997</v>
      </c>
      <c r="AN64" s="570">
        <f>AK64-AM64</f>
        <v>0</v>
      </c>
      <c r="AO64" s="121"/>
    </row>
    <row r="65" spans="1:41" x14ac:dyDescent="0.3">
      <c r="A65" s="572" t="s">
        <v>176</v>
      </c>
      <c r="B65" s="243"/>
      <c r="C65" s="243"/>
      <c r="D65" s="567">
        <f>'6b. OE_OR-sf'!D116</f>
        <v>-3175736.6711724643</v>
      </c>
      <c r="E65" s="567">
        <f>'6b. OE_OR-sf'!E116</f>
        <v>-988504.33250960952</v>
      </c>
      <c r="F65" s="649"/>
      <c r="G65" s="649"/>
      <c r="H65" s="649"/>
      <c r="I65" s="567">
        <f>'6b. OE_OR-sf'!I116</f>
        <v>-2187232.3386628544</v>
      </c>
      <c r="J65" s="567">
        <f>'6b. OE_OR-sf'!J116</f>
        <v>0</v>
      </c>
      <c r="K65" s="567">
        <f>'6b. OE_OR-sf'!K116</f>
        <v>0</v>
      </c>
      <c r="L65" s="567">
        <f>'6b. OE_OR-sf'!L116</f>
        <v>-472318.52795562317</v>
      </c>
      <c r="M65" s="567">
        <f>'6b. OE_OR-sf'!M116</f>
        <v>-7436415.7638784405</v>
      </c>
      <c r="N65" s="567">
        <f>'6b. OE_OR-sf'!N116</f>
        <v>-209219.86994391639</v>
      </c>
      <c r="O65" s="567">
        <f>'6b. OE_OR-sf'!O116</f>
        <v>-266573.8386527478</v>
      </c>
      <c r="P65" s="567">
        <f>'6b. OE_OR-sf'!P116</f>
        <v>-57932.745435065473</v>
      </c>
      <c r="Q65" s="567">
        <f>'6b. OE_OR-sf'!Q116</f>
        <v>-21989.367079307111</v>
      </c>
      <c r="R65" s="567">
        <f>'6b. OE_OR-sf'!R116</f>
        <v>-6782985.5569821028</v>
      </c>
      <c r="S65" s="567">
        <f>'6b. OE_OR-sf'!S116</f>
        <v>-37655.744263635963</v>
      </c>
      <c r="T65" s="567">
        <f>'6b. OE_OR-sf'!T116</f>
        <v>-24037.633438386056</v>
      </c>
      <c r="U65" s="567">
        <f>'6b. OE_OR-sf'!U116</f>
        <v>-9584.0005951105049</v>
      </c>
      <c r="V65" s="567">
        <f>'6b. OE_OR-sf'!V116</f>
        <v>-24596.971438306799</v>
      </c>
      <c r="W65" s="567">
        <f>'6b. OE_OR-sf'!W116</f>
        <v>-1840.036049861596</v>
      </c>
      <c r="X65" s="567">
        <f>'6b. OE_OR-sf'!X116</f>
        <v>-415139.35028303484</v>
      </c>
      <c r="Y65" s="567">
        <f>'6b. OE_OR-sf'!Y116</f>
        <v>-348725.44591267267</v>
      </c>
      <c r="Z65" s="567">
        <f>'6b. OE_OR-sf'!Z116</f>
        <v>-66413.904370362114</v>
      </c>
      <c r="AA65" s="567">
        <f>'6b. OE_OR-sf'!AA116</f>
        <v>-4208062.3516622186</v>
      </c>
      <c r="AB65" s="567">
        <f>'6b. OE_OR-sf'!AB116</f>
        <v>-223503.29004645935</v>
      </c>
      <c r="AC65" s="567">
        <f>'6b. OE_OR-sf'!AC116</f>
        <v>-202809.12224107143</v>
      </c>
      <c r="AD65" s="567">
        <f>'6b. OE_OR-sf'!AD116</f>
        <v>-20694.167805387904</v>
      </c>
      <c r="AE65" s="567">
        <f>'6b. OE_OR-sf'!AE116</f>
        <v>0</v>
      </c>
      <c r="AF65" s="567">
        <f>'6b. OE_OR-sf'!AF116</f>
        <v>-62293.171041331167</v>
      </c>
      <c r="AG65" s="567">
        <f>'6b. OE_OR-sf'!AG116</f>
        <v>-62293.171041331167</v>
      </c>
      <c r="AH65" s="567">
        <f>'6b. OE_OR-sf'!AH116</f>
        <v>-1379375.0499999989</v>
      </c>
      <c r="AI65" s="571">
        <f>SUM(E65,I65:K65,L65,N65:W65,Y65:Z65,AA65:AA65,AC65:AE65,AG65:AG65,AH65)</f>
        <v>-17372844.176039569</v>
      </c>
      <c r="AJ65" s="567">
        <f>'6a. OE_OR-i'!G118</f>
        <v>-5686333.8977229428</v>
      </c>
      <c r="AK65" s="569">
        <f>AI65+AJ65</f>
        <v>-23059178.073762514</v>
      </c>
      <c r="AL65" s="121"/>
      <c r="AM65" s="570">
        <f>'9a. Summary Schedules'!C65</f>
        <v>-23059178.073762514</v>
      </c>
      <c r="AN65" s="570">
        <f>AK65-AM65</f>
        <v>0</v>
      </c>
      <c r="AO65" s="121"/>
    </row>
    <row r="66" spans="1:41" s="120" customFormat="1" x14ac:dyDescent="0.3">
      <c r="A66" s="572" t="s">
        <v>1029</v>
      </c>
      <c r="B66" s="580"/>
      <c r="C66" s="580"/>
      <c r="D66" s="581">
        <f>-'8b.DS-Cash-sf'!D19</f>
        <v>-6149759.370575917</v>
      </c>
      <c r="E66" s="581">
        <f>-'8b.DS-Cash-sf'!E19</f>
        <v>-5948046.0163923278</v>
      </c>
      <c r="F66" s="651"/>
      <c r="G66" s="651"/>
      <c r="H66" s="651"/>
      <c r="I66" s="581">
        <f>-'8b.DS-Cash-sf'!I19</f>
        <v>-201713.35418358946</v>
      </c>
      <c r="J66" s="581">
        <f>-'8b.DS-Cash-sf'!J19</f>
        <v>0</v>
      </c>
      <c r="K66" s="581">
        <f>-'8b.DS-Cash-sf'!K19</f>
        <v>0</v>
      </c>
      <c r="L66" s="581">
        <f>-'8b.DS-Cash-sf'!L19</f>
        <v>-1495592.9520059982</v>
      </c>
      <c r="M66" s="581">
        <f>-'8b.DS-Cash-sf'!M19</f>
        <v>-3904355.7512052124</v>
      </c>
      <c r="N66" s="581">
        <f>-'8b.DS-Cash-sf'!N19</f>
        <v>-664921.01821430086</v>
      </c>
      <c r="O66" s="581">
        <f>-'8b.DS-Cash-sf'!O19</f>
        <v>-1107532.6800220392</v>
      </c>
      <c r="P66" s="581">
        <f>-'8b.DS-Cash-sf'!P19</f>
        <v>-296270.62897367764</v>
      </c>
      <c r="Q66" s="581">
        <f>-'8b.DS-Cash-sf'!Q19</f>
        <v>-308176.44226643414</v>
      </c>
      <c r="R66" s="581">
        <f>-'8b.DS-Cash-sf'!R19</f>
        <v>-617275.01973020425</v>
      </c>
      <c r="S66" s="581">
        <f>-'8b.DS-Cash-sf'!S19</f>
        <v>-152899.60445414591</v>
      </c>
      <c r="T66" s="581">
        <f>-'8b.DS-Cash-sf'!T19</f>
        <v>-336882.47264367866</v>
      </c>
      <c r="U66" s="581">
        <f>-'8b.DS-Cash-sf'!U19</f>
        <v>-225323.76121160766</v>
      </c>
      <c r="V66" s="581">
        <f>-'8b.DS-Cash-sf'!V19</f>
        <v>-194158.51142555685</v>
      </c>
      <c r="W66" s="581">
        <f>-'8b.DS-Cash-sf'!W19</f>
        <v>-915.61226356775524</v>
      </c>
      <c r="X66" s="581">
        <f>-'8b.DS-Cash-sf'!X19</f>
        <v>-282406.6010557047</v>
      </c>
      <c r="Y66" s="581">
        <f>-'8b.DS-Cash-sf'!Y19</f>
        <v>-260821.2978619551</v>
      </c>
      <c r="Z66" s="581">
        <f>-'8b.DS-Cash-sf'!Z19</f>
        <v>-21585.303193749587</v>
      </c>
      <c r="AA66" s="581">
        <f>-'8b.DS-Cash-sf'!AA19</f>
        <v>-16480.23418976742</v>
      </c>
      <c r="AB66" s="581">
        <f>-'8b.DS-Cash-sf'!AB19</f>
        <v>-77284.368777903845</v>
      </c>
      <c r="AC66" s="581">
        <f>-'8b.DS-Cash-sf'!AC19</f>
        <v>-70429.032206784788</v>
      </c>
      <c r="AD66" s="581">
        <f>-'8b.DS-Cash-sf'!AD19</f>
        <v>-6855.3365711190418</v>
      </c>
      <c r="AE66" s="581">
        <f>-'8b.DS-Cash-sf'!AE19</f>
        <v>0</v>
      </c>
      <c r="AF66" s="581">
        <f>-'8b.DS-Cash-sf'!AF19</f>
        <v>-15372.495370829587</v>
      </c>
      <c r="AG66" s="581">
        <f>-'8b.DS-Cash-sf'!AG19</f>
        <v>-15372.495370829585</v>
      </c>
      <c r="AH66" s="581">
        <f>-'8b.DS-Cash-sf'!AH19</f>
        <v>59785.648869029399</v>
      </c>
      <c r="AI66" s="568">
        <f>SUM(E66,I66:K66,L66,N66:W66,Y66:Z66,AA66:AA66,AC66:AE66,AG66:AG66,AH66)</f>
        <v>-11881466.124312306</v>
      </c>
      <c r="AJ66" s="580">
        <f>-'8a. DS-Cash '!E24</f>
        <v>-1073192.0056876966</v>
      </c>
      <c r="AK66" s="582">
        <f>AI66+AJ66</f>
        <v>-12954658.130000003</v>
      </c>
      <c r="AL66" s="537"/>
      <c r="AM66" s="583">
        <f>'9a. Summary Schedules'!C66</f>
        <v>-12954658.129999999</v>
      </c>
      <c r="AN66" s="583">
        <f>AK66-AM66</f>
        <v>0</v>
      </c>
      <c r="AO66" s="537"/>
    </row>
    <row r="67" spans="1:41" x14ac:dyDescent="0.3">
      <c r="A67" s="572" t="s">
        <v>1046</v>
      </c>
      <c r="B67" s="243"/>
      <c r="C67" s="243"/>
      <c r="D67" s="567">
        <f t="shared" ref="D67:AK67" si="16">SUM(D62,D64:D66)</f>
        <v>1506326342.4279866</v>
      </c>
      <c r="E67" s="567">
        <f t="shared" si="16"/>
        <v>566909993.11332762</v>
      </c>
      <c r="F67" s="649"/>
      <c r="G67" s="649"/>
      <c r="H67" s="649"/>
      <c r="I67" s="567">
        <f t="shared" si="16"/>
        <v>118908331.26814722</v>
      </c>
      <c r="J67" s="567">
        <f t="shared" si="16"/>
        <v>789413549.37209296</v>
      </c>
      <c r="K67" s="567">
        <f t="shared" si="16"/>
        <v>31094468.674418602</v>
      </c>
      <c r="L67" s="567">
        <f t="shared" si="16"/>
        <v>106616289.20890507</v>
      </c>
      <c r="M67" s="567">
        <f t="shared" si="16"/>
        <v>356478701.34147775</v>
      </c>
      <c r="N67" s="567">
        <f t="shared" si="16"/>
        <v>74707672.37917994</v>
      </c>
      <c r="O67" s="567">
        <f t="shared" si="16"/>
        <v>106642741.65398154</v>
      </c>
      <c r="P67" s="567">
        <f t="shared" si="16"/>
        <v>28930671.784362514</v>
      </c>
      <c r="Q67" s="567">
        <f t="shared" si="16"/>
        <v>17887362.880818903</v>
      </c>
      <c r="R67" s="567">
        <f t="shared" si="16"/>
        <v>60523550.518896483</v>
      </c>
      <c r="S67" s="567">
        <f t="shared" si="16"/>
        <v>17294105.029983826</v>
      </c>
      <c r="T67" s="567">
        <f t="shared" si="16"/>
        <v>19553535.60463034</v>
      </c>
      <c r="U67" s="567">
        <f t="shared" si="16"/>
        <v>11444443.892670283</v>
      </c>
      <c r="V67" s="567">
        <f t="shared" si="16"/>
        <v>17561956.646479882</v>
      </c>
      <c r="W67" s="567">
        <f t="shared" si="16"/>
        <v>1932660.9504740867</v>
      </c>
      <c r="X67" s="567">
        <f t="shared" si="16"/>
        <v>66444120.320384622</v>
      </c>
      <c r="Y67" s="567">
        <f t="shared" si="16"/>
        <v>51022655.37992806</v>
      </c>
      <c r="Z67" s="567">
        <f t="shared" si="16"/>
        <v>15421464.94045656</v>
      </c>
      <c r="AA67" s="567">
        <f t="shared" si="16"/>
        <v>5752190.4545248505</v>
      </c>
      <c r="AB67" s="567">
        <f t="shared" si="16"/>
        <v>35015366.376924582</v>
      </c>
      <c r="AC67" s="567">
        <f t="shared" si="16"/>
        <v>33779902.977727875</v>
      </c>
      <c r="AD67" s="567">
        <f t="shared" si="16"/>
        <v>1235463.3991966995</v>
      </c>
      <c r="AE67" s="567">
        <f t="shared" si="16"/>
        <v>0</v>
      </c>
      <c r="AF67" s="567">
        <f t="shared" si="16"/>
        <v>20591241.072095111</v>
      </c>
      <c r="AG67" s="567">
        <f t="shared" si="16"/>
        <v>20591241.072095111</v>
      </c>
      <c r="AH67" s="567">
        <f t="shared" si="16"/>
        <v>-10745095.017368546</v>
      </c>
      <c r="AI67" s="584">
        <f t="shared" si="16"/>
        <v>2086479156.1849301</v>
      </c>
      <c r="AJ67" s="567">
        <f t="shared" si="16"/>
        <v>180445897.01415691</v>
      </c>
      <c r="AK67" s="569">
        <f t="shared" si="16"/>
        <v>2266925053.1990867</v>
      </c>
      <c r="AL67" s="121"/>
      <c r="AM67" s="570">
        <f>'9a. Summary Schedules'!C67</f>
        <v>2266925053.1990867</v>
      </c>
      <c r="AN67" s="570">
        <f>AK67-AM67</f>
        <v>0</v>
      </c>
      <c r="AO67" s="121"/>
    </row>
    <row r="68" spans="1:41" x14ac:dyDescent="0.3">
      <c r="A68" s="572"/>
      <c r="B68" s="243"/>
      <c r="C68" s="243"/>
      <c r="D68" s="567"/>
      <c r="E68" s="567"/>
      <c r="F68" s="649"/>
      <c r="G68" s="649"/>
      <c r="H68" s="649"/>
      <c r="I68" s="567"/>
      <c r="J68" s="567"/>
      <c r="K68" s="567"/>
      <c r="L68" s="567"/>
      <c r="M68" s="567"/>
      <c r="N68" s="567"/>
      <c r="O68" s="567"/>
      <c r="P68" s="567"/>
      <c r="Q68" s="567"/>
      <c r="R68" s="567"/>
      <c r="S68" s="567"/>
      <c r="T68" s="567"/>
      <c r="U68" s="567"/>
      <c r="V68" s="567"/>
      <c r="W68" s="567"/>
      <c r="X68" s="567"/>
      <c r="Y68" s="567"/>
      <c r="Z68" s="567"/>
      <c r="AA68" s="567"/>
      <c r="AB68" s="567"/>
      <c r="AC68" s="567"/>
      <c r="AD68" s="567"/>
      <c r="AE68" s="567"/>
      <c r="AF68" s="567"/>
      <c r="AG68" s="567"/>
      <c r="AH68" s="567"/>
      <c r="AI68" s="584"/>
      <c r="AJ68" s="567"/>
      <c r="AK68" s="569"/>
      <c r="AL68" s="121"/>
      <c r="AM68" s="570"/>
      <c r="AN68" s="570"/>
      <c r="AO68" s="121"/>
    </row>
    <row r="69" spans="1:41" x14ac:dyDescent="0.3">
      <c r="A69" s="572" t="s">
        <v>30</v>
      </c>
      <c r="B69" s="243"/>
      <c r="C69" s="243"/>
      <c r="D69" s="567"/>
      <c r="E69" s="567"/>
      <c r="F69" s="649"/>
      <c r="G69" s="649"/>
      <c r="H69" s="649"/>
      <c r="I69" s="567"/>
      <c r="J69" s="567"/>
      <c r="K69" s="567"/>
      <c r="L69" s="567"/>
      <c r="M69" s="567"/>
      <c r="N69" s="567"/>
      <c r="O69" s="567"/>
      <c r="P69" s="567"/>
      <c r="Q69" s="567"/>
      <c r="R69" s="567"/>
      <c r="S69" s="567"/>
      <c r="T69" s="567"/>
      <c r="U69" s="567"/>
      <c r="V69" s="567"/>
      <c r="W69" s="567"/>
      <c r="X69" s="567"/>
      <c r="Y69" s="567"/>
      <c r="Z69" s="567"/>
      <c r="AA69" s="567"/>
      <c r="AB69" s="567"/>
      <c r="AC69" s="567"/>
      <c r="AD69" s="567"/>
      <c r="AE69" s="567"/>
      <c r="AF69" s="567"/>
      <c r="AG69" s="567"/>
      <c r="AH69" s="567"/>
      <c r="AI69" s="571"/>
      <c r="AJ69" s="243"/>
      <c r="AK69" s="569"/>
      <c r="AL69" s="121"/>
      <c r="AM69" s="121"/>
      <c r="AN69" s="121"/>
      <c r="AO69" s="121"/>
    </row>
    <row r="70" spans="1:41" x14ac:dyDescent="0.3">
      <c r="A70" s="572"/>
      <c r="B70" s="243"/>
      <c r="C70" s="243"/>
      <c r="D70" s="567"/>
      <c r="E70" s="567"/>
      <c r="F70" s="649"/>
      <c r="G70" s="649"/>
      <c r="H70" s="649"/>
      <c r="I70" s="567"/>
      <c r="J70" s="567"/>
      <c r="K70" s="567"/>
      <c r="L70" s="567"/>
      <c r="M70" s="567"/>
      <c r="N70" s="567"/>
      <c r="O70" s="567"/>
      <c r="P70" s="567"/>
      <c r="Q70" s="567"/>
      <c r="R70" s="567"/>
      <c r="S70" s="567"/>
      <c r="T70" s="567"/>
      <c r="U70" s="567"/>
      <c r="V70" s="567"/>
      <c r="W70" s="567"/>
      <c r="X70" s="567"/>
      <c r="Y70" s="567"/>
      <c r="Z70" s="567"/>
      <c r="AA70" s="567"/>
      <c r="AB70" s="567"/>
      <c r="AC70" s="567"/>
      <c r="AD70" s="567"/>
      <c r="AE70" s="567"/>
      <c r="AF70" s="567"/>
      <c r="AG70" s="567"/>
      <c r="AH70" s="567"/>
      <c r="AI70" s="571"/>
      <c r="AJ70" s="567"/>
      <c r="AK70" s="569"/>
      <c r="AL70" s="121"/>
      <c r="AM70" s="121"/>
      <c r="AN70" s="121"/>
      <c r="AO70" s="121"/>
    </row>
    <row r="71" spans="1:41" x14ac:dyDescent="0.3">
      <c r="A71" s="572" t="s">
        <v>1335</v>
      </c>
      <c r="B71" s="243"/>
      <c r="C71" s="243"/>
      <c r="D71" s="567">
        <f t="shared" ref="D71:AH71" si="17">-D57</f>
        <v>0</v>
      </c>
      <c r="E71" s="567">
        <f t="shared" si="17"/>
        <v>0</v>
      </c>
      <c r="F71" s="649"/>
      <c r="G71" s="649"/>
      <c r="H71" s="649"/>
      <c r="I71" s="567">
        <f t="shared" si="17"/>
        <v>0</v>
      </c>
      <c r="J71" s="567">
        <f t="shared" si="17"/>
        <v>0</v>
      </c>
      <c r="K71" s="567">
        <f t="shared" si="17"/>
        <v>0</v>
      </c>
      <c r="L71" s="567">
        <f t="shared" si="17"/>
        <v>0</v>
      </c>
      <c r="M71" s="567">
        <f t="shared" si="17"/>
        <v>0</v>
      </c>
      <c r="N71" s="567">
        <f t="shared" si="17"/>
        <v>0</v>
      </c>
      <c r="O71" s="567">
        <f t="shared" si="17"/>
        <v>0</v>
      </c>
      <c r="P71" s="567">
        <f t="shared" si="17"/>
        <v>0</v>
      </c>
      <c r="Q71" s="567">
        <f t="shared" si="17"/>
        <v>0</v>
      </c>
      <c r="R71" s="567">
        <f t="shared" si="17"/>
        <v>0</v>
      </c>
      <c r="S71" s="567">
        <f t="shared" si="17"/>
        <v>0</v>
      </c>
      <c r="T71" s="567">
        <f t="shared" si="17"/>
        <v>0</v>
      </c>
      <c r="U71" s="567">
        <f t="shared" si="17"/>
        <v>0</v>
      </c>
      <c r="V71" s="567">
        <f t="shared" si="17"/>
        <v>0</v>
      </c>
      <c r="W71" s="567">
        <f t="shared" si="17"/>
        <v>0</v>
      </c>
      <c r="X71" s="567">
        <f t="shared" si="17"/>
        <v>0</v>
      </c>
      <c r="Y71" s="567">
        <f t="shared" si="17"/>
        <v>0</v>
      </c>
      <c r="Z71" s="567">
        <f t="shared" si="17"/>
        <v>0</v>
      </c>
      <c r="AA71" s="567">
        <f t="shared" si="17"/>
        <v>0</v>
      </c>
      <c r="AB71" s="567">
        <f t="shared" si="17"/>
        <v>0</v>
      </c>
      <c r="AC71" s="567">
        <f t="shared" si="17"/>
        <v>0</v>
      </c>
      <c r="AD71" s="567">
        <f t="shared" si="17"/>
        <v>0</v>
      </c>
      <c r="AE71" s="567">
        <f t="shared" si="17"/>
        <v>0</v>
      </c>
      <c r="AF71" s="567">
        <f t="shared" si="17"/>
        <v>0</v>
      </c>
      <c r="AG71" s="567">
        <f t="shared" si="17"/>
        <v>0</v>
      </c>
      <c r="AH71" s="567">
        <f t="shared" si="17"/>
        <v>0</v>
      </c>
      <c r="AI71" s="584">
        <f>SUM(E71,I71:K71,L71,N71:W71,Y71:Z71,AA71:AA71,AC71:AE71,AG71:AG71,AH71)</f>
        <v>0</v>
      </c>
      <c r="AJ71" s="567">
        <f>-AJ57</f>
        <v>0</v>
      </c>
      <c r="AK71" s="569">
        <f>AI71+AJ71</f>
        <v>0</v>
      </c>
      <c r="AL71" s="121"/>
      <c r="AM71" s="570">
        <f>'9a. Summary Schedules'!C71</f>
        <v>0</v>
      </c>
      <c r="AN71" s="570">
        <f>AK71-AM71</f>
        <v>0</v>
      </c>
      <c r="AO71" s="121"/>
    </row>
    <row r="72" spans="1:41" x14ac:dyDescent="0.3">
      <c r="A72" s="572" t="s">
        <v>1336</v>
      </c>
      <c r="B72" s="243"/>
      <c r="C72" s="243"/>
      <c r="D72" s="567">
        <f t="shared" ref="D72:AH72" si="18">D71/0.86*0.14</f>
        <v>0</v>
      </c>
      <c r="E72" s="567">
        <f t="shared" si="18"/>
        <v>0</v>
      </c>
      <c r="F72" s="649"/>
      <c r="G72" s="649"/>
      <c r="H72" s="649"/>
      <c r="I72" s="567">
        <f t="shared" si="18"/>
        <v>0</v>
      </c>
      <c r="J72" s="567">
        <f t="shared" si="18"/>
        <v>0</v>
      </c>
      <c r="K72" s="567">
        <f t="shared" si="18"/>
        <v>0</v>
      </c>
      <c r="L72" s="567">
        <f t="shared" si="18"/>
        <v>0</v>
      </c>
      <c r="M72" s="567">
        <f t="shared" si="18"/>
        <v>0</v>
      </c>
      <c r="N72" s="567">
        <f t="shared" si="18"/>
        <v>0</v>
      </c>
      <c r="O72" s="567">
        <f t="shared" si="18"/>
        <v>0</v>
      </c>
      <c r="P72" s="567">
        <f t="shared" si="18"/>
        <v>0</v>
      </c>
      <c r="Q72" s="567">
        <f t="shared" si="18"/>
        <v>0</v>
      </c>
      <c r="R72" s="567">
        <f t="shared" si="18"/>
        <v>0</v>
      </c>
      <c r="S72" s="567">
        <f t="shared" si="18"/>
        <v>0</v>
      </c>
      <c r="T72" s="567">
        <f t="shared" si="18"/>
        <v>0</v>
      </c>
      <c r="U72" s="567">
        <f t="shared" si="18"/>
        <v>0</v>
      </c>
      <c r="V72" s="567">
        <f t="shared" si="18"/>
        <v>0</v>
      </c>
      <c r="W72" s="567">
        <f t="shared" si="18"/>
        <v>0</v>
      </c>
      <c r="X72" s="567">
        <f t="shared" si="18"/>
        <v>0</v>
      </c>
      <c r="Y72" s="567">
        <f t="shared" si="18"/>
        <v>0</v>
      </c>
      <c r="Z72" s="567">
        <f t="shared" si="18"/>
        <v>0</v>
      </c>
      <c r="AA72" s="567">
        <f t="shared" si="18"/>
        <v>0</v>
      </c>
      <c r="AB72" s="567">
        <f t="shared" si="18"/>
        <v>0</v>
      </c>
      <c r="AC72" s="567">
        <f>AC71/0.86*0.14</f>
        <v>0</v>
      </c>
      <c r="AD72" s="567">
        <f>AD71/0.86*0.14</f>
        <v>0</v>
      </c>
      <c r="AE72" s="567">
        <f>AE71/0.86*0.14</f>
        <v>0</v>
      </c>
      <c r="AF72" s="567">
        <f t="shared" si="18"/>
        <v>0</v>
      </c>
      <c r="AG72" s="567">
        <f t="shared" si="18"/>
        <v>0</v>
      </c>
      <c r="AH72" s="567">
        <f t="shared" si="18"/>
        <v>0</v>
      </c>
      <c r="AI72" s="584">
        <f>SUM(E72,I72:K72,L72,N72:W72,Y72:Z72,AA72:AA72,AC72:AE72,AG72:AG72,AH72)</f>
        <v>0</v>
      </c>
      <c r="AJ72" s="567">
        <f>AJ71/0.86*0.14</f>
        <v>0</v>
      </c>
      <c r="AK72" s="569">
        <f>AI72+AJ72</f>
        <v>0</v>
      </c>
      <c r="AL72" s="121"/>
      <c r="AM72" s="570">
        <f>'9a. Summary Schedules'!C72</f>
        <v>0</v>
      </c>
      <c r="AN72" s="570">
        <f>AK72-AM72</f>
        <v>0</v>
      </c>
      <c r="AO72" s="121"/>
    </row>
    <row r="73" spans="1:41" x14ac:dyDescent="0.3">
      <c r="A73" s="572"/>
      <c r="B73" s="243"/>
      <c r="C73" s="243"/>
      <c r="D73" s="567"/>
      <c r="E73" s="567"/>
      <c r="F73" s="649"/>
      <c r="G73" s="649"/>
      <c r="H73" s="649"/>
      <c r="I73" s="567"/>
      <c r="J73" s="567"/>
      <c r="K73" s="567"/>
      <c r="L73" s="567"/>
      <c r="M73" s="567"/>
      <c r="N73" s="567"/>
      <c r="O73" s="567"/>
      <c r="P73" s="567"/>
      <c r="Q73" s="567"/>
      <c r="R73" s="567"/>
      <c r="S73" s="567"/>
      <c r="T73" s="567"/>
      <c r="U73" s="567"/>
      <c r="V73" s="567"/>
      <c r="W73" s="567"/>
      <c r="X73" s="567"/>
      <c r="Y73" s="567"/>
      <c r="Z73" s="567"/>
      <c r="AA73" s="567"/>
      <c r="AB73" s="567"/>
      <c r="AC73" s="567"/>
      <c r="AD73" s="567"/>
      <c r="AE73" s="567"/>
      <c r="AF73" s="567"/>
      <c r="AG73" s="567"/>
      <c r="AH73" s="567"/>
      <c r="AI73" s="571"/>
      <c r="AJ73" s="567"/>
      <c r="AK73" s="569"/>
      <c r="AL73" s="121"/>
      <c r="AM73" s="121"/>
      <c r="AN73" s="121"/>
      <c r="AO73" s="121"/>
    </row>
    <row r="74" spans="1:41" x14ac:dyDescent="0.3">
      <c r="A74" s="572" t="s">
        <v>25</v>
      </c>
      <c r="B74" s="243"/>
      <c r="C74" s="243"/>
      <c r="D74" s="567">
        <f t="shared" ref="D74:D79" si="19">SUM(E74:K74)</f>
        <v>-678895652.45999992</v>
      </c>
      <c r="E74" s="567"/>
      <c r="F74" s="649"/>
      <c r="G74" s="649"/>
      <c r="H74" s="649"/>
      <c r="I74" s="567"/>
      <c r="J74" s="567">
        <f>-J39</f>
        <v>-678895652.45999992</v>
      </c>
      <c r="K74" s="567"/>
      <c r="L74" s="567"/>
      <c r="M74" s="567"/>
      <c r="N74" s="567"/>
      <c r="O74" s="567"/>
      <c r="P74" s="567"/>
      <c r="Q74" s="567"/>
      <c r="R74" s="567"/>
      <c r="S74" s="567"/>
      <c r="T74" s="567"/>
      <c r="U74" s="567"/>
      <c r="V74" s="567"/>
      <c r="W74" s="567"/>
      <c r="X74" s="567"/>
      <c r="Y74" s="567"/>
      <c r="Z74" s="567"/>
      <c r="AA74" s="567"/>
      <c r="AB74" s="567"/>
      <c r="AC74" s="567"/>
      <c r="AD74" s="567"/>
      <c r="AE74" s="567"/>
      <c r="AF74" s="567"/>
      <c r="AG74" s="567"/>
      <c r="AH74" s="567"/>
      <c r="AI74" s="584">
        <f t="shared" ref="AI74:AI79" si="20">SUM(E74,I74:K74,L74,N74:W74,Y74:Z74,AA74:AA74,AC74:AE74,AG74:AG74,AH74)</f>
        <v>-678895652.45999992</v>
      </c>
      <c r="AJ74" s="567">
        <f>'9a. Summary Schedules'!D74</f>
        <v>-72749734.219999999</v>
      </c>
      <c r="AK74" s="569">
        <f t="shared" ref="AK74:AK79" si="21">AI74+AJ74</f>
        <v>-751645386.67999995</v>
      </c>
      <c r="AL74" s="121"/>
      <c r="AM74" s="570">
        <f>'9a. Summary Schedules'!C74</f>
        <v>-751645386.67999995</v>
      </c>
      <c r="AN74" s="570">
        <f t="shared" ref="AN74:AN79" si="22">AK74-AM74</f>
        <v>0</v>
      </c>
      <c r="AO74" s="121"/>
    </row>
    <row r="75" spans="1:41" x14ac:dyDescent="0.3">
      <c r="A75" s="572" t="s">
        <v>137</v>
      </c>
      <c r="B75" s="243"/>
      <c r="C75" s="243"/>
      <c r="D75" s="567">
        <f t="shared" si="19"/>
        <v>-110517896.91209303</v>
      </c>
      <c r="E75" s="567"/>
      <c r="F75" s="649"/>
      <c r="G75" s="649"/>
      <c r="H75" s="649"/>
      <c r="I75" s="567"/>
      <c r="J75" s="567">
        <f>J74/0.86*0.14</f>
        <v>-110517896.91209303</v>
      </c>
      <c r="K75" s="567"/>
      <c r="L75" s="567"/>
      <c r="M75" s="567"/>
      <c r="N75" s="567"/>
      <c r="O75" s="567"/>
      <c r="P75" s="567"/>
      <c r="Q75" s="567"/>
      <c r="R75" s="567"/>
      <c r="S75" s="567"/>
      <c r="T75" s="567"/>
      <c r="U75" s="567"/>
      <c r="V75" s="567"/>
      <c r="W75" s="567"/>
      <c r="X75" s="567"/>
      <c r="Y75" s="567"/>
      <c r="Z75" s="567"/>
      <c r="AA75" s="567"/>
      <c r="AB75" s="567"/>
      <c r="AC75" s="567"/>
      <c r="AD75" s="567"/>
      <c r="AE75" s="567"/>
      <c r="AF75" s="567"/>
      <c r="AG75" s="567"/>
      <c r="AH75" s="567"/>
      <c r="AI75" s="584">
        <f t="shared" si="20"/>
        <v>-110517896.91209303</v>
      </c>
      <c r="AJ75" s="567">
        <f>'9a. Summary Schedules'!D75</f>
        <v>-11842979.989302326</v>
      </c>
      <c r="AK75" s="569">
        <f t="shared" si="21"/>
        <v>-122360876.90139535</v>
      </c>
      <c r="AL75" s="121"/>
      <c r="AM75" s="570">
        <f>'9a. Summary Schedules'!C75</f>
        <v>-122360876.90139535</v>
      </c>
      <c r="AN75" s="570">
        <f t="shared" si="22"/>
        <v>0</v>
      </c>
      <c r="AO75" s="121"/>
    </row>
    <row r="76" spans="1:41" x14ac:dyDescent="0.3">
      <c r="A76" s="572" t="s">
        <v>139</v>
      </c>
      <c r="B76" s="243"/>
      <c r="C76" s="243"/>
      <c r="D76" s="567">
        <f t="shared" si="19"/>
        <v>0</v>
      </c>
      <c r="E76" s="567"/>
      <c r="F76" s="649"/>
      <c r="G76" s="649"/>
      <c r="H76" s="649"/>
      <c r="I76" s="567"/>
      <c r="J76" s="567">
        <f>-J65</f>
        <v>0</v>
      </c>
      <c r="K76" s="567"/>
      <c r="L76" s="567"/>
      <c r="M76" s="567"/>
      <c r="N76" s="567"/>
      <c r="O76" s="567"/>
      <c r="P76" s="567"/>
      <c r="Q76" s="567"/>
      <c r="R76" s="567"/>
      <c r="S76" s="567"/>
      <c r="T76" s="567"/>
      <c r="U76" s="567"/>
      <c r="V76" s="567"/>
      <c r="W76" s="567"/>
      <c r="X76" s="567"/>
      <c r="Y76" s="567"/>
      <c r="Z76" s="567"/>
      <c r="AA76" s="567"/>
      <c r="AB76" s="567"/>
      <c r="AC76" s="567"/>
      <c r="AD76" s="567"/>
      <c r="AE76" s="567"/>
      <c r="AF76" s="567"/>
      <c r="AG76" s="567"/>
      <c r="AH76" s="567"/>
      <c r="AI76" s="584">
        <f t="shared" si="20"/>
        <v>0</v>
      </c>
      <c r="AJ76" s="567">
        <f>'9a. Summary Schedules'!D76</f>
        <v>0</v>
      </c>
      <c r="AK76" s="569">
        <f t="shared" si="21"/>
        <v>0</v>
      </c>
      <c r="AL76" s="121"/>
      <c r="AM76" s="570">
        <f>'9a. Summary Schedules'!C76</f>
        <v>0</v>
      </c>
      <c r="AN76" s="570">
        <f t="shared" si="22"/>
        <v>0</v>
      </c>
      <c r="AO76" s="121"/>
    </row>
    <row r="77" spans="1:41" x14ac:dyDescent="0.3">
      <c r="A77" s="585" t="str">
        <f>'9a. Summary Schedules'!A77</f>
        <v>Plus: Base Rate Fuel @ 1.416 cents per kWh</v>
      </c>
      <c r="B77" s="586">
        <f>'9a. Summary Schedules'!B77</f>
        <v>1.4160000000000001E-2</v>
      </c>
      <c r="C77" s="243"/>
      <c r="D77" s="567">
        <f t="shared" si="19"/>
        <v>317042422.25951999</v>
      </c>
      <c r="E77" s="567"/>
      <c r="F77" s="649"/>
      <c r="G77" s="649"/>
      <c r="H77" s="649"/>
      <c r="I77" s="567"/>
      <c r="J77" s="567">
        <f>J89*B77</f>
        <v>317042422.25951999</v>
      </c>
      <c r="K77" s="567"/>
      <c r="L77" s="567"/>
      <c r="M77" s="567"/>
      <c r="N77" s="567"/>
      <c r="O77" s="567"/>
      <c r="P77" s="567"/>
      <c r="Q77" s="567"/>
      <c r="R77" s="567"/>
      <c r="S77" s="567"/>
      <c r="T77" s="567"/>
      <c r="U77" s="567"/>
      <c r="V77" s="567"/>
      <c r="W77" s="567"/>
      <c r="X77" s="567"/>
      <c r="Y77" s="567"/>
      <c r="Z77" s="567"/>
      <c r="AA77" s="567"/>
      <c r="AB77" s="567"/>
      <c r="AC77" s="567"/>
      <c r="AD77" s="567"/>
      <c r="AE77" s="567"/>
      <c r="AF77" s="567"/>
      <c r="AG77" s="567"/>
      <c r="AH77" s="567"/>
      <c r="AI77" s="584">
        <f t="shared" si="20"/>
        <v>317042422.25951999</v>
      </c>
      <c r="AJ77" s="567">
        <f>'9a. Summary Schedules'!D77</f>
        <v>0</v>
      </c>
      <c r="AK77" s="569">
        <f t="shared" si="21"/>
        <v>317042422.25951999</v>
      </c>
      <c r="AL77" s="121"/>
      <c r="AM77" s="570">
        <f>'9a. Summary Schedules'!C77</f>
        <v>317042422.25951999</v>
      </c>
      <c r="AN77" s="570">
        <f t="shared" si="22"/>
        <v>0</v>
      </c>
      <c r="AO77" s="121"/>
    </row>
    <row r="78" spans="1:41" x14ac:dyDescent="0.3">
      <c r="A78" s="585" t="str">
        <f>'9a. Summary Schedules'!A78</f>
        <v>Plus: Base Rate Fuel @ $2.2 per MCF</v>
      </c>
      <c r="B78" s="243"/>
      <c r="C78" s="243"/>
      <c r="D78" s="567">
        <f t="shared" si="19"/>
        <v>0</v>
      </c>
      <c r="E78" s="567"/>
      <c r="F78" s="649"/>
      <c r="G78" s="649"/>
      <c r="H78" s="649"/>
      <c r="I78" s="567"/>
      <c r="J78" s="567"/>
      <c r="K78" s="567"/>
      <c r="L78" s="567"/>
      <c r="M78" s="567"/>
      <c r="N78" s="567"/>
      <c r="O78" s="567"/>
      <c r="P78" s="567"/>
      <c r="Q78" s="567"/>
      <c r="R78" s="567"/>
      <c r="S78" s="567"/>
      <c r="T78" s="567"/>
      <c r="U78" s="567"/>
      <c r="V78" s="567"/>
      <c r="W78" s="567"/>
      <c r="X78" s="567"/>
      <c r="Y78" s="567"/>
      <c r="Z78" s="567"/>
      <c r="AA78" s="567"/>
      <c r="AB78" s="567"/>
      <c r="AC78" s="567"/>
      <c r="AD78" s="567"/>
      <c r="AE78" s="567"/>
      <c r="AF78" s="567"/>
      <c r="AG78" s="567"/>
      <c r="AH78" s="567"/>
      <c r="AI78" s="584">
        <f t="shared" si="20"/>
        <v>0</v>
      </c>
      <c r="AJ78" s="567">
        <f>'9a. Summary Schedules'!D78</f>
        <v>53285048.960000008</v>
      </c>
      <c r="AK78" s="569">
        <f t="shared" si="21"/>
        <v>53285048.960000008</v>
      </c>
      <c r="AL78" s="121"/>
      <c r="AM78" s="570">
        <f>'9a. Summary Schedules'!C78</f>
        <v>53285048.960000008</v>
      </c>
      <c r="AN78" s="570">
        <f t="shared" si="22"/>
        <v>0</v>
      </c>
      <c r="AO78" s="121"/>
    </row>
    <row r="79" spans="1:41" x14ac:dyDescent="0.3">
      <c r="A79" s="572" t="s">
        <v>27</v>
      </c>
      <c r="B79" s="243"/>
      <c r="C79" s="243"/>
      <c r="D79" s="567">
        <f t="shared" si="19"/>
        <v>51611557.11201489</v>
      </c>
      <c r="E79" s="567"/>
      <c r="F79" s="649"/>
      <c r="G79" s="649"/>
      <c r="H79" s="649"/>
      <c r="I79" s="567"/>
      <c r="J79" s="567">
        <f>(J77+J78)/0.86*0.14</f>
        <v>51611557.11201489</v>
      </c>
      <c r="K79" s="567"/>
      <c r="L79" s="567"/>
      <c r="M79" s="567"/>
      <c r="N79" s="567"/>
      <c r="O79" s="567"/>
      <c r="P79" s="567"/>
      <c r="Q79" s="567"/>
      <c r="R79" s="567"/>
      <c r="S79" s="567"/>
      <c r="T79" s="567"/>
      <c r="U79" s="567"/>
      <c r="V79" s="567"/>
      <c r="W79" s="567"/>
      <c r="X79" s="567"/>
      <c r="Y79" s="567"/>
      <c r="Z79" s="567"/>
      <c r="AA79" s="567"/>
      <c r="AB79" s="567"/>
      <c r="AC79" s="567"/>
      <c r="AD79" s="567"/>
      <c r="AE79" s="567"/>
      <c r="AF79" s="567"/>
      <c r="AG79" s="567"/>
      <c r="AH79" s="567"/>
      <c r="AI79" s="584">
        <f t="shared" si="20"/>
        <v>51611557.11201489</v>
      </c>
      <c r="AJ79" s="567">
        <f>'9a. Summary Schedules'!D79</f>
        <v>8674310.2958139554</v>
      </c>
      <c r="AK79" s="569">
        <f t="shared" si="21"/>
        <v>60285867.407828845</v>
      </c>
      <c r="AL79" s="121"/>
      <c r="AM79" s="570">
        <f>'9a. Summary Schedules'!C79</f>
        <v>60285867.407828845</v>
      </c>
      <c r="AN79" s="570">
        <f t="shared" si="22"/>
        <v>0</v>
      </c>
      <c r="AO79" s="121"/>
    </row>
    <row r="80" spans="1:41" x14ac:dyDescent="0.3">
      <c r="A80" s="572"/>
      <c r="B80" s="243"/>
      <c r="C80" s="243"/>
      <c r="D80" s="567"/>
      <c r="E80" s="567"/>
      <c r="F80" s="649"/>
      <c r="G80" s="649"/>
      <c r="H80" s="649"/>
      <c r="I80" s="567"/>
      <c r="J80" s="567"/>
      <c r="K80" s="567"/>
      <c r="L80" s="567"/>
      <c r="M80" s="567"/>
      <c r="N80" s="567"/>
      <c r="O80" s="567"/>
      <c r="P80" s="567"/>
      <c r="Q80" s="567"/>
      <c r="R80" s="567"/>
      <c r="S80" s="567"/>
      <c r="T80" s="567"/>
      <c r="U80" s="567"/>
      <c r="V80" s="567"/>
      <c r="W80" s="567"/>
      <c r="X80" s="567"/>
      <c r="Y80" s="567"/>
      <c r="Z80" s="567"/>
      <c r="AA80" s="567"/>
      <c r="AB80" s="567"/>
      <c r="AC80" s="567"/>
      <c r="AD80" s="567"/>
      <c r="AE80" s="567"/>
      <c r="AF80" s="567"/>
      <c r="AG80" s="567"/>
      <c r="AH80" s="567"/>
      <c r="AI80" s="584"/>
      <c r="AJ80" s="567"/>
      <c r="AK80" s="569"/>
      <c r="AL80" s="121"/>
      <c r="AM80" s="570"/>
      <c r="AN80" s="570"/>
      <c r="AO80" s="121"/>
    </row>
    <row r="81" spans="1:41" x14ac:dyDescent="0.3">
      <c r="A81" s="572" t="s">
        <v>147</v>
      </c>
      <c r="B81" s="243"/>
      <c r="C81" s="243"/>
      <c r="D81" s="567"/>
      <c r="E81" s="567"/>
      <c r="F81" s="649"/>
      <c r="G81" s="649"/>
      <c r="H81" s="649"/>
      <c r="I81" s="567"/>
      <c r="J81" s="567"/>
      <c r="K81" s="567"/>
      <c r="L81" s="567">
        <f>-(L67+L71+L72)</f>
        <v>-106616289.20890507</v>
      </c>
      <c r="M81" s="567"/>
      <c r="N81" s="567"/>
      <c r="O81" s="567"/>
      <c r="P81" s="567"/>
      <c r="Q81" s="567"/>
      <c r="R81" s="567"/>
      <c r="S81" s="567"/>
      <c r="T81" s="567"/>
      <c r="U81" s="567"/>
      <c r="V81" s="567"/>
      <c r="W81" s="567"/>
      <c r="X81" s="567"/>
      <c r="Y81" s="567"/>
      <c r="Z81" s="567"/>
      <c r="AA81" s="567"/>
      <c r="AB81" s="567"/>
      <c r="AC81" s="567"/>
      <c r="AD81" s="567"/>
      <c r="AE81" s="567"/>
      <c r="AF81" s="567"/>
      <c r="AG81" s="567"/>
      <c r="AH81" s="567"/>
      <c r="AI81" s="584">
        <f>SUM(E81,I81:K81,L81,N81:W81,Y81:Z81,AA81:AA81,AC81:AE81,AG81:AG81,AH81)</f>
        <v>-106616289.20890507</v>
      </c>
      <c r="AJ81" s="567">
        <f>'9a. Summary Schedules'!D81</f>
        <v>0</v>
      </c>
      <c r="AK81" s="569">
        <f>AI81+AJ81</f>
        <v>-106616289.20890507</v>
      </c>
      <c r="AL81" s="121"/>
      <c r="AM81" s="570">
        <f>'9a. Summary Schedules'!C81</f>
        <v>-106616289.20890507</v>
      </c>
      <c r="AN81" s="570">
        <f>AK81-AM81</f>
        <v>0</v>
      </c>
      <c r="AO81" s="121"/>
    </row>
    <row r="82" spans="1:41" x14ac:dyDescent="0.3">
      <c r="A82" s="572" t="s">
        <v>149</v>
      </c>
      <c r="B82" s="243"/>
      <c r="C82" s="586">
        <f>'9a. Summary Schedules'!B82</f>
        <v>15.536849999999999</v>
      </c>
      <c r="D82" s="567"/>
      <c r="E82" s="567"/>
      <c r="F82" s="649"/>
      <c r="G82" s="649"/>
      <c r="H82" s="649"/>
      <c r="I82" s="567"/>
      <c r="J82" s="567"/>
      <c r="K82" s="567"/>
      <c r="L82" s="567">
        <f>L90*C82</f>
        <v>70018316.938394994</v>
      </c>
      <c r="M82" s="567"/>
      <c r="N82" s="567"/>
      <c r="O82" s="567"/>
      <c r="P82" s="567"/>
      <c r="Q82" s="567"/>
      <c r="R82" s="567"/>
      <c r="S82" s="567"/>
      <c r="T82" s="567"/>
      <c r="U82" s="567"/>
      <c r="V82" s="567"/>
      <c r="W82" s="567"/>
      <c r="X82" s="567"/>
      <c r="Y82" s="567"/>
      <c r="Z82" s="567"/>
      <c r="AA82" s="567"/>
      <c r="AB82" s="567"/>
      <c r="AC82" s="567"/>
      <c r="AD82" s="567"/>
      <c r="AE82" s="567"/>
      <c r="AF82" s="567"/>
      <c r="AG82" s="567"/>
      <c r="AH82" s="243"/>
      <c r="AI82" s="584">
        <f>SUM(E82,I82:K82,L82,N82:W82,Y82:Z82,AA82:AA82,AC82:AE82,AG82:AG82,AH82)</f>
        <v>70018316.938394994</v>
      </c>
      <c r="AJ82" s="567">
        <f>'9a. Summary Schedules'!D82</f>
        <v>0</v>
      </c>
      <c r="AK82" s="569">
        <f>AI82+AJ82</f>
        <v>70018316.938394994</v>
      </c>
      <c r="AL82" s="121"/>
      <c r="AM82" s="570">
        <f>'9a. Summary Schedules'!C82</f>
        <v>70018316.938394994</v>
      </c>
      <c r="AN82" s="570">
        <f>AK82-AM82</f>
        <v>0</v>
      </c>
      <c r="AO82" s="121"/>
    </row>
    <row r="83" spans="1:41" x14ac:dyDescent="0.3">
      <c r="A83" s="572"/>
      <c r="B83" s="243"/>
      <c r="C83" s="243"/>
      <c r="D83" s="567"/>
      <c r="E83" s="567"/>
      <c r="F83" s="649"/>
      <c r="G83" s="649"/>
      <c r="H83" s="649"/>
      <c r="I83" s="567"/>
      <c r="J83" s="567"/>
      <c r="K83" s="567"/>
      <c r="L83" s="567"/>
      <c r="M83" s="567"/>
      <c r="N83" s="567"/>
      <c r="O83" s="567"/>
      <c r="P83" s="567"/>
      <c r="Q83" s="567"/>
      <c r="R83" s="567"/>
      <c r="S83" s="567"/>
      <c r="T83" s="567"/>
      <c r="U83" s="567"/>
      <c r="V83" s="567"/>
      <c r="W83" s="567"/>
      <c r="X83" s="567"/>
      <c r="Y83" s="567"/>
      <c r="Z83" s="567"/>
      <c r="AA83" s="567"/>
      <c r="AB83" s="567"/>
      <c r="AC83" s="567"/>
      <c r="AD83" s="567"/>
      <c r="AE83" s="567"/>
      <c r="AF83" s="567"/>
      <c r="AG83" s="567"/>
      <c r="AH83" s="243"/>
      <c r="AI83" s="584"/>
      <c r="AJ83" s="567"/>
      <c r="AK83" s="244"/>
      <c r="AL83" s="121"/>
      <c r="AM83" s="121"/>
      <c r="AN83" s="121"/>
      <c r="AO83" s="121"/>
    </row>
    <row r="84" spans="1:41" x14ac:dyDescent="0.3">
      <c r="A84" s="572" t="s">
        <v>29</v>
      </c>
      <c r="B84" s="243"/>
      <c r="C84" s="243"/>
      <c r="D84" s="567">
        <f>SUM(E84:K84)</f>
        <v>0</v>
      </c>
      <c r="E84" s="567">
        <v>0</v>
      </c>
      <c r="F84" s="649"/>
      <c r="G84" s="649"/>
      <c r="H84" s="649"/>
      <c r="I84" s="567">
        <v>0</v>
      </c>
      <c r="J84" s="567">
        <v>0</v>
      </c>
      <c r="K84" s="567">
        <v>0</v>
      </c>
      <c r="L84" s="567">
        <v>0</v>
      </c>
      <c r="M84" s="567">
        <v>0</v>
      </c>
      <c r="N84" s="567">
        <v>0</v>
      </c>
      <c r="O84" s="567">
        <v>0</v>
      </c>
      <c r="P84" s="567">
        <v>0</v>
      </c>
      <c r="Q84" s="567">
        <v>0</v>
      </c>
      <c r="R84" s="567">
        <v>0</v>
      </c>
      <c r="S84" s="567">
        <v>0</v>
      </c>
      <c r="T84" s="567">
        <v>0</v>
      </c>
      <c r="U84" s="567">
        <v>0</v>
      </c>
      <c r="V84" s="567">
        <v>0</v>
      </c>
      <c r="W84" s="567">
        <v>0</v>
      </c>
      <c r="X84" s="567">
        <v>0</v>
      </c>
      <c r="Y84" s="567">
        <v>0</v>
      </c>
      <c r="Z84" s="567">
        <v>0</v>
      </c>
      <c r="AA84" s="567">
        <v>0</v>
      </c>
      <c r="AB84" s="567">
        <v>0</v>
      </c>
      <c r="AC84" s="567">
        <v>0</v>
      </c>
      <c r="AD84" s="567">
        <v>0</v>
      </c>
      <c r="AE84" s="567">
        <v>0</v>
      </c>
      <c r="AF84" s="567">
        <v>0</v>
      </c>
      <c r="AG84" s="567">
        <v>0</v>
      </c>
      <c r="AH84" s="567">
        <f>'9a. Summary Schedules'!M84</f>
        <v>6893316.1699999999</v>
      </c>
      <c r="AI84" s="584">
        <f t="shared" ref="AI84:AI87" si="23">SUM(E84,I84:K84,L84,N84:W84,Y84:Z84,AA84:AA84,AC84:AE84,AG84:AG84,AH84)</f>
        <v>6893316.1699999999</v>
      </c>
      <c r="AJ84" s="567">
        <f>'9a. Summary Schedules'!D84</f>
        <v>1235594.3999999999</v>
      </c>
      <c r="AK84" s="569">
        <f>AI84+AJ84</f>
        <v>8128910.5700000003</v>
      </c>
      <c r="AL84" s="121"/>
      <c r="AM84" s="570">
        <f>'9a. Summary Schedules'!C84</f>
        <v>8128910.5700000003</v>
      </c>
      <c r="AN84" s="570">
        <f>AK84-AM84</f>
        <v>0</v>
      </c>
      <c r="AO84" s="121"/>
    </row>
    <row r="85" spans="1:41" x14ac:dyDescent="0.3">
      <c r="A85" s="572"/>
      <c r="B85" s="243"/>
      <c r="C85" s="243"/>
      <c r="D85" s="567"/>
      <c r="E85" s="567"/>
      <c r="F85" s="649"/>
      <c r="G85" s="649"/>
      <c r="H85" s="649"/>
      <c r="I85" s="567"/>
      <c r="J85" s="567"/>
      <c r="K85" s="567"/>
      <c r="L85" s="567"/>
      <c r="M85" s="567"/>
      <c r="N85" s="567"/>
      <c r="O85" s="567"/>
      <c r="P85" s="567"/>
      <c r="Q85" s="567"/>
      <c r="R85" s="567"/>
      <c r="S85" s="567"/>
      <c r="T85" s="567"/>
      <c r="U85" s="567"/>
      <c r="V85" s="567"/>
      <c r="W85" s="567"/>
      <c r="X85" s="567"/>
      <c r="Y85" s="567"/>
      <c r="Z85" s="567"/>
      <c r="AA85" s="567"/>
      <c r="AB85" s="567"/>
      <c r="AC85" s="567"/>
      <c r="AD85" s="567"/>
      <c r="AE85" s="567"/>
      <c r="AF85" s="567"/>
      <c r="AG85" s="567"/>
      <c r="AH85" s="567"/>
      <c r="AI85" s="584"/>
      <c r="AJ85" s="567"/>
      <c r="AK85" s="569"/>
      <c r="AL85" s="121"/>
      <c r="AM85" s="121"/>
      <c r="AN85" s="121"/>
      <c r="AO85" s="121"/>
    </row>
    <row r="86" spans="1:41" x14ac:dyDescent="0.3">
      <c r="A86" s="572" t="s">
        <v>24</v>
      </c>
      <c r="B86" s="243"/>
      <c r="C86" s="243"/>
      <c r="D86" s="567">
        <f t="shared" ref="D86:AH86" si="24">SUM(D67:D85)</f>
        <v>1085566772.4274287</v>
      </c>
      <c r="E86" s="567">
        <f t="shared" si="24"/>
        <v>566909993.11332762</v>
      </c>
      <c r="F86" s="649"/>
      <c r="G86" s="649"/>
      <c r="H86" s="649"/>
      <c r="I86" s="567">
        <f t="shared" si="24"/>
        <v>118908331.26814722</v>
      </c>
      <c r="J86" s="567">
        <f t="shared" si="24"/>
        <v>368653979.37153488</v>
      </c>
      <c r="K86" s="567">
        <f t="shared" si="24"/>
        <v>31094468.674418602</v>
      </c>
      <c r="L86" s="567">
        <f t="shared" si="24"/>
        <v>70018316.938394994</v>
      </c>
      <c r="M86" s="567">
        <f t="shared" si="24"/>
        <v>356478701.34147775</v>
      </c>
      <c r="N86" s="567">
        <f t="shared" si="24"/>
        <v>74707672.37917994</v>
      </c>
      <c r="O86" s="567">
        <f t="shared" si="24"/>
        <v>106642741.65398154</v>
      </c>
      <c r="P86" s="567">
        <f t="shared" si="24"/>
        <v>28930671.784362514</v>
      </c>
      <c r="Q86" s="567">
        <f t="shared" si="24"/>
        <v>17887362.880818903</v>
      </c>
      <c r="R86" s="567">
        <f t="shared" si="24"/>
        <v>60523550.518896483</v>
      </c>
      <c r="S86" s="567">
        <f t="shared" si="24"/>
        <v>17294105.029983826</v>
      </c>
      <c r="T86" s="567">
        <f t="shared" si="24"/>
        <v>19553535.60463034</v>
      </c>
      <c r="U86" s="567">
        <f t="shared" si="24"/>
        <v>11444443.892670283</v>
      </c>
      <c r="V86" s="567">
        <f t="shared" si="24"/>
        <v>17561956.646479882</v>
      </c>
      <c r="W86" s="567">
        <f t="shared" si="24"/>
        <v>1932660.9504740867</v>
      </c>
      <c r="X86" s="567">
        <f t="shared" si="24"/>
        <v>66444120.320384622</v>
      </c>
      <c r="Y86" s="567">
        <f t="shared" si="24"/>
        <v>51022655.37992806</v>
      </c>
      <c r="Z86" s="567">
        <f t="shared" si="24"/>
        <v>15421464.94045656</v>
      </c>
      <c r="AA86" s="567">
        <f t="shared" si="24"/>
        <v>5752190.4545248505</v>
      </c>
      <c r="AB86" s="567">
        <f t="shared" si="24"/>
        <v>35015366.376924582</v>
      </c>
      <c r="AC86" s="567">
        <f t="shared" si="24"/>
        <v>33779902.977727875</v>
      </c>
      <c r="AD86" s="567">
        <f t="shared" si="24"/>
        <v>1235463.3991966995</v>
      </c>
      <c r="AE86" s="567">
        <f t="shared" si="24"/>
        <v>0</v>
      </c>
      <c r="AF86" s="567">
        <f t="shared" si="24"/>
        <v>20591241.072095111</v>
      </c>
      <c r="AG86" s="567">
        <f t="shared" si="24"/>
        <v>20591241.072095111</v>
      </c>
      <c r="AH86" s="567">
        <f t="shared" si="24"/>
        <v>-3851778.8473685458</v>
      </c>
      <c r="AI86" s="584">
        <f t="shared" si="23"/>
        <v>1636014930.0838618</v>
      </c>
      <c r="AJ86" s="567">
        <f>SUM(AJ67:AJ85)</f>
        <v>159048136.46066856</v>
      </c>
      <c r="AK86" s="569">
        <f>SUM(AK67:AK85)</f>
        <v>1795063066.5445304</v>
      </c>
      <c r="AL86" s="121"/>
      <c r="AM86" s="570">
        <f>'9a. Summary Schedules'!C86</f>
        <v>1795063066.5445304</v>
      </c>
      <c r="AN86" s="570">
        <f>AK86-AM86</f>
        <v>0</v>
      </c>
      <c r="AO86" s="121"/>
    </row>
    <row r="87" spans="1:41" x14ac:dyDescent="0.3">
      <c r="A87" s="572" t="s">
        <v>28</v>
      </c>
      <c r="B87" s="243"/>
      <c r="C87" s="243"/>
      <c r="D87" s="567">
        <f>D86</f>
        <v>1085566772.4274287</v>
      </c>
      <c r="E87" s="567">
        <f>E86</f>
        <v>566909993.11332762</v>
      </c>
      <c r="F87" s="649"/>
      <c r="G87" s="649"/>
      <c r="H87" s="649"/>
      <c r="I87" s="567">
        <f>I86</f>
        <v>118908331.26814722</v>
      </c>
      <c r="J87" s="567">
        <f>J86</f>
        <v>368653979.37153488</v>
      </c>
      <c r="K87" s="567">
        <f>K86</f>
        <v>31094468.674418602</v>
      </c>
      <c r="L87" s="567">
        <f t="shared" ref="L87:Q87" si="25">L86</f>
        <v>70018316.938394994</v>
      </c>
      <c r="M87" s="567">
        <f t="shared" si="25"/>
        <v>356478701.34147775</v>
      </c>
      <c r="N87" s="567">
        <f t="shared" si="25"/>
        <v>74707672.37917994</v>
      </c>
      <c r="O87" s="567">
        <f t="shared" si="25"/>
        <v>106642741.65398154</v>
      </c>
      <c r="P87" s="567">
        <f t="shared" si="25"/>
        <v>28930671.784362514</v>
      </c>
      <c r="Q87" s="567">
        <f t="shared" si="25"/>
        <v>17887362.880818903</v>
      </c>
      <c r="R87" s="567">
        <f t="shared" ref="R87:AG87" si="26">R86</f>
        <v>60523550.518896483</v>
      </c>
      <c r="S87" s="567">
        <f t="shared" si="26"/>
        <v>17294105.029983826</v>
      </c>
      <c r="T87" s="567">
        <f t="shared" si="26"/>
        <v>19553535.60463034</v>
      </c>
      <c r="U87" s="567">
        <f t="shared" si="26"/>
        <v>11444443.892670283</v>
      </c>
      <c r="V87" s="567">
        <f t="shared" si="26"/>
        <v>17561956.646479882</v>
      </c>
      <c r="W87" s="567">
        <f t="shared" si="26"/>
        <v>1932660.9504740867</v>
      </c>
      <c r="X87" s="567">
        <f t="shared" si="26"/>
        <v>66444120.320384622</v>
      </c>
      <c r="Y87" s="567">
        <f t="shared" si="26"/>
        <v>51022655.37992806</v>
      </c>
      <c r="Z87" s="567">
        <f t="shared" si="26"/>
        <v>15421464.94045656</v>
      </c>
      <c r="AA87" s="567">
        <f t="shared" si="26"/>
        <v>5752190.4545248505</v>
      </c>
      <c r="AB87" s="567">
        <f t="shared" si="26"/>
        <v>35015366.376924582</v>
      </c>
      <c r="AC87" s="567">
        <f>AC86</f>
        <v>33779902.977727875</v>
      </c>
      <c r="AD87" s="567">
        <f>AD86</f>
        <v>1235463.3991966995</v>
      </c>
      <c r="AE87" s="567">
        <f>AE86</f>
        <v>0</v>
      </c>
      <c r="AF87" s="567">
        <f t="shared" si="26"/>
        <v>20591241.072095111</v>
      </c>
      <c r="AG87" s="567">
        <f t="shared" si="26"/>
        <v>20591241.072095111</v>
      </c>
      <c r="AH87" s="567"/>
      <c r="AI87" s="584">
        <f t="shared" si="23"/>
        <v>1639866708.9312303</v>
      </c>
      <c r="AJ87" s="567">
        <f>'9a. Summary Schedules'!D87</f>
        <v>158696924.50849289</v>
      </c>
      <c r="AK87" s="569">
        <f>AI87+AJ87</f>
        <v>1798563633.4397233</v>
      </c>
      <c r="AL87" s="121"/>
      <c r="AM87" s="570">
        <f>'9a. Summary Schedules'!C87</f>
        <v>1798563633.4397235</v>
      </c>
      <c r="AN87" s="570">
        <f>AK87-AM87</f>
        <v>0</v>
      </c>
      <c r="AO87" s="121"/>
    </row>
    <row r="88" spans="1:41" x14ac:dyDescent="0.3">
      <c r="A88" s="572"/>
      <c r="B88" s="243"/>
      <c r="C88" s="243"/>
      <c r="D88" s="567"/>
      <c r="E88" s="567"/>
      <c r="F88" s="649"/>
      <c r="G88" s="649"/>
      <c r="H88" s="649"/>
      <c r="I88" s="567"/>
      <c r="J88" s="567"/>
      <c r="K88" s="567"/>
      <c r="L88" s="567"/>
      <c r="M88" s="567"/>
      <c r="N88" s="567"/>
      <c r="O88" s="567"/>
      <c r="P88" s="567"/>
      <c r="Q88" s="567"/>
      <c r="R88" s="567"/>
      <c r="S88" s="567"/>
      <c r="T88" s="567"/>
      <c r="U88" s="567"/>
      <c r="V88" s="567"/>
      <c r="W88" s="567"/>
      <c r="X88" s="567"/>
      <c r="Y88" s="567"/>
      <c r="Z88" s="567"/>
      <c r="AA88" s="567"/>
      <c r="AB88" s="567"/>
      <c r="AC88" s="567"/>
      <c r="AD88" s="567"/>
      <c r="AE88" s="567"/>
      <c r="AF88" s="567"/>
      <c r="AG88" s="567"/>
      <c r="AH88" s="567"/>
      <c r="AI88" s="571"/>
      <c r="AJ88" s="243"/>
      <c r="AK88" s="569"/>
      <c r="AL88" s="121"/>
      <c r="AM88" s="121"/>
      <c r="AN88" s="121"/>
      <c r="AO88" s="121"/>
    </row>
    <row r="89" spans="1:41" x14ac:dyDescent="0.3">
      <c r="A89" s="572" t="s">
        <v>26</v>
      </c>
      <c r="B89" s="243"/>
      <c r="C89" s="243"/>
      <c r="D89" s="567"/>
      <c r="E89" s="567"/>
      <c r="F89" s="649"/>
      <c r="G89" s="649"/>
      <c r="H89" s="649"/>
      <c r="I89" s="567"/>
      <c r="J89" s="567">
        <f>'9a. Summary Schedules'!F89</f>
        <v>22390001572</v>
      </c>
      <c r="K89" s="567"/>
      <c r="L89" s="567"/>
      <c r="M89" s="567"/>
      <c r="N89" s="567"/>
      <c r="O89" s="567"/>
      <c r="P89" s="567"/>
      <c r="Q89" s="567"/>
      <c r="R89" s="567"/>
      <c r="S89" s="567"/>
      <c r="T89" s="567"/>
      <c r="U89" s="567"/>
      <c r="V89" s="567"/>
      <c r="W89" s="567"/>
      <c r="X89" s="567"/>
      <c r="Y89" s="567"/>
      <c r="Z89" s="567"/>
      <c r="AA89" s="567"/>
      <c r="AB89" s="567"/>
      <c r="AC89" s="567"/>
      <c r="AD89" s="567"/>
      <c r="AE89" s="567"/>
      <c r="AF89" s="567"/>
      <c r="AG89" s="567"/>
      <c r="AH89" s="567"/>
      <c r="AI89" s="573"/>
      <c r="AJ89" s="243"/>
      <c r="AK89" s="569"/>
      <c r="AL89" s="121"/>
      <c r="AM89" s="121"/>
      <c r="AN89" s="121"/>
      <c r="AO89" s="121"/>
    </row>
    <row r="90" spans="1:41" ht="13.5" thickBot="1" x14ac:dyDescent="0.35">
      <c r="A90" s="587" t="s">
        <v>153</v>
      </c>
      <c r="B90" s="588"/>
      <c r="C90" s="588"/>
      <c r="D90" s="589"/>
      <c r="E90" s="589"/>
      <c r="F90" s="589"/>
      <c r="G90" s="589"/>
      <c r="H90" s="589"/>
      <c r="I90" s="589"/>
      <c r="J90" s="589"/>
      <c r="K90" s="589"/>
      <c r="L90" s="589">
        <f>'9a. Summary Schedules'!G90</f>
        <v>4506596.7</v>
      </c>
      <c r="M90" s="589"/>
      <c r="N90" s="589"/>
      <c r="O90" s="589"/>
      <c r="P90" s="589"/>
      <c r="Q90" s="589"/>
      <c r="R90" s="589"/>
      <c r="S90" s="589"/>
      <c r="T90" s="589"/>
      <c r="U90" s="589"/>
      <c r="V90" s="589"/>
      <c r="W90" s="589"/>
      <c r="X90" s="589"/>
      <c r="Y90" s="589"/>
      <c r="Z90" s="589"/>
      <c r="AA90" s="589"/>
      <c r="AB90" s="589"/>
      <c r="AC90" s="589"/>
      <c r="AD90" s="589"/>
      <c r="AE90" s="589"/>
      <c r="AF90" s="589"/>
      <c r="AG90" s="589"/>
      <c r="AH90" s="589"/>
      <c r="AI90" s="590"/>
      <c r="AJ90" s="588"/>
      <c r="AK90" s="591"/>
      <c r="AL90" s="121"/>
      <c r="AM90" s="121"/>
      <c r="AN90" s="121"/>
      <c r="AO90" s="121"/>
    </row>
    <row r="91" spans="1:41" x14ac:dyDescent="0.3">
      <c r="A91" s="43"/>
      <c r="B91" s="35"/>
      <c r="C91" s="35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39"/>
      <c r="AJ91" s="35"/>
      <c r="AK91" s="111"/>
    </row>
    <row r="92" spans="1:41" ht="13.5" thickBot="1" x14ac:dyDescent="0.35">
      <c r="A92" s="43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</row>
    <row r="93" spans="1:41" x14ac:dyDescent="0.3">
      <c r="A93" s="205" t="str">
        <f>A1</f>
        <v>CPS Energy</v>
      </c>
      <c r="B93" s="206"/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52" t="s">
        <v>1041</v>
      </c>
      <c r="AJ93" s="253"/>
      <c r="AK93" s="254"/>
    </row>
    <row r="94" spans="1:41" x14ac:dyDescent="0.3">
      <c r="A94" s="209" t="s">
        <v>1311</v>
      </c>
      <c r="B94" s="182"/>
      <c r="C94" s="182"/>
      <c r="D94" s="183"/>
      <c r="E94" s="183"/>
      <c r="F94" s="183"/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3"/>
      <c r="T94" s="183"/>
      <c r="U94" s="183"/>
      <c r="V94" s="183"/>
      <c r="W94" s="183"/>
      <c r="X94" s="183"/>
      <c r="Y94" s="183"/>
      <c r="Z94" s="183"/>
      <c r="AA94" s="183"/>
      <c r="AB94" s="183"/>
      <c r="AC94" s="183"/>
      <c r="AD94" s="183"/>
      <c r="AE94" s="183"/>
      <c r="AF94" s="183"/>
      <c r="AG94" s="183"/>
      <c r="AH94" s="183"/>
      <c r="AI94" s="189"/>
      <c r="AJ94" s="183"/>
      <c r="AK94" s="210"/>
    </row>
    <row r="95" spans="1:41" x14ac:dyDescent="0.3">
      <c r="A95" s="255" t="s">
        <v>32</v>
      </c>
      <c r="B95" s="190"/>
      <c r="C95" s="191"/>
      <c r="D95" s="256"/>
      <c r="E95" s="256"/>
      <c r="F95" s="256"/>
      <c r="G95" s="256"/>
      <c r="H95" s="256"/>
      <c r="I95" s="256"/>
      <c r="J95" s="256"/>
      <c r="K95" s="256"/>
      <c r="L95" s="256"/>
      <c r="M95" s="257" t="s">
        <v>367</v>
      </c>
      <c r="N95" s="258"/>
      <c r="O95" s="258"/>
      <c r="P95" s="258"/>
      <c r="Q95" s="258"/>
      <c r="R95" s="258"/>
      <c r="S95" s="258"/>
      <c r="T95" s="258"/>
      <c r="U95" s="258"/>
      <c r="V95" s="259"/>
      <c r="W95" s="259"/>
      <c r="X95" s="191"/>
      <c r="Y95" s="191"/>
      <c r="Z95" s="191"/>
      <c r="AA95" s="191"/>
      <c r="AB95" s="191"/>
      <c r="AC95" s="191"/>
      <c r="AD95" s="191"/>
      <c r="AE95" s="191"/>
      <c r="AF95" s="191"/>
      <c r="AG95" s="191"/>
      <c r="AH95" s="191"/>
      <c r="AI95" s="192"/>
      <c r="AJ95" s="184"/>
      <c r="AK95" s="260"/>
    </row>
    <row r="96" spans="1:41" x14ac:dyDescent="0.3">
      <c r="A96" s="261"/>
      <c r="B96" s="262"/>
      <c r="C96" s="263"/>
      <c r="D96" s="257" t="s">
        <v>544</v>
      </c>
      <c r="E96" s="258"/>
      <c r="F96" s="258"/>
      <c r="G96" s="258"/>
      <c r="H96" s="258"/>
      <c r="I96" s="259"/>
      <c r="J96" s="258"/>
      <c r="K96" s="259"/>
      <c r="L96" s="262"/>
      <c r="M96" s="191"/>
      <c r="N96" s="264" t="s">
        <v>922</v>
      </c>
      <c r="O96" s="265"/>
      <c r="P96" s="265"/>
      <c r="Q96" s="266"/>
      <c r="R96" s="264" t="s">
        <v>923</v>
      </c>
      <c r="S96" s="265"/>
      <c r="T96" s="265"/>
      <c r="U96" s="265"/>
      <c r="V96" s="266"/>
      <c r="W96" s="265"/>
      <c r="X96" s="257" t="s">
        <v>907</v>
      </c>
      <c r="Y96" s="258"/>
      <c r="Z96" s="259"/>
      <c r="AA96" s="191"/>
      <c r="AB96" s="257" t="s">
        <v>85</v>
      </c>
      <c r="AC96" s="258"/>
      <c r="AD96" s="258"/>
      <c r="AE96" s="258"/>
      <c r="AF96" s="257" t="s">
        <v>912</v>
      </c>
      <c r="AG96" s="259"/>
      <c r="AH96" s="191"/>
      <c r="AI96" s="214"/>
      <c r="AJ96" s="214"/>
      <c r="AK96" s="267"/>
    </row>
    <row r="97" spans="1:41" x14ac:dyDescent="0.3">
      <c r="A97" s="268"/>
      <c r="B97" s="194"/>
      <c r="C97" s="191"/>
      <c r="D97" s="195" t="s">
        <v>357</v>
      </c>
      <c r="E97" s="196" t="s">
        <v>924</v>
      </c>
      <c r="F97" s="196"/>
      <c r="G97" s="196"/>
      <c r="H97" s="196"/>
      <c r="I97" s="196" t="s">
        <v>924</v>
      </c>
      <c r="J97" s="269"/>
      <c r="K97" s="197" t="s">
        <v>79</v>
      </c>
      <c r="L97" s="198" t="s">
        <v>357</v>
      </c>
      <c r="M97" s="269" t="s">
        <v>357</v>
      </c>
      <c r="N97" s="270"/>
      <c r="O97" s="271" t="s">
        <v>925</v>
      </c>
      <c r="P97" s="271" t="s">
        <v>926</v>
      </c>
      <c r="Q97" s="216"/>
      <c r="R97" s="270" t="s">
        <v>925</v>
      </c>
      <c r="S97" s="271" t="s">
        <v>926</v>
      </c>
      <c r="T97" s="271"/>
      <c r="U97" s="263"/>
      <c r="V97" s="263"/>
      <c r="W97" s="216" t="s">
        <v>1010</v>
      </c>
      <c r="X97" s="271" t="s">
        <v>357</v>
      </c>
      <c r="Y97" s="270"/>
      <c r="Z97" s="270" t="s">
        <v>994</v>
      </c>
      <c r="AA97" s="215" t="s">
        <v>357</v>
      </c>
      <c r="AB97" s="215" t="s">
        <v>357</v>
      </c>
      <c r="AC97" s="215" t="s">
        <v>86</v>
      </c>
      <c r="AD97" s="215" t="s">
        <v>1003</v>
      </c>
      <c r="AE97" s="272"/>
      <c r="AF97" s="215" t="s">
        <v>911</v>
      </c>
      <c r="AG97" s="215"/>
      <c r="AH97" s="215" t="s">
        <v>357</v>
      </c>
      <c r="AI97" s="186" t="s">
        <v>355</v>
      </c>
      <c r="AJ97" s="186" t="s">
        <v>355</v>
      </c>
      <c r="AK97" s="219" t="s">
        <v>355</v>
      </c>
      <c r="AM97" s="7" t="s">
        <v>142</v>
      </c>
    </row>
    <row r="98" spans="1:41" x14ac:dyDescent="0.3">
      <c r="A98" s="268"/>
      <c r="B98" s="186"/>
      <c r="C98" s="196"/>
      <c r="D98" s="186" t="s">
        <v>544</v>
      </c>
      <c r="E98" s="196" t="s">
        <v>928</v>
      </c>
      <c r="F98" s="196" t="s">
        <v>1140</v>
      </c>
      <c r="G98" s="196" t="s">
        <v>1139</v>
      </c>
      <c r="H98" s="196" t="s">
        <v>947</v>
      </c>
      <c r="I98" s="196" t="s">
        <v>927</v>
      </c>
      <c r="J98" s="196" t="s">
        <v>617</v>
      </c>
      <c r="K98" s="187" t="s">
        <v>80</v>
      </c>
      <c r="L98" s="198" t="s">
        <v>366</v>
      </c>
      <c r="M98" s="199" t="s">
        <v>367</v>
      </c>
      <c r="N98" s="200" t="s">
        <v>929</v>
      </c>
      <c r="O98" s="196" t="s">
        <v>930</v>
      </c>
      <c r="P98" s="196" t="s">
        <v>930</v>
      </c>
      <c r="Q98" s="187" t="s">
        <v>931</v>
      </c>
      <c r="R98" s="200" t="s">
        <v>930</v>
      </c>
      <c r="S98" s="196" t="s">
        <v>930</v>
      </c>
      <c r="T98" s="196" t="s">
        <v>931</v>
      </c>
      <c r="U98" s="196" t="s">
        <v>456</v>
      </c>
      <c r="V98" s="196" t="s">
        <v>932</v>
      </c>
      <c r="W98" s="187" t="s">
        <v>1011</v>
      </c>
      <c r="X98" s="196" t="s">
        <v>907</v>
      </c>
      <c r="Y98" s="200" t="s">
        <v>907</v>
      </c>
      <c r="Z98" s="200" t="s">
        <v>995</v>
      </c>
      <c r="AA98" s="186" t="s">
        <v>84</v>
      </c>
      <c r="AB98" s="186" t="s">
        <v>82</v>
      </c>
      <c r="AC98" s="186" t="s">
        <v>87</v>
      </c>
      <c r="AD98" s="186" t="s">
        <v>1004</v>
      </c>
      <c r="AE98" s="186" t="s">
        <v>1005</v>
      </c>
      <c r="AF98" s="186" t="s">
        <v>912</v>
      </c>
      <c r="AG98" s="186" t="s">
        <v>1006</v>
      </c>
      <c r="AH98" s="186" t="s">
        <v>913</v>
      </c>
      <c r="AI98" s="186" t="s">
        <v>364</v>
      </c>
      <c r="AJ98" s="186" t="s">
        <v>947</v>
      </c>
      <c r="AK98" s="219" t="s">
        <v>948</v>
      </c>
      <c r="AM98" s="7" t="s">
        <v>143</v>
      </c>
    </row>
    <row r="99" spans="1:41" ht="13.5" thickBot="1" x14ac:dyDescent="0.35">
      <c r="A99" s="278" t="s">
        <v>359</v>
      </c>
      <c r="B99" s="279"/>
      <c r="C99" s="284"/>
      <c r="D99" s="281" t="s">
        <v>815</v>
      </c>
      <c r="E99" s="282" t="s">
        <v>816</v>
      </c>
      <c r="F99" s="282"/>
      <c r="G99" s="282"/>
      <c r="H99" s="282"/>
      <c r="I99" s="282" t="s">
        <v>817</v>
      </c>
      <c r="J99" s="282" t="s">
        <v>818</v>
      </c>
      <c r="K99" s="282" t="s">
        <v>819</v>
      </c>
      <c r="L99" s="234" t="s">
        <v>820</v>
      </c>
      <c r="M99" s="282" t="s">
        <v>821</v>
      </c>
      <c r="N99" s="281" t="s">
        <v>822</v>
      </c>
      <c r="O99" s="282" t="s">
        <v>823</v>
      </c>
      <c r="P99" s="282" t="s">
        <v>908</v>
      </c>
      <c r="Q99" s="282" t="s">
        <v>914</v>
      </c>
      <c r="R99" s="281" t="s">
        <v>915</v>
      </c>
      <c r="S99" s="282" t="s">
        <v>916</v>
      </c>
      <c r="T99" s="282" t="s">
        <v>917</v>
      </c>
      <c r="U99" s="282" t="s">
        <v>918</v>
      </c>
      <c r="V99" s="282" t="s">
        <v>934</v>
      </c>
      <c r="W99" s="283" t="s">
        <v>935</v>
      </c>
      <c r="X99" s="282" t="s">
        <v>936</v>
      </c>
      <c r="Y99" s="234" t="s">
        <v>937</v>
      </c>
      <c r="Z99" s="234" t="s">
        <v>938</v>
      </c>
      <c r="AA99" s="234" t="s">
        <v>939</v>
      </c>
      <c r="AB99" s="234" t="s">
        <v>985</v>
      </c>
      <c r="AC99" s="234" t="s">
        <v>986</v>
      </c>
      <c r="AD99" s="234" t="s">
        <v>987</v>
      </c>
      <c r="AE99" s="234" t="s">
        <v>988</v>
      </c>
      <c r="AF99" s="234" t="s">
        <v>989</v>
      </c>
      <c r="AG99" s="234" t="s">
        <v>990</v>
      </c>
      <c r="AH99" s="234" t="s">
        <v>991</v>
      </c>
      <c r="AI99" s="234" t="s">
        <v>992</v>
      </c>
      <c r="AJ99" s="234" t="s">
        <v>993</v>
      </c>
      <c r="AK99" s="235" t="s">
        <v>1002</v>
      </c>
      <c r="AM99" s="7" t="s">
        <v>144</v>
      </c>
      <c r="AN99" s="7" t="s">
        <v>145</v>
      </c>
    </row>
    <row r="100" spans="1:41" x14ac:dyDescent="0.3">
      <c r="A100" s="157"/>
      <c r="B100" s="35"/>
      <c r="C100" s="35"/>
      <c r="D100" s="35"/>
      <c r="E100" s="35"/>
      <c r="F100" s="639"/>
      <c r="G100" s="639"/>
      <c r="H100" s="639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123"/>
      <c r="AJ100" s="35"/>
      <c r="AK100" s="158"/>
    </row>
    <row r="101" spans="1:41" x14ac:dyDescent="0.3">
      <c r="A101" s="574" t="s">
        <v>950</v>
      </c>
      <c r="B101" s="573"/>
      <c r="C101" s="573"/>
      <c r="D101" s="592">
        <f>SUM(E101,I101:K101)</f>
        <v>3509750538.4622955</v>
      </c>
      <c r="E101" s="592">
        <f>E9</f>
        <v>3430679145.0743985</v>
      </c>
      <c r="F101" s="652"/>
      <c r="G101" s="652"/>
      <c r="H101" s="652"/>
      <c r="I101" s="592">
        <f>I9</f>
        <v>79071393.387896895</v>
      </c>
      <c r="J101" s="592">
        <f>J9</f>
        <v>0</v>
      </c>
      <c r="K101" s="592">
        <f>K9</f>
        <v>0</v>
      </c>
      <c r="L101" s="592">
        <v>0</v>
      </c>
      <c r="M101" s="592">
        <f>SUM(N101:W101)</f>
        <v>2238093162.2363415</v>
      </c>
      <c r="N101" s="592">
        <f t="shared" ref="N101:W101" si="27">N9</f>
        <v>378396336.94476551</v>
      </c>
      <c r="O101" s="592">
        <f t="shared" si="27"/>
        <v>634524990.24899721</v>
      </c>
      <c r="P101" s="592">
        <f t="shared" si="27"/>
        <v>169681427.5601795</v>
      </c>
      <c r="Q101" s="592">
        <f t="shared" si="27"/>
        <v>178295302.34677774</v>
      </c>
      <c r="R101" s="592">
        <f t="shared" si="27"/>
        <v>352514001.87719792</v>
      </c>
      <c r="S101" s="592">
        <f t="shared" si="27"/>
        <v>87221162.448025957</v>
      </c>
      <c r="T101" s="592">
        <f t="shared" si="27"/>
        <v>194903159.61077228</v>
      </c>
      <c r="U101" s="592">
        <f t="shared" si="27"/>
        <v>130630099.47089377</v>
      </c>
      <c r="V101" s="592">
        <f t="shared" si="27"/>
        <v>111605223.88534749</v>
      </c>
      <c r="W101" s="592">
        <f t="shared" si="27"/>
        <v>321457.84338360757</v>
      </c>
      <c r="X101" s="592">
        <f>SUM(Y101:Z101)</f>
        <v>170138080.66719595</v>
      </c>
      <c r="Y101" s="592">
        <f>Y9</f>
        <v>158535443.60408646</v>
      </c>
      <c r="Z101" s="592">
        <f>Z9</f>
        <v>11602637.063109498</v>
      </c>
      <c r="AA101" s="592">
        <f>AA9</f>
        <v>7645179.4379166793</v>
      </c>
      <c r="AB101" s="592">
        <f>SUM(AC101:AD101)</f>
        <v>39046455.428348757</v>
      </c>
      <c r="AC101" s="592">
        <f>AC9</f>
        <v>35431144.438197859</v>
      </c>
      <c r="AD101" s="592">
        <f>AD9</f>
        <v>3615310.9901508992</v>
      </c>
      <c r="AE101" s="592">
        <f>AE9</f>
        <v>0</v>
      </c>
      <c r="AF101" s="592">
        <f>SUM(AG101)</f>
        <v>5541358.3705311799</v>
      </c>
      <c r="AG101" s="592">
        <f>AG9</f>
        <v>5541358.3705311799</v>
      </c>
      <c r="AH101" s="592">
        <f>AH9</f>
        <v>0</v>
      </c>
      <c r="AI101" s="571">
        <f t="shared" ref="AI101:AI113" si="28">SUM(E101,I101:K101,L101,N101:W101,Y101:Z101,AA101:AA101,AC101:AE101,AG101:AG101,AH101)</f>
        <v>5970214774.6026297</v>
      </c>
      <c r="AJ101" s="592">
        <f>AJ9</f>
        <v>626039589.20072007</v>
      </c>
      <c r="AK101" s="593">
        <f>+AI101+AJ101</f>
        <v>6596254363.8033495</v>
      </c>
      <c r="AL101" s="570"/>
      <c r="AM101" s="570">
        <f>'9a. Summary Schedules'!C101</f>
        <v>6596254363.8033495</v>
      </c>
      <c r="AN101" s="570">
        <f>AK101-AM101</f>
        <v>0</v>
      </c>
    </row>
    <row r="102" spans="1:41" x14ac:dyDescent="0.3">
      <c r="A102" s="574"/>
      <c r="B102" s="573"/>
      <c r="C102" s="573"/>
      <c r="D102" s="573"/>
      <c r="E102" s="573"/>
      <c r="F102" s="653"/>
      <c r="G102" s="653"/>
      <c r="H102" s="653"/>
      <c r="I102" s="573"/>
      <c r="J102" s="573"/>
      <c r="K102" s="573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1"/>
      <c r="AJ102" s="573"/>
      <c r="AK102" s="594"/>
      <c r="AL102" s="570"/>
      <c r="AM102" s="570"/>
      <c r="AN102" s="570"/>
    </row>
    <row r="103" spans="1:41" s="16" customFormat="1" x14ac:dyDescent="0.3">
      <c r="A103" s="574" t="s">
        <v>951</v>
      </c>
      <c r="B103" s="573"/>
      <c r="C103" s="573"/>
      <c r="D103" s="592">
        <f t="shared" ref="D103:D110" si="29">SUM(E103,I103:K103)</f>
        <v>249599970.53407323</v>
      </c>
      <c r="E103" s="592">
        <f t="shared" ref="E103:K110" si="30">E11</f>
        <v>243976716.90296072</v>
      </c>
      <c r="F103" s="652"/>
      <c r="G103" s="652"/>
      <c r="H103" s="652"/>
      <c r="I103" s="592">
        <f t="shared" si="30"/>
        <v>5623253.6311125066</v>
      </c>
      <c r="J103" s="592">
        <f t="shared" si="30"/>
        <v>0</v>
      </c>
      <c r="K103" s="592">
        <f t="shared" si="30"/>
        <v>0</v>
      </c>
      <c r="L103" s="592">
        <v>0</v>
      </c>
      <c r="M103" s="592">
        <f t="shared" ref="M103:M110" si="31">SUM(N103:W103)</f>
        <v>207852704.94391322</v>
      </c>
      <c r="N103" s="592">
        <f t="shared" ref="N103:W103" si="32">N11</f>
        <v>35141835.693849668</v>
      </c>
      <c r="O103" s="592">
        <f t="shared" si="32"/>
        <v>58928617.361924186</v>
      </c>
      <c r="P103" s="592">
        <f t="shared" si="32"/>
        <v>15758389.459483825</v>
      </c>
      <c r="Q103" s="592">
        <f t="shared" si="32"/>
        <v>16558363.832603127</v>
      </c>
      <c r="R103" s="592">
        <f t="shared" si="32"/>
        <v>32738131.752998911</v>
      </c>
      <c r="S103" s="592">
        <f t="shared" si="32"/>
        <v>8100268.053658545</v>
      </c>
      <c r="T103" s="592">
        <f t="shared" si="32"/>
        <v>18100742.905060682</v>
      </c>
      <c r="U103" s="592">
        <f t="shared" si="32"/>
        <v>12131675.294064682</v>
      </c>
      <c r="V103" s="592">
        <f t="shared" si="32"/>
        <v>10364826.657734489</v>
      </c>
      <c r="W103" s="592">
        <f t="shared" si="32"/>
        <v>29853.932535121141</v>
      </c>
      <c r="X103" s="592">
        <f t="shared" ref="X103:X110" si="33">SUM(Y103:Z103)</f>
        <v>3903861.5496431249</v>
      </c>
      <c r="Y103" s="592">
        <f t="shared" ref="Y103:AA110" si="34">Y11</f>
        <v>3637636.0901368647</v>
      </c>
      <c r="Z103" s="592">
        <f t="shared" si="34"/>
        <v>266225.45950626017</v>
      </c>
      <c r="AA103" s="592">
        <f t="shared" si="34"/>
        <v>1483865.9682655758</v>
      </c>
      <c r="AB103" s="592">
        <f t="shared" ref="AB103:AB110" si="35">SUM(AC103:AD103)</f>
        <v>4425298.1509868335</v>
      </c>
      <c r="AC103" s="592">
        <f t="shared" ref="AC103:AE110" si="36">AC11</f>
        <v>4015559.8312226897</v>
      </c>
      <c r="AD103" s="592">
        <f t="shared" si="36"/>
        <v>409738.31976414385</v>
      </c>
      <c r="AE103" s="592">
        <f t="shared" si="36"/>
        <v>0</v>
      </c>
      <c r="AF103" s="592">
        <f t="shared" ref="AF103:AF110" si="37">SUM(AG103)</f>
        <v>2454258.4538577343</v>
      </c>
      <c r="AG103" s="592">
        <f t="shared" ref="AG103:AH110" si="38">AG11</f>
        <v>2454258.4538577343</v>
      </c>
      <c r="AH103" s="592">
        <f t="shared" si="38"/>
        <v>0</v>
      </c>
      <c r="AI103" s="571">
        <f t="shared" si="28"/>
        <v>469719959.60073984</v>
      </c>
      <c r="AJ103" s="592">
        <f t="shared" ref="AJ103:AJ110" si="39">AJ11</f>
        <v>43440743.357950628</v>
      </c>
      <c r="AK103" s="593">
        <f t="shared" ref="AK103:AK110" si="40">+AI103+AJ103</f>
        <v>513160702.95869046</v>
      </c>
      <c r="AL103" s="570"/>
      <c r="AM103" s="570">
        <f>'9a. Summary Schedules'!C103</f>
        <v>513160702.9586904</v>
      </c>
      <c r="AN103" s="570">
        <f t="shared" ref="AN103:AN111" si="41">AK103-AM103</f>
        <v>0</v>
      </c>
      <c r="AO103" s="32"/>
    </row>
    <row r="104" spans="1:41" x14ac:dyDescent="0.3">
      <c r="A104" s="574" t="s">
        <v>952</v>
      </c>
      <c r="B104" s="573"/>
      <c r="C104" s="573"/>
      <c r="D104" s="592">
        <f t="shared" si="29"/>
        <v>219505030.21077758</v>
      </c>
      <c r="E104" s="592">
        <f t="shared" si="30"/>
        <v>76379461.737461597</v>
      </c>
      <c r="F104" s="652"/>
      <c r="G104" s="652"/>
      <c r="H104" s="652"/>
      <c r="I104" s="592">
        <f t="shared" si="30"/>
        <v>36777227.653315984</v>
      </c>
      <c r="J104" s="592">
        <f t="shared" si="30"/>
        <v>106348340.82000001</v>
      </c>
      <c r="K104" s="592">
        <f t="shared" si="30"/>
        <v>0</v>
      </c>
      <c r="L104" s="592">
        <v>0</v>
      </c>
      <c r="M104" s="592">
        <f t="shared" si="31"/>
        <v>34286581.443658262</v>
      </c>
      <c r="N104" s="592">
        <f t="shared" ref="N104:W104" si="42">N12</f>
        <v>9760670.4665726088</v>
      </c>
      <c r="O104" s="592">
        <f t="shared" si="42"/>
        <v>10118877.786103692</v>
      </c>
      <c r="P104" s="592">
        <f t="shared" si="42"/>
        <v>2783420.9855469484</v>
      </c>
      <c r="Q104" s="592">
        <f t="shared" si="42"/>
        <v>512729.58123417152</v>
      </c>
      <c r="R104" s="592">
        <f t="shared" si="42"/>
        <v>7156354.4687345158</v>
      </c>
      <c r="S104" s="592">
        <f t="shared" si="42"/>
        <v>1902249.6699367687</v>
      </c>
      <c r="T104" s="592">
        <f t="shared" si="42"/>
        <v>560489.33478955564</v>
      </c>
      <c r="U104" s="592">
        <f t="shared" si="42"/>
        <v>9361.271220833245</v>
      </c>
      <c r="V104" s="592">
        <f t="shared" si="42"/>
        <v>1233694.8708833982</v>
      </c>
      <c r="W104" s="592">
        <f t="shared" si="42"/>
        <v>248733.00863576814</v>
      </c>
      <c r="X104" s="592">
        <f t="shared" si="33"/>
        <v>2827639.5746785682</v>
      </c>
      <c r="Y104" s="592">
        <f t="shared" si="34"/>
        <v>1533727.2091611889</v>
      </c>
      <c r="Z104" s="592">
        <f t="shared" si="34"/>
        <v>1293912.3655173793</v>
      </c>
      <c r="AA104" s="592">
        <f t="shared" si="34"/>
        <v>763136.54851638642</v>
      </c>
      <c r="AB104" s="592">
        <f t="shared" si="35"/>
        <v>2688312.8158285483</v>
      </c>
      <c r="AC104" s="592">
        <f t="shared" si="36"/>
        <v>2629742.6171822171</v>
      </c>
      <c r="AD104" s="592">
        <f t="shared" si="36"/>
        <v>58570.198646331279</v>
      </c>
      <c r="AE104" s="592">
        <f t="shared" si="36"/>
        <v>0</v>
      </c>
      <c r="AF104" s="592">
        <f t="shared" si="37"/>
        <v>1825501.1895347987</v>
      </c>
      <c r="AG104" s="592">
        <f t="shared" si="38"/>
        <v>1825501.1895347987</v>
      </c>
      <c r="AH104" s="592">
        <f t="shared" si="38"/>
        <v>-935.76250000000005</v>
      </c>
      <c r="AI104" s="571">
        <f t="shared" si="28"/>
        <v>261895266.02049416</v>
      </c>
      <c r="AJ104" s="592">
        <f t="shared" si="39"/>
        <v>5958721.4669975545</v>
      </c>
      <c r="AK104" s="593">
        <f t="shared" si="40"/>
        <v>267853987.48749173</v>
      </c>
      <c r="AL104" s="570"/>
      <c r="AM104" s="570">
        <f>'9a. Summary Schedules'!C104</f>
        <v>267853987.48749176</v>
      </c>
      <c r="AN104" s="570">
        <f t="shared" si="41"/>
        <v>0</v>
      </c>
    </row>
    <row r="105" spans="1:41" s="16" customFormat="1" x14ac:dyDescent="0.3">
      <c r="A105" s="574" t="s">
        <v>503</v>
      </c>
      <c r="B105" s="573"/>
      <c r="C105" s="573"/>
      <c r="D105" s="592">
        <f t="shared" si="29"/>
        <v>0</v>
      </c>
      <c r="E105" s="592">
        <f t="shared" si="30"/>
        <v>0</v>
      </c>
      <c r="F105" s="652"/>
      <c r="G105" s="652"/>
      <c r="H105" s="652"/>
      <c r="I105" s="592">
        <f t="shared" si="30"/>
        <v>0</v>
      </c>
      <c r="J105" s="592">
        <f t="shared" si="30"/>
        <v>0</v>
      </c>
      <c r="K105" s="592">
        <f t="shared" si="30"/>
        <v>0</v>
      </c>
      <c r="L105" s="592">
        <v>0</v>
      </c>
      <c r="M105" s="592">
        <f t="shared" si="31"/>
        <v>0</v>
      </c>
      <c r="N105" s="592">
        <f t="shared" ref="N105:W105" si="43">N13</f>
        <v>0</v>
      </c>
      <c r="O105" s="592">
        <f t="shared" si="43"/>
        <v>0</v>
      </c>
      <c r="P105" s="592">
        <f t="shared" si="43"/>
        <v>0</v>
      </c>
      <c r="Q105" s="592">
        <f t="shared" si="43"/>
        <v>0</v>
      </c>
      <c r="R105" s="592">
        <f t="shared" si="43"/>
        <v>0</v>
      </c>
      <c r="S105" s="592">
        <f t="shared" si="43"/>
        <v>0</v>
      </c>
      <c r="T105" s="592">
        <f t="shared" si="43"/>
        <v>0</v>
      </c>
      <c r="U105" s="592">
        <f t="shared" si="43"/>
        <v>0</v>
      </c>
      <c r="V105" s="592">
        <f t="shared" si="43"/>
        <v>0</v>
      </c>
      <c r="W105" s="592">
        <f t="shared" si="43"/>
        <v>0</v>
      </c>
      <c r="X105" s="592">
        <f t="shared" si="33"/>
        <v>0</v>
      </c>
      <c r="Y105" s="592">
        <f t="shared" si="34"/>
        <v>0</v>
      </c>
      <c r="Z105" s="592">
        <f t="shared" si="34"/>
        <v>0</v>
      </c>
      <c r="AA105" s="592">
        <f t="shared" si="34"/>
        <v>0</v>
      </c>
      <c r="AB105" s="592">
        <f t="shared" si="35"/>
        <v>0</v>
      </c>
      <c r="AC105" s="592">
        <f t="shared" si="36"/>
        <v>0</v>
      </c>
      <c r="AD105" s="592">
        <f t="shared" si="36"/>
        <v>0</v>
      </c>
      <c r="AE105" s="592">
        <f t="shared" si="36"/>
        <v>0</v>
      </c>
      <c r="AF105" s="592">
        <f t="shared" si="37"/>
        <v>0</v>
      </c>
      <c r="AG105" s="592">
        <f t="shared" si="38"/>
        <v>0</v>
      </c>
      <c r="AH105" s="592">
        <f t="shared" si="38"/>
        <v>0</v>
      </c>
      <c r="AI105" s="571">
        <f t="shared" si="28"/>
        <v>0</v>
      </c>
      <c r="AJ105" s="592">
        <f t="shared" si="39"/>
        <v>0</v>
      </c>
      <c r="AK105" s="593">
        <f t="shared" si="40"/>
        <v>0</v>
      </c>
      <c r="AL105" s="570"/>
      <c r="AM105" s="570">
        <f>'9a. Summary Schedules'!C105</f>
        <v>0</v>
      </c>
      <c r="AN105" s="570">
        <f t="shared" si="41"/>
        <v>0</v>
      </c>
      <c r="AO105" s="32"/>
    </row>
    <row r="106" spans="1:41" x14ac:dyDescent="0.3">
      <c r="A106" s="595" t="s">
        <v>511</v>
      </c>
      <c r="B106" s="596"/>
      <c r="C106" s="596"/>
      <c r="D106" s="592">
        <f t="shared" si="29"/>
        <v>0</v>
      </c>
      <c r="E106" s="592">
        <f t="shared" si="30"/>
        <v>0</v>
      </c>
      <c r="F106" s="652"/>
      <c r="G106" s="652"/>
      <c r="H106" s="652"/>
      <c r="I106" s="592">
        <f t="shared" si="30"/>
        <v>0</v>
      </c>
      <c r="J106" s="592">
        <f t="shared" si="30"/>
        <v>0</v>
      </c>
      <c r="K106" s="592">
        <f t="shared" si="30"/>
        <v>0</v>
      </c>
      <c r="L106" s="592">
        <v>0</v>
      </c>
      <c r="M106" s="592">
        <f t="shared" si="31"/>
        <v>0</v>
      </c>
      <c r="N106" s="592">
        <f t="shared" ref="N106:W106" si="44">N14</f>
        <v>0</v>
      </c>
      <c r="O106" s="592">
        <f t="shared" si="44"/>
        <v>0</v>
      </c>
      <c r="P106" s="592">
        <f t="shared" si="44"/>
        <v>0</v>
      </c>
      <c r="Q106" s="592">
        <f t="shared" si="44"/>
        <v>0</v>
      </c>
      <c r="R106" s="592">
        <f t="shared" si="44"/>
        <v>0</v>
      </c>
      <c r="S106" s="592">
        <f t="shared" si="44"/>
        <v>0</v>
      </c>
      <c r="T106" s="592">
        <f t="shared" si="44"/>
        <v>0</v>
      </c>
      <c r="U106" s="592">
        <f t="shared" si="44"/>
        <v>0</v>
      </c>
      <c r="V106" s="592">
        <f t="shared" si="44"/>
        <v>0</v>
      </c>
      <c r="W106" s="592">
        <f t="shared" si="44"/>
        <v>0</v>
      </c>
      <c r="X106" s="592">
        <f t="shared" si="33"/>
        <v>0</v>
      </c>
      <c r="Y106" s="592">
        <f t="shared" si="34"/>
        <v>0</v>
      </c>
      <c r="Z106" s="592">
        <f t="shared" si="34"/>
        <v>0</v>
      </c>
      <c r="AA106" s="592">
        <f t="shared" si="34"/>
        <v>0</v>
      </c>
      <c r="AB106" s="592">
        <f t="shared" si="35"/>
        <v>0</v>
      </c>
      <c r="AC106" s="592">
        <f t="shared" si="36"/>
        <v>0</v>
      </c>
      <c r="AD106" s="592">
        <f t="shared" si="36"/>
        <v>0</v>
      </c>
      <c r="AE106" s="592">
        <f t="shared" si="36"/>
        <v>0</v>
      </c>
      <c r="AF106" s="592">
        <f t="shared" si="37"/>
        <v>0</v>
      </c>
      <c r="AG106" s="592">
        <f t="shared" si="38"/>
        <v>0</v>
      </c>
      <c r="AH106" s="592">
        <f t="shared" si="38"/>
        <v>0</v>
      </c>
      <c r="AI106" s="571">
        <f t="shared" si="28"/>
        <v>0</v>
      </c>
      <c r="AJ106" s="592">
        <f t="shared" si="39"/>
        <v>0</v>
      </c>
      <c r="AK106" s="593">
        <f t="shared" si="40"/>
        <v>0</v>
      </c>
      <c r="AL106" s="570"/>
      <c r="AM106" s="570">
        <f>'9a. Summary Schedules'!C106</f>
        <v>0</v>
      </c>
      <c r="AN106" s="570">
        <f t="shared" si="41"/>
        <v>0</v>
      </c>
    </row>
    <row r="107" spans="1:41" x14ac:dyDescent="0.3">
      <c r="A107" s="574" t="s">
        <v>504</v>
      </c>
      <c r="B107" s="573"/>
      <c r="C107" s="573"/>
      <c r="D107" s="592">
        <f t="shared" si="29"/>
        <v>0</v>
      </c>
      <c r="E107" s="592">
        <f t="shared" si="30"/>
        <v>0</v>
      </c>
      <c r="F107" s="652"/>
      <c r="G107" s="652"/>
      <c r="H107" s="652"/>
      <c r="I107" s="592">
        <f t="shared" si="30"/>
        <v>0</v>
      </c>
      <c r="J107" s="592">
        <f t="shared" si="30"/>
        <v>0</v>
      </c>
      <c r="K107" s="592">
        <f t="shared" si="30"/>
        <v>0</v>
      </c>
      <c r="L107" s="592">
        <v>0</v>
      </c>
      <c r="M107" s="592">
        <f t="shared" si="31"/>
        <v>0</v>
      </c>
      <c r="N107" s="592">
        <f t="shared" ref="N107:W107" si="45">N15</f>
        <v>0</v>
      </c>
      <c r="O107" s="592">
        <f t="shared" si="45"/>
        <v>0</v>
      </c>
      <c r="P107" s="592">
        <f t="shared" si="45"/>
        <v>0</v>
      </c>
      <c r="Q107" s="592">
        <f t="shared" si="45"/>
        <v>0</v>
      </c>
      <c r="R107" s="592">
        <f t="shared" si="45"/>
        <v>0</v>
      </c>
      <c r="S107" s="592">
        <f t="shared" si="45"/>
        <v>0</v>
      </c>
      <c r="T107" s="592">
        <f t="shared" si="45"/>
        <v>0</v>
      </c>
      <c r="U107" s="592">
        <f t="shared" si="45"/>
        <v>0</v>
      </c>
      <c r="V107" s="592">
        <f t="shared" si="45"/>
        <v>0</v>
      </c>
      <c r="W107" s="592">
        <f t="shared" si="45"/>
        <v>0</v>
      </c>
      <c r="X107" s="592">
        <f t="shared" si="33"/>
        <v>0</v>
      </c>
      <c r="Y107" s="592">
        <f t="shared" si="34"/>
        <v>0</v>
      </c>
      <c r="Z107" s="592">
        <f t="shared" si="34"/>
        <v>0</v>
      </c>
      <c r="AA107" s="592">
        <f t="shared" si="34"/>
        <v>0</v>
      </c>
      <c r="AB107" s="592">
        <f t="shared" si="35"/>
        <v>0</v>
      </c>
      <c r="AC107" s="592">
        <f t="shared" si="36"/>
        <v>0</v>
      </c>
      <c r="AD107" s="592">
        <f t="shared" si="36"/>
        <v>0</v>
      </c>
      <c r="AE107" s="592">
        <f t="shared" si="36"/>
        <v>0</v>
      </c>
      <c r="AF107" s="592">
        <f t="shared" si="37"/>
        <v>0</v>
      </c>
      <c r="AG107" s="592">
        <f t="shared" si="38"/>
        <v>0</v>
      </c>
      <c r="AH107" s="592">
        <f t="shared" si="38"/>
        <v>-37877851.181544743</v>
      </c>
      <c r="AI107" s="571">
        <f t="shared" si="28"/>
        <v>-37877851.181544743</v>
      </c>
      <c r="AJ107" s="592">
        <f t="shared" si="39"/>
        <v>-3058171.8184552598</v>
      </c>
      <c r="AK107" s="593">
        <f t="shared" si="40"/>
        <v>-40936023</v>
      </c>
      <c r="AL107" s="570"/>
      <c r="AM107" s="570">
        <f>'9a. Summary Schedules'!C107</f>
        <v>-40936023</v>
      </c>
      <c r="AN107" s="570">
        <f t="shared" si="41"/>
        <v>0</v>
      </c>
    </row>
    <row r="108" spans="1:41" x14ac:dyDescent="0.3">
      <c r="A108" s="574" t="s">
        <v>505</v>
      </c>
      <c r="B108" s="573"/>
      <c r="C108" s="573"/>
      <c r="D108" s="592">
        <f t="shared" si="29"/>
        <v>-6798585.8499999996</v>
      </c>
      <c r="E108" s="592">
        <f t="shared" si="30"/>
        <v>-4453267.423986272</v>
      </c>
      <c r="F108" s="652"/>
      <c r="G108" s="652"/>
      <c r="H108" s="652"/>
      <c r="I108" s="592">
        <f t="shared" si="30"/>
        <v>-2345318.4260137281</v>
      </c>
      <c r="J108" s="592">
        <f t="shared" si="30"/>
        <v>0</v>
      </c>
      <c r="K108" s="592">
        <f t="shared" si="30"/>
        <v>0</v>
      </c>
      <c r="L108" s="592">
        <v>0</v>
      </c>
      <c r="M108" s="592">
        <f t="shared" si="31"/>
        <v>0</v>
      </c>
      <c r="N108" s="592">
        <f t="shared" ref="N108:W108" si="46">N16</f>
        <v>0</v>
      </c>
      <c r="O108" s="592">
        <f t="shared" si="46"/>
        <v>0</v>
      </c>
      <c r="P108" s="592">
        <f t="shared" si="46"/>
        <v>0</v>
      </c>
      <c r="Q108" s="592">
        <f t="shared" si="46"/>
        <v>0</v>
      </c>
      <c r="R108" s="592">
        <f t="shared" si="46"/>
        <v>0</v>
      </c>
      <c r="S108" s="592">
        <f t="shared" si="46"/>
        <v>0</v>
      </c>
      <c r="T108" s="592">
        <f t="shared" si="46"/>
        <v>0</v>
      </c>
      <c r="U108" s="592">
        <f t="shared" si="46"/>
        <v>0</v>
      </c>
      <c r="V108" s="592">
        <f t="shared" si="46"/>
        <v>0</v>
      </c>
      <c r="W108" s="592">
        <f t="shared" si="46"/>
        <v>0</v>
      </c>
      <c r="X108" s="592">
        <f t="shared" si="33"/>
        <v>0</v>
      </c>
      <c r="Y108" s="592">
        <f t="shared" si="34"/>
        <v>0</v>
      </c>
      <c r="Z108" s="592">
        <f t="shared" si="34"/>
        <v>0</v>
      </c>
      <c r="AA108" s="592">
        <f t="shared" si="34"/>
        <v>0</v>
      </c>
      <c r="AB108" s="592">
        <f t="shared" si="35"/>
        <v>0</v>
      </c>
      <c r="AC108" s="592">
        <f t="shared" si="36"/>
        <v>0</v>
      </c>
      <c r="AD108" s="592">
        <f t="shared" si="36"/>
        <v>0</v>
      </c>
      <c r="AE108" s="592">
        <f t="shared" si="36"/>
        <v>0</v>
      </c>
      <c r="AF108" s="592">
        <f t="shared" si="37"/>
        <v>0</v>
      </c>
      <c r="AG108" s="592">
        <f t="shared" si="38"/>
        <v>0</v>
      </c>
      <c r="AH108" s="592">
        <f t="shared" si="38"/>
        <v>0</v>
      </c>
      <c r="AI108" s="571">
        <f t="shared" si="28"/>
        <v>-6798585.8499999996</v>
      </c>
      <c r="AJ108" s="592">
        <f t="shared" si="39"/>
        <v>0</v>
      </c>
      <c r="AK108" s="593">
        <f t="shared" si="40"/>
        <v>-6798585.8499999996</v>
      </c>
      <c r="AL108" s="570"/>
      <c r="AM108" s="570">
        <f>'9a. Summary Schedules'!C108</f>
        <v>-6798585.8499999996</v>
      </c>
      <c r="AN108" s="570">
        <f t="shared" si="41"/>
        <v>0</v>
      </c>
    </row>
    <row r="109" spans="1:41" x14ac:dyDescent="0.3">
      <c r="A109" s="574" t="s">
        <v>509</v>
      </c>
      <c r="B109" s="573"/>
      <c r="C109" s="573"/>
      <c r="D109" s="592">
        <f t="shared" si="29"/>
        <v>-2258861.19</v>
      </c>
      <c r="E109" s="592">
        <f t="shared" si="30"/>
        <v>-1485011.7795552779</v>
      </c>
      <c r="F109" s="652"/>
      <c r="G109" s="652"/>
      <c r="H109" s="652"/>
      <c r="I109" s="592">
        <f t="shared" si="30"/>
        <v>-773849.41044472216</v>
      </c>
      <c r="J109" s="592">
        <f t="shared" si="30"/>
        <v>0</v>
      </c>
      <c r="K109" s="592">
        <f t="shared" si="30"/>
        <v>0</v>
      </c>
      <c r="L109" s="592">
        <v>0</v>
      </c>
      <c r="M109" s="592">
        <f t="shared" si="31"/>
        <v>-10635337.899999999</v>
      </c>
      <c r="N109" s="592">
        <f t="shared" ref="N109:W109" si="47">N17</f>
        <v>-3340264.8396003786</v>
      </c>
      <c r="O109" s="592">
        <f t="shared" si="47"/>
        <v>-3041837.5096486583</v>
      </c>
      <c r="P109" s="592">
        <f t="shared" si="47"/>
        <v>-837259.99351642677</v>
      </c>
      <c r="Q109" s="592">
        <f t="shared" si="47"/>
        <v>-163983.23318771343</v>
      </c>
      <c r="R109" s="592">
        <f t="shared" si="47"/>
        <v>-2161877.0720444564</v>
      </c>
      <c r="S109" s="592">
        <f t="shared" si="47"/>
        <v>-575368.47718919185</v>
      </c>
      <c r="T109" s="592">
        <f t="shared" si="47"/>
        <v>-179257.94931664958</v>
      </c>
      <c r="U109" s="592">
        <f t="shared" si="47"/>
        <v>0</v>
      </c>
      <c r="V109" s="592">
        <f t="shared" si="47"/>
        <v>-302051.70568399469</v>
      </c>
      <c r="W109" s="592">
        <f t="shared" si="47"/>
        <v>-33437.119812529978</v>
      </c>
      <c r="X109" s="592">
        <f t="shared" si="33"/>
        <v>0</v>
      </c>
      <c r="Y109" s="592">
        <f t="shared" si="34"/>
        <v>0</v>
      </c>
      <c r="Z109" s="592">
        <f t="shared" si="34"/>
        <v>0</v>
      </c>
      <c r="AA109" s="592">
        <f t="shared" si="34"/>
        <v>0</v>
      </c>
      <c r="AB109" s="592">
        <f t="shared" si="35"/>
        <v>0</v>
      </c>
      <c r="AC109" s="592">
        <f t="shared" si="36"/>
        <v>0</v>
      </c>
      <c r="AD109" s="592">
        <f t="shared" si="36"/>
        <v>0</v>
      </c>
      <c r="AE109" s="592">
        <f t="shared" si="36"/>
        <v>0</v>
      </c>
      <c r="AF109" s="592">
        <f t="shared" si="37"/>
        <v>-690294.37999999989</v>
      </c>
      <c r="AG109" s="592">
        <f t="shared" si="38"/>
        <v>-690294.37999999989</v>
      </c>
      <c r="AH109" s="592">
        <f t="shared" si="38"/>
        <v>0</v>
      </c>
      <c r="AI109" s="571">
        <f t="shared" si="28"/>
        <v>-13584493.469999999</v>
      </c>
      <c r="AJ109" s="592">
        <f t="shared" si="39"/>
        <v>-5462423.4699999997</v>
      </c>
      <c r="AK109" s="593">
        <f t="shared" si="40"/>
        <v>-19046916.939999998</v>
      </c>
      <c r="AL109" s="570"/>
      <c r="AM109" s="570">
        <f>'9a. Summary Schedules'!C109</f>
        <v>-19046916.939999998</v>
      </c>
      <c r="AN109" s="570">
        <f t="shared" si="41"/>
        <v>0</v>
      </c>
    </row>
    <row r="110" spans="1:41" x14ac:dyDescent="0.3">
      <c r="A110" s="574" t="s">
        <v>529</v>
      </c>
      <c r="B110" s="573"/>
      <c r="C110" s="573"/>
      <c r="D110" s="597">
        <f t="shared" si="29"/>
        <v>32893758.539220214</v>
      </c>
      <c r="E110" s="597">
        <f t="shared" si="30"/>
        <v>23445608.289351139</v>
      </c>
      <c r="F110" s="654"/>
      <c r="G110" s="654"/>
      <c r="H110" s="654"/>
      <c r="I110" s="597">
        <f t="shared" si="30"/>
        <v>9448150.2498690765</v>
      </c>
      <c r="J110" s="597">
        <f t="shared" si="30"/>
        <v>0</v>
      </c>
      <c r="K110" s="597">
        <f t="shared" si="30"/>
        <v>0</v>
      </c>
      <c r="L110" s="597">
        <v>0</v>
      </c>
      <c r="M110" s="597">
        <f t="shared" si="31"/>
        <v>4111253.2622524546</v>
      </c>
      <c r="N110" s="597">
        <f t="shared" ref="N110:W110" si="48">N18</f>
        <v>1319806.4305773724</v>
      </c>
      <c r="O110" s="597">
        <f t="shared" si="48"/>
        <v>1176119.7689328657</v>
      </c>
      <c r="P110" s="597">
        <f t="shared" si="48"/>
        <v>324153.85049559252</v>
      </c>
      <c r="Q110" s="597">
        <f t="shared" si="48"/>
        <v>50963.803009714771</v>
      </c>
      <c r="R110" s="597">
        <f t="shared" si="48"/>
        <v>844384.89862101711</v>
      </c>
      <c r="S110" s="597">
        <f t="shared" si="48"/>
        <v>225296.78031913986</v>
      </c>
      <c r="T110" s="597">
        <f t="shared" si="48"/>
        <v>55710.981173553679</v>
      </c>
      <c r="U110" s="597">
        <f t="shared" si="48"/>
        <v>-11278.013016499544</v>
      </c>
      <c r="V110" s="597">
        <f t="shared" si="48"/>
        <v>112591.94031631955</v>
      </c>
      <c r="W110" s="597">
        <f t="shared" si="48"/>
        <v>13502.821823378645</v>
      </c>
      <c r="X110" s="597">
        <f t="shared" si="33"/>
        <v>2056626.6772564026</v>
      </c>
      <c r="Y110" s="597">
        <f t="shared" si="34"/>
        <v>1543458.9894413284</v>
      </c>
      <c r="Z110" s="597">
        <f t="shared" si="34"/>
        <v>513167.68781507399</v>
      </c>
      <c r="AA110" s="597">
        <f t="shared" si="34"/>
        <v>549308.46099777764</v>
      </c>
      <c r="AB110" s="592">
        <f t="shared" si="35"/>
        <v>2805499.6632766193</v>
      </c>
      <c r="AC110" s="597">
        <f t="shared" si="36"/>
        <v>2545738.4722993532</v>
      </c>
      <c r="AD110" s="597">
        <f t="shared" si="36"/>
        <v>259761.19097726606</v>
      </c>
      <c r="AE110" s="597">
        <f t="shared" si="36"/>
        <v>0</v>
      </c>
      <c r="AF110" s="597">
        <f t="shared" si="37"/>
        <v>608829.40932712401</v>
      </c>
      <c r="AG110" s="597">
        <f t="shared" si="38"/>
        <v>608829.40932712401</v>
      </c>
      <c r="AH110" s="597">
        <f t="shared" si="38"/>
        <v>0</v>
      </c>
      <c r="AI110" s="568">
        <f t="shared" si="28"/>
        <v>43025276.012330592</v>
      </c>
      <c r="AJ110" s="597">
        <f t="shared" si="39"/>
        <v>14255709.389148939</v>
      </c>
      <c r="AK110" s="598">
        <f t="shared" si="40"/>
        <v>57280985.401479527</v>
      </c>
      <c r="AL110" s="570"/>
      <c r="AM110" s="570">
        <f>'9a. Summary Schedules'!C110</f>
        <v>57280985.401479542</v>
      </c>
      <c r="AN110" s="570">
        <f t="shared" si="41"/>
        <v>0</v>
      </c>
    </row>
    <row r="111" spans="1:41" x14ac:dyDescent="0.3">
      <c r="A111" s="595" t="s">
        <v>524</v>
      </c>
      <c r="B111" s="596"/>
      <c r="C111" s="596"/>
      <c r="D111" s="573">
        <f t="shared" ref="D111:AK111" si="49">SUM(D103:D110)</f>
        <v>492941312.24407101</v>
      </c>
      <c r="E111" s="573">
        <f t="shared" si="49"/>
        <v>337863507.72623199</v>
      </c>
      <c r="F111" s="653"/>
      <c r="G111" s="653"/>
      <c r="H111" s="653"/>
      <c r="I111" s="573">
        <f t="shared" si="49"/>
        <v>48729463.697839119</v>
      </c>
      <c r="J111" s="573">
        <f t="shared" si="49"/>
        <v>106348340.82000001</v>
      </c>
      <c r="K111" s="573">
        <f t="shared" si="49"/>
        <v>0</v>
      </c>
      <c r="L111" s="573">
        <f t="shared" si="49"/>
        <v>0</v>
      </c>
      <c r="M111" s="573">
        <f t="shared" si="49"/>
        <v>235615201.74982393</v>
      </c>
      <c r="N111" s="573">
        <f t="shared" si="49"/>
        <v>42882047.751399279</v>
      </c>
      <c r="O111" s="573">
        <f t="shared" si="49"/>
        <v>67181777.407312095</v>
      </c>
      <c r="P111" s="573">
        <f t="shared" si="49"/>
        <v>18028704.302009936</v>
      </c>
      <c r="Q111" s="573">
        <f t="shared" si="49"/>
        <v>16958073.983659301</v>
      </c>
      <c r="R111" s="573">
        <f t="shared" si="49"/>
        <v>38576994.048309989</v>
      </c>
      <c r="S111" s="573">
        <f t="shared" si="49"/>
        <v>9652446.0267252605</v>
      </c>
      <c r="T111" s="573">
        <f t="shared" si="49"/>
        <v>18537685.27170714</v>
      </c>
      <c r="U111" s="573">
        <f t="shared" si="49"/>
        <v>12129758.552269015</v>
      </c>
      <c r="V111" s="573">
        <f t="shared" si="49"/>
        <v>11409061.763250211</v>
      </c>
      <c r="W111" s="573">
        <f t="shared" si="49"/>
        <v>258652.64318173798</v>
      </c>
      <c r="X111" s="573">
        <f t="shared" si="49"/>
        <v>8788127.801578097</v>
      </c>
      <c r="Y111" s="573">
        <f t="shared" si="49"/>
        <v>6714822.2887393823</v>
      </c>
      <c r="Z111" s="573">
        <f t="shared" si="49"/>
        <v>2073305.5128387134</v>
      </c>
      <c r="AA111" s="573">
        <f t="shared" si="49"/>
        <v>2796310.97777974</v>
      </c>
      <c r="AB111" s="573">
        <f t="shared" si="49"/>
        <v>9919110.6300920025</v>
      </c>
      <c r="AC111" s="573">
        <f t="shared" si="49"/>
        <v>9191040.9207042605</v>
      </c>
      <c r="AD111" s="573">
        <f t="shared" si="49"/>
        <v>728069.70938774117</v>
      </c>
      <c r="AE111" s="573">
        <f t="shared" si="49"/>
        <v>0</v>
      </c>
      <c r="AF111" s="573">
        <f t="shared" si="49"/>
        <v>4198294.6727196574</v>
      </c>
      <c r="AG111" s="573">
        <f t="shared" si="49"/>
        <v>4198294.6727196574</v>
      </c>
      <c r="AH111" s="573">
        <f t="shared" si="49"/>
        <v>-37878786.944044746</v>
      </c>
      <c r="AI111" s="571">
        <f t="shared" si="28"/>
        <v>716379571.13201988</v>
      </c>
      <c r="AJ111" s="573">
        <f t="shared" si="49"/>
        <v>55134578.925641865</v>
      </c>
      <c r="AK111" s="594">
        <f t="shared" si="49"/>
        <v>771514150.05766177</v>
      </c>
      <c r="AL111" s="570"/>
      <c r="AM111" s="570">
        <f>'9a. Summary Schedules'!C111</f>
        <v>771514150.05766153</v>
      </c>
      <c r="AN111" s="570">
        <f t="shared" si="41"/>
        <v>0</v>
      </c>
    </row>
    <row r="112" spans="1:41" x14ac:dyDescent="0.3">
      <c r="A112" s="574"/>
      <c r="B112" s="573"/>
      <c r="C112" s="573"/>
      <c r="D112" s="573"/>
      <c r="E112" s="573"/>
      <c r="F112" s="653"/>
      <c r="G112" s="653"/>
      <c r="H112" s="653"/>
      <c r="I112" s="573"/>
      <c r="J112" s="573"/>
      <c r="K112" s="573"/>
      <c r="L112" s="573"/>
      <c r="M112" s="573"/>
      <c r="N112" s="573"/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1"/>
      <c r="AJ112" s="592"/>
      <c r="AK112" s="593"/>
      <c r="AL112" s="570"/>
      <c r="AM112" s="570"/>
      <c r="AN112" s="570"/>
    </row>
    <row r="113" spans="1:41" x14ac:dyDescent="0.3">
      <c r="A113" s="574" t="s">
        <v>953</v>
      </c>
      <c r="B113" s="573"/>
      <c r="C113" s="573"/>
      <c r="D113" s="573">
        <f>D101+D111</f>
        <v>4002691850.7063665</v>
      </c>
      <c r="E113" s="573">
        <f>E101+E111</f>
        <v>3768542652.8006306</v>
      </c>
      <c r="F113" s="653"/>
      <c r="G113" s="653"/>
      <c r="H113" s="653"/>
      <c r="I113" s="573">
        <f>I101+I111</f>
        <v>127800857.08573601</v>
      </c>
      <c r="J113" s="573">
        <f>J101+J111</f>
        <v>106348340.82000001</v>
      </c>
      <c r="K113" s="573">
        <f>K101+K111</f>
        <v>0</v>
      </c>
      <c r="L113" s="573">
        <f t="shared" ref="L113:AJ113" si="50">L101+L111</f>
        <v>0</v>
      </c>
      <c r="M113" s="573">
        <f t="shared" si="50"/>
        <v>2473708363.9861655</v>
      </c>
      <c r="N113" s="573">
        <f t="shared" si="50"/>
        <v>421278384.69616479</v>
      </c>
      <c r="O113" s="573">
        <f t="shared" si="50"/>
        <v>701706767.65630937</v>
      </c>
      <c r="P113" s="573">
        <f t="shared" si="50"/>
        <v>187710131.86218944</v>
      </c>
      <c r="Q113" s="573">
        <f t="shared" si="50"/>
        <v>195253376.33043703</v>
      </c>
      <c r="R113" s="573">
        <f t="shared" si="50"/>
        <v>391090995.9255079</v>
      </c>
      <c r="S113" s="573">
        <f t="shared" si="50"/>
        <v>96873608.474751219</v>
      </c>
      <c r="T113" s="573">
        <f t="shared" si="50"/>
        <v>213440844.88247943</v>
      </c>
      <c r="U113" s="573">
        <f t="shared" si="50"/>
        <v>142759858.02316278</v>
      </c>
      <c r="V113" s="573">
        <f t="shared" si="50"/>
        <v>123014285.6485977</v>
      </c>
      <c r="W113" s="573">
        <f t="shared" si="50"/>
        <v>580110.48656534555</v>
      </c>
      <c r="X113" s="573">
        <f t="shared" si="50"/>
        <v>178926208.46877405</v>
      </c>
      <c r="Y113" s="573">
        <f t="shared" si="50"/>
        <v>165250265.89282584</v>
      </c>
      <c r="Z113" s="573">
        <f t="shared" si="50"/>
        <v>13675942.575948212</v>
      </c>
      <c r="AA113" s="573">
        <f t="shared" si="50"/>
        <v>10441490.41569642</v>
      </c>
      <c r="AB113" s="573">
        <f t="shared" si="50"/>
        <v>48965566.05844076</v>
      </c>
      <c r="AC113" s="573">
        <f t="shared" si="50"/>
        <v>44622185.358902119</v>
      </c>
      <c r="AD113" s="573">
        <f t="shared" si="50"/>
        <v>4343380.6995386407</v>
      </c>
      <c r="AE113" s="573">
        <f t="shared" si="50"/>
        <v>0</v>
      </c>
      <c r="AF113" s="573">
        <f t="shared" si="50"/>
        <v>9739653.0432508364</v>
      </c>
      <c r="AG113" s="573">
        <f t="shared" si="50"/>
        <v>9739653.0432508364</v>
      </c>
      <c r="AH113" s="573">
        <f t="shared" si="50"/>
        <v>-37878786.944044746</v>
      </c>
      <c r="AI113" s="571">
        <f t="shared" si="28"/>
        <v>6686594345.7346478</v>
      </c>
      <c r="AJ113" s="573">
        <f t="shared" si="50"/>
        <v>681174168.12636197</v>
      </c>
      <c r="AK113" s="593">
        <f>+AI113+AJ113</f>
        <v>7367768513.8610096</v>
      </c>
      <c r="AL113" s="570"/>
      <c r="AM113" s="570">
        <f>'9a. Summary Schedules'!C113</f>
        <v>7367768513.8610115</v>
      </c>
      <c r="AN113" s="570">
        <f>AK113-AM113</f>
        <v>0</v>
      </c>
    </row>
    <row r="114" spans="1:41" ht="13.5" thickBot="1" x14ac:dyDescent="0.35">
      <c r="A114" s="587"/>
      <c r="B114" s="588"/>
      <c r="C114" s="588"/>
      <c r="D114" s="588"/>
      <c r="E114" s="588"/>
      <c r="F114" s="655"/>
      <c r="G114" s="655"/>
      <c r="H114" s="655"/>
      <c r="I114" s="588"/>
      <c r="J114" s="588"/>
      <c r="K114" s="588"/>
      <c r="L114" s="588"/>
      <c r="M114" s="588"/>
      <c r="N114" s="588"/>
      <c r="O114" s="588"/>
      <c r="P114" s="588"/>
      <c r="Q114" s="588"/>
      <c r="R114" s="588"/>
      <c r="S114" s="588"/>
      <c r="T114" s="588"/>
      <c r="U114" s="588"/>
      <c r="V114" s="588"/>
      <c r="W114" s="588"/>
      <c r="X114" s="588"/>
      <c r="Y114" s="588"/>
      <c r="Z114" s="588"/>
      <c r="AA114" s="588"/>
      <c r="AB114" s="588"/>
      <c r="AC114" s="588"/>
      <c r="AD114" s="588"/>
      <c r="AE114" s="588"/>
      <c r="AF114" s="588"/>
      <c r="AG114" s="588"/>
      <c r="AH114" s="588"/>
      <c r="AI114" s="588"/>
      <c r="AJ114" s="588"/>
      <c r="AK114" s="599"/>
      <c r="AL114" s="121"/>
      <c r="AM114" s="121"/>
      <c r="AN114" s="121"/>
    </row>
    <row r="115" spans="1:41" x14ac:dyDescent="0.3"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</row>
    <row r="118" spans="1:41" ht="13.5" thickBot="1" x14ac:dyDescent="0.35"/>
    <row r="119" spans="1:41" x14ac:dyDescent="0.3">
      <c r="A119" s="205" t="str">
        <f>A1</f>
        <v>CPS Energy</v>
      </c>
      <c r="B119" s="286"/>
      <c r="C119" s="206"/>
      <c r="D119" s="206"/>
      <c r="E119" s="206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8"/>
    </row>
    <row r="120" spans="1:41" x14ac:dyDescent="0.3">
      <c r="A120" s="211" t="s">
        <v>1312</v>
      </c>
      <c r="B120" s="285"/>
      <c r="C120" s="183"/>
      <c r="D120" s="183"/>
      <c r="E120" s="183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210"/>
    </row>
    <row r="121" spans="1:41" x14ac:dyDescent="0.3">
      <c r="A121" s="268"/>
      <c r="B121" s="191"/>
      <c r="C121" s="191"/>
      <c r="D121" s="256"/>
      <c r="E121" s="256"/>
      <c r="F121" s="256"/>
      <c r="G121" s="256"/>
      <c r="H121" s="256"/>
      <c r="I121" s="256"/>
      <c r="J121" s="256"/>
      <c r="K121" s="256"/>
      <c r="L121" s="256"/>
      <c r="M121" s="257" t="s">
        <v>367</v>
      </c>
      <c r="N121" s="258"/>
      <c r="O121" s="258"/>
      <c r="P121" s="258"/>
      <c r="Q121" s="258"/>
      <c r="R121" s="258"/>
      <c r="S121" s="258"/>
      <c r="T121" s="258"/>
      <c r="U121" s="258"/>
      <c r="V121" s="259"/>
      <c r="W121" s="259"/>
      <c r="X121" s="191"/>
      <c r="Y121" s="191"/>
      <c r="Z121" s="191"/>
      <c r="AA121" s="191"/>
      <c r="AB121" s="191"/>
      <c r="AC121" s="191"/>
      <c r="AD121" s="191"/>
      <c r="AE121" s="191"/>
      <c r="AF121" s="191"/>
      <c r="AG121" s="191"/>
      <c r="AH121" s="191"/>
      <c r="AI121" s="183"/>
      <c r="AJ121" s="184"/>
      <c r="AK121" s="210"/>
    </row>
    <row r="122" spans="1:41" x14ac:dyDescent="0.3">
      <c r="A122" s="261"/>
      <c r="B122" s="262"/>
      <c r="C122" s="276"/>
      <c r="D122" s="257" t="s">
        <v>544</v>
      </c>
      <c r="E122" s="258"/>
      <c r="F122" s="258"/>
      <c r="G122" s="258"/>
      <c r="H122" s="258"/>
      <c r="I122" s="259"/>
      <c r="J122" s="258"/>
      <c r="K122" s="259"/>
      <c r="L122" s="262"/>
      <c r="M122" s="191"/>
      <c r="N122" s="257" t="s">
        <v>922</v>
      </c>
      <c r="O122" s="258"/>
      <c r="P122" s="258"/>
      <c r="Q122" s="259"/>
      <c r="R122" s="257" t="s">
        <v>923</v>
      </c>
      <c r="S122" s="258"/>
      <c r="T122" s="258"/>
      <c r="U122" s="258"/>
      <c r="V122" s="259"/>
      <c r="W122" s="265"/>
      <c r="X122" s="257" t="s">
        <v>907</v>
      </c>
      <c r="Y122" s="258"/>
      <c r="Z122" s="259"/>
      <c r="AA122" s="191"/>
      <c r="AB122" s="257" t="s">
        <v>85</v>
      </c>
      <c r="AC122" s="258"/>
      <c r="AD122" s="258"/>
      <c r="AE122" s="258"/>
      <c r="AF122" s="257" t="s">
        <v>912</v>
      </c>
      <c r="AG122" s="259"/>
      <c r="AH122" s="191"/>
      <c r="AI122" s="214"/>
      <c r="AJ122" s="214"/>
      <c r="AK122" s="267"/>
    </row>
    <row r="123" spans="1:41" x14ac:dyDescent="0.3">
      <c r="A123" s="268"/>
      <c r="B123" s="194"/>
      <c r="C123" s="193"/>
      <c r="D123" s="195" t="s">
        <v>357</v>
      </c>
      <c r="E123" s="196" t="s">
        <v>924</v>
      </c>
      <c r="F123" s="196"/>
      <c r="G123" s="196"/>
      <c r="H123" s="196"/>
      <c r="I123" s="196" t="s">
        <v>924</v>
      </c>
      <c r="J123" s="269"/>
      <c r="K123" s="197" t="s">
        <v>79</v>
      </c>
      <c r="L123" s="198" t="s">
        <v>357</v>
      </c>
      <c r="M123" s="199" t="s">
        <v>357</v>
      </c>
      <c r="N123" s="270"/>
      <c r="O123" s="271" t="s">
        <v>925</v>
      </c>
      <c r="P123" s="271" t="s">
        <v>926</v>
      </c>
      <c r="Q123" s="216"/>
      <c r="R123" s="270" t="s">
        <v>925</v>
      </c>
      <c r="S123" s="271" t="s">
        <v>926</v>
      </c>
      <c r="T123" s="271"/>
      <c r="U123" s="263"/>
      <c r="V123" s="263"/>
      <c r="W123" s="216" t="s">
        <v>1010</v>
      </c>
      <c r="X123" s="271" t="s">
        <v>357</v>
      </c>
      <c r="Y123" s="270"/>
      <c r="Z123" s="270" t="s">
        <v>994</v>
      </c>
      <c r="AA123" s="215" t="s">
        <v>357</v>
      </c>
      <c r="AB123" s="215" t="s">
        <v>357</v>
      </c>
      <c r="AC123" s="215" t="s">
        <v>86</v>
      </c>
      <c r="AD123" s="215" t="s">
        <v>1003</v>
      </c>
      <c r="AE123" s="277"/>
      <c r="AF123" s="215" t="s">
        <v>911</v>
      </c>
      <c r="AG123" s="215"/>
      <c r="AH123" s="215" t="s">
        <v>357</v>
      </c>
      <c r="AI123" s="186" t="s">
        <v>355</v>
      </c>
      <c r="AJ123" s="186" t="s">
        <v>355</v>
      </c>
      <c r="AK123" s="219" t="s">
        <v>355</v>
      </c>
    </row>
    <row r="124" spans="1:41" x14ac:dyDescent="0.3">
      <c r="A124" s="268"/>
      <c r="B124" s="186"/>
      <c r="C124" s="200"/>
      <c r="D124" s="186" t="s">
        <v>544</v>
      </c>
      <c r="E124" s="196" t="s">
        <v>928</v>
      </c>
      <c r="F124" s="196" t="s">
        <v>1140</v>
      </c>
      <c r="G124" s="196" t="s">
        <v>1139</v>
      </c>
      <c r="H124" s="196" t="s">
        <v>947</v>
      </c>
      <c r="I124" s="196" t="s">
        <v>927</v>
      </c>
      <c r="J124" s="196" t="s">
        <v>617</v>
      </c>
      <c r="K124" s="187" t="s">
        <v>80</v>
      </c>
      <c r="L124" s="198" t="s">
        <v>366</v>
      </c>
      <c r="M124" s="199" t="s">
        <v>367</v>
      </c>
      <c r="N124" s="200" t="s">
        <v>929</v>
      </c>
      <c r="O124" s="196" t="s">
        <v>930</v>
      </c>
      <c r="P124" s="196" t="s">
        <v>930</v>
      </c>
      <c r="Q124" s="187" t="s">
        <v>931</v>
      </c>
      <c r="R124" s="200" t="s">
        <v>930</v>
      </c>
      <c r="S124" s="196" t="s">
        <v>930</v>
      </c>
      <c r="T124" s="196" t="s">
        <v>931</v>
      </c>
      <c r="U124" s="196" t="s">
        <v>456</v>
      </c>
      <c r="V124" s="196" t="s">
        <v>932</v>
      </c>
      <c r="W124" s="187" t="s">
        <v>1011</v>
      </c>
      <c r="X124" s="196" t="s">
        <v>907</v>
      </c>
      <c r="Y124" s="200" t="s">
        <v>907</v>
      </c>
      <c r="Z124" s="200" t="s">
        <v>995</v>
      </c>
      <c r="AA124" s="186" t="s">
        <v>84</v>
      </c>
      <c r="AB124" s="186" t="s">
        <v>82</v>
      </c>
      <c r="AC124" s="186" t="s">
        <v>87</v>
      </c>
      <c r="AD124" s="186" t="s">
        <v>1004</v>
      </c>
      <c r="AE124" s="186" t="s">
        <v>1005</v>
      </c>
      <c r="AF124" s="186" t="s">
        <v>912</v>
      </c>
      <c r="AG124" s="186" t="s">
        <v>1006</v>
      </c>
      <c r="AH124" s="186" t="s">
        <v>913</v>
      </c>
      <c r="AI124" s="186" t="s">
        <v>364</v>
      </c>
      <c r="AJ124" s="186" t="s">
        <v>947</v>
      </c>
      <c r="AK124" s="219" t="s">
        <v>948</v>
      </c>
    </row>
    <row r="125" spans="1:41" ht="13.5" thickBot="1" x14ac:dyDescent="0.35">
      <c r="A125" s="278" t="s">
        <v>359</v>
      </c>
      <c r="B125" s="279"/>
      <c r="C125" s="280"/>
      <c r="D125" s="281" t="s">
        <v>815</v>
      </c>
      <c r="E125" s="282" t="s">
        <v>816</v>
      </c>
      <c r="F125" s="282"/>
      <c r="G125" s="282"/>
      <c r="H125" s="282"/>
      <c r="I125" s="282" t="s">
        <v>817</v>
      </c>
      <c r="J125" s="282" t="s">
        <v>818</v>
      </c>
      <c r="K125" s="282" t="s">
        <v>819</v>
      </c>
      <c r="L125" s="234" t="s">
        <v>820</v>
      </c>
      <c r="M125" s="282" t="s">
        <v>821</v>
      </c>
      <c r="N125" s="281" t="s">
        <v>822</v>
      </c>
      <c r="O125" s="282" t="s">
        <v>823</v>
      </c>
      <c r="P125" s="282" t="s">
        <v>908</v>
      </c>
      <c r="Q125" s="282" t="s">
        <v>914</v>
      </c>
      <c r="R125" s="281" t="s">
        <v>915</v>
      </c>
      <c r="S125" s="282" t="s">
        <v>916</v>
      </c>
      <c r="T125" s="282" t="s">
        <v>917</v>
      </c>
      <c r="U125" s="282" t="s">
        <v>918</v>
      </c>
      <c r="V125" s="282" t="s">
        <v>934</v>
      </c>
      <c r="W125" s="283" t="s">
        <v>935</v>
      </c>
      <c r="X125" s="282" t="s">
        <v>936</v>
      </c>
      <c r="Y125" s="234" t="s">
        <v>937</v>
      </c>
      <c r="Z125" s="234" t="s">
        <v>938</v>
      </c>
      <c r="AA125" s="234" t="s">
        <v>939</v>
      </c>
      <c r="AB125" s="234" t="s">
        <v>985</v>
      </c>
      <c r="AC125" s="234" t="s">
        <v>986</v>
      </c>
      <c r="AD125" s="234" t="s">
        <v>987</v>
      </c>
      <c r="AE125" s="234" t="s">
        <v>988</v>
      </c>
      <c r="AF125" s="234" t="s">
        <v>989</v>
      </c>
      <c r="AG125" s="234" t="s">
        <v>990</v>
      </c>
      <c r="AH125" s="234" t="s">
        <v>991</v>
      </c>
      <c r="AI125" s="234" t="s">
        <v>992</v>
      </c>
      <c r="AJ125" s="234" t="s">
        <v>993</v>
      </c>
      <c r="AK125" s="235" t="s">
        <v>1002</v>
      </c>
    </row>
    <row r="126" spans="1:41" x14ac:dyDescent="0.3">
      <c r="A126" s="157"/>
      <c r="B126" s="35"/>
      <c r="C126" s="35"/>
      <c r="D126" s="35"/>
      <c r="E126" s="35"/>
      <c r="F126" s="639"/>
      <c r="G126" s="639"/>
      <c r="H126" s="639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158"/>
    </row>
    <row r="127" spans="1:41" x14ac:dyDescent="0.3">
      <c r="A127" s="162" t="s">
        <v>955</v>
      </c>
      <c r="B127" s="35"/>
      <c r="C127" s="35"/>
      <c r="D127" s="111">
        <f>SUM(E127,I127:K127)</f>
        <v>317042422.25951999</v>
      </c>
      <c r="E127" s="111">
        <f>E77</f>
        <v>0</v>
      </c>
      <c r="F127" s="656"/>
      <c r="G127" s="656"/>
      <c r="H127" s="656"/>
      <c r="I127" s="111">
        <f>I77</f>
        <v>0</v>
      </c>
      <c r="J127" s="111">
        <f>J77</f>
        <v>317042422.25951999</v>
      </c>
      <c r="K127" s="111">
        <f>K77</f>
        <v>0</v>
      </c>
      <c r="L127" s="111">
        <v>0</v>
      </c>
      <c r="M127" s="111">
        <f t="shared" ref="M127:AH127" si="51">M77</f>
        <v>0</v>
      </c>
      <c r="N127" s="111">
        <f t="shared" si="51"/>
        <v>0</v>
      </c>
      <c r="O127" s="111">
        <f t="shared" si="51"/>
        <v>0</v>
      </c>
      <c r="P127" s="111">
        <f t="shared" si="51"/>
        <v>0</v>
      </c>
      <c r="Q127" s="111">
        <f t="shared" si="51"/>
        <v>0</v>
      </c>
      <c r="R127" s="111">
        <f t="shared" si="51"/>
        <v>0</v>
      </c>
      <c r="S127" s="111">
        <f t="shared" si="51"/>
        <v>0</v>
      </c>
      <c r="T127" s="111">
        <f t="shared" si="51"/>
        <v>0</v>
      </c>
      <c r="U127" s="111">
        <f t="shared" si="51"/>
        <v>0</v>
      </c>
      <c r="V127" s="111">
        <f t="shared" si="51"/>
        <v>0</v>
      </c>
      <c r="W127" s="111">
        <f t="shared" si="51"/>
        <v>0</v>
      </c>
      <c r="X127" s="111">
        <f t="shared" si="51"/>
        <v>0</v>
      </c>
      <c r="Y127" s="111">
        <f t="shared" si="51"/>
        <v>0</v>
      </c>
      <c r="Z127" s="111">
        <f t="shared" si="51"/>
        <v>0</v>
      </c>
      <c r="AA127" s="111">
        <f t="shared" si="51"/>
        <v>0</v>
      </c>
      <c r="AB127" s="111">
        <f t="shared" si="51"/>
        <v>0</v>
      </c>
      <c r="AC127" s="111">
        <f t="shared" si="51"/>
        <v>0</v>
      </c>
      <c r="AD127" s="111">
        <f t="shared" si="51"/>
        <v>0</v>
      </c>
      <c r="AE127" s="111">
        <f t="shared" si="51"/>
        <v>0</v>
      </c>
      <c r="AF127" s="111">
        <f t="shared" si="51"/>
        <v>0</v>
      </c>
      <c r="AG127" s="111">
        <f t="shared" si="51"/>
        <v>0</v>
      </c>
      <c r="AH127" s="111">
        <f t="shared" si="51"/>
        <v>0</v>
      </c>
      <c r="AI127" s="111">
        <f t="shared" ref="AI127" si="52">SUM(E127,I127:K127,L127,N127:W127,Y127:Z127,AA127:AA127,AC127:AE127,AG127:AG127,AH127)</f>
        <v>317042422.25951999</v>
      </c>
      <c r="AJ127" s="111">
        <f>AJ78</f>
        <v>53285048.960000008</v>
      </c>
      <c r="AK127" s="236">
        <f>AI127+AJ127</f>
        <v>370327471.21951997</v>
      </c>
      <c r="AM127" s="101">
        <f>'9a. Summary Schedules'!C127</f>
        <v>370327471.21951997</v>
      </c>
      <c r="AN127" s="101">
        <f>AK127-AM127</f>
        <v>0</v>
      </c>
    </row>
    <row r="128" spans="1:41" x14ac:dyDescent="0.3">
      <c r="A128" s="162"/>
      <c r="B128" s="35"/>
      <c r="C128" s="35"/>
      <c r="D128" s="111"/>
      <c r="E128" s="111"/>
      <c r="F128" s="656"/>
      <c r="G128" s="656"/>
      <c r="H128" s="656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1"/>
      <c r="AE128" s="111"/>
      <c r="AF128" s="111"/>
      <c r="AG128" s="111"/>
      <c r="AH128" s="111"/>
      <c r="AI128" s="111"/>
      <c r="AJ128" s="111"/>
      <c r="AK128" s="287"/>
    </row>
    <row r="129" spans="1:40" x14ac:dyDescent="0.3">
      <c r="A129" s="157" t="s">
        <v>810</v>
      </c>
      <c r="B129" s="35"/>
      <c r="C129" s="35"/>
      <c r="D129" s="111">
        <f>SUM(E129,I129:K129)</f>
        <v>227201666.57000002</v>
      </c>
      <c r="E129" s="111">
        <f t="shared" ref="E129:K134" si="53">E41</f>
        <v>169811627.8249402</v>
      </c>
      <c r="F129" s="656"/>
      <c r="G129" s="656"/>
      <c r="H129" s="656"/>
      <c r="I129" s="111">
        <f t="shared" si="53"/>
        <v>57390038.745059818</v>
      </c>
      <c r="J129" s="111">
        <f t="shared" si="53"/>
        <v>0</v>
      </c>
      <c r="K129" s="111">
        <f t="shared" si="53"/>
        <v>0</v>
      </c>
      <c r="L129" s="111">
        <v>0</v>
      </c>
      <c r="M129" s="111">
        <f t="shared" ref="M129:AH129" si="54">M41</f>
        <v>88810905.387649953</v>
      </c>
      <c r="N129" s="111">
        <f t="shared" si="54"/>
        <v>18567236.929002482</v>
      </c>
      <c r="O129" s="111">
        <f t="shared" si="54"/>
        <v>28230907.715102665</v>
      </c>
      <c r="P129" s="111">
        <f t="shared" si="54"/>
        <v>7768739.4674058827</v>
      </c>
      <c r="Q129" s="111">
        <f t="shared" si="54"/>
        <v>1105046.827609252</v>
      </c>
      <c r="R129" s="111">
        <f t="shared" si="54"/>
        <v>20029161.203761414</v>
      </c>
      <c r="S129" s="111">
        <f t="shared" si="54"/>
        <v>5328279.3604328306</v>
      </c>
      <c r="T129" s="111">
        <f t="shared" si="54"/>
        <v>1207979.7694277053</v>
      </c>
      <c r="U129" s="111">
        <f t="shared" si="54"/>
        <v>0</v>
      </c>
      <c r="V129" s="111">
        <f t="shared" si="54"/>
        <v>5117945.2002358725</v>
      </c>
      <c r="W129" s="111">
        <f t="shared" si="54"/>
        <v>1455608.914671842</v>
      </c>
      <c r="X129" s="111">
        <f t="shared" si="54"/>
        <v>20098455.643104106</v>
      </c>
      <c r="Y129" s="111">
        <f t="shared" si="54"/>
        <v>11236208.182350054</v>
      </c>
      <c r="Z129" s="111">
        <f t="shared" si="54"/>
        <v>8862247.4607540499</v>
      </c>
      <c r="AA129" s="111">
        <f t="shared" si="54"/>
        <v>5698530.8631646633</v>
      </c>
      <c r="AB129" s="111">
        <f t="shared" si="54"/>
        <v>18288002.820946973</v>
      </c>
      <c r="AC129" s="111">
        <f t="shared" si="54"/>
        <v>18288002.820946973</v>
      </c>
      <c r="AD129" s="111">
        <f t="shared" si="54"/>
        <v>0</v>
      </c>
      <c r="AE129" s="111">
        <f t="shared" si="54"/>
        <v>0</v>
      </c>
      <c r="AF129" s="111">
        <f t="shared" si="54"/>
        <v>11300520.26</v>
      </c>
      <c r="AG129" s="111">
        <f t="shared" si="54"/>
        <v>11300520.26</v>
      </c>
      <c r="AH129" s="111">
        <f t="shared" si="54"/>
        <v>0</v>
      </c>
      <c r="AI129" s="111">
        <f t="shared" ref="AI129:AI161" si="55">SUM(E129,I129:K129,L129,N129:W129,Y129:Z129,AA129:AA129,AC129:AE129,AG129:AG129,AH129)</f>
        <v>371398081.54486561</v>
      </c>
      <c r="AJ129" s="111">
        <f t="shared" ref="AJ129:AJ134" si="56">AJ41</f>
        <v>32863415.13513431</v>
      </c>
      <c r="AK129" s="236">
        <f t="shared" ref="AK129:AK134" si="57">AI129+AJ129</f>
        <v>404261496.67999995</v>
      </c>
      <c r="AM129" s="101">
        <f>'9a. Summary Schedules'!C129</f>
        <v>1083157149.1399999</v>
      </c>
      <c r="AN129" s="101">
        <f t="shared" ref="AN129:AN135" si="58">AK129-AM129</f>
        <v>-678895652.45999992</v>
      </c>
    </row>
    <row r="130" spans="1:40" x14ac:dyDescent="0.3">
      <c r="A130" s="157" t="s">
        <v>956</v>
      </c>
      <c r="B130" s="35"/>
      <c r="C130" s="35"/>
      <c r="D130" s="111">
        <f t="shared" ref="D130:D134" si="59">SUM(E130,I130:K130)</f>
        <v>82392138.50394249</v>
      </c>
      <c r="E130" s="111">
        <f t="shared" si="53"/>
        <v>48801916.431806602</v>
      </c>
      <c r="F130" s="656"/>
      <c r="G130" s="656"/>
      <c r="H130" s="656"/>
      <c r="I130" s="111">
        <f t="shared" si="53"/>
        <v>33590222.072135881</v>
      </c>
      <c r="J130" s="111">
        <f t="shared" si="53"/>
        <v>0</v>
      </c>
      <c r="K130" s="111">
        <f t="shared" si="53"/>
        <v>0</v>
      </c>
      <c r="L130" s="111">
        <v>0</v>
      </c>
      <c r="M130" s="111">
        <f t="shared" ref="M130:AH130" si="60">M42</f>
        <v>54807107.926939994</v>
      </c>
      <c r="N130" s="111">
        <f t="shared" si="60"/>
        <v>17020757.342097554</v>
      </c>
      <c r="O130" s="111">
        <f t="shared" si="60"/>
        <v>15672566.697106455</v>
      </c>
      <c r="P130" s="111">
        <f t="shared" si="60"/>
        <v>4310907.300118031</v>
      </c>
      <c r="Q130" s="111">
        <f t="shared" si="60"/>
        <v>930035.77646424621</v>
      </c>
      <c r="R130" s="111">
        <f t="shared" si="60"/>
        <v>11080542.126136133</v>
      </c>
      <c r="S130" s="111">
        <f t="shared" si="60"/>
        <v>2945110.2454890464</v>
      </c>
      <c r="T130" s="111">
        <f t="shared" si="60"/>
        <v>1016666.782568293</v>
      </c>
      <c r="U130" s="111">
        <f t="shared" si="60"/>
        <v>77186.851341631787</v>
      </c>
      <c r="V130" s="111">
        <f t="shared" si="60"/>
        <v>1584986.9808297632</v>
      </c>
      <c r="W130" s="111">
        <f t="shared" si="60"/>
        <v>168347.82478884305</v>
      </c>
      <c r="X130" s="111">
        <f t="shared" si="60"/>
        <v>3654562.964662313</v>
      </c>
      <c r="Y130" s="111">
        <f t="shared" si="60"/>
        <v>1776552.6850167948</v>
      </c>
      <c r="Z130" s="111">
        <f t="shared" si="60"/>
        <v>1878010.2796455179</v>
      </c>
      <c r="AA130" s="111">
        <f t="shared" si="60"/>
        <v>1190617.5640386445</v>
      </c>
      <c r="AB130" s="111">
        <f t="shared" si="60"/>
        <v>3683021.925998183</v>
      </c>
      <c r="AC130" s="111">
        <f t="shared" si="60"/>
        <v>3342010.9558612946</v>
      </c>
      <c r="AD130" s="111">
        <f t="shared" si="60"/>
        <v>341010.97013688786</v>
      </c>
      <c r="AE130" s="111">
        <f t="shared" si="60"/>
        <v>0</v>
      </c>
      <c r="AF130" s="111">
        <f t="shared" si="60"/>
        <v>3822484.6549347816</v>
      </c>
      <c r="AG130" s="111">
        <f t="shared" si="60"/>
        <v>3822484.6549347816</v>
      </c>
      <c r="AH130" s="111">
        <f t="shared" si="60"/>
        <v>-7486.1</v>
      </c>
      <c r="AI130" s="111">
        <f t="shared" si="55"/>
        <v>149542447.44051644</v>
      </c>
      <c r="AJ130" s="111">
        <f t="shared" si="56"/>
        <v>10959473.199999999</v>
      </c>
      <c r="AK130" s="236">
        <f t="shared" si="57"/>
        <v>160501920.64051643</v>
      </c>
      <c r="AM130" s="101">
        <f>'9a. Summary Schedules'!C130</f>
        <v>160501920.6405164</v>
      </c>
      <c r="AN130" s="101">
        <f t="shared" si="58"/>
        <v>0</v>
      </c>
    </row>
    <row r="131" spans="1:40" x14ac:dyDescent="0.3">
      <c r="A131" s="162" t="s">
        <v>957</v>
      </c>
      <c r="B131" s="35"/>
      <c r="C131" s="35"/>
      <c r="D131" s="111">
        <f t="shared" si="59"/>
        <v>0</v>
      </c>
      <c r="E131" s="111">
        <f t="shared" si="53"/>
        <v>0</v>
      </c>
      <c r="F131" s="656"/>
      <c r="G131" s="656"/>
      <c r="H131" s="656"/>
      <c r="I131" s="111">
        <f t="shared" si="53"/>
        <v>0</v>
      </c>
      <c r="J131" s="111">
        <f t="shared" si="53"/>
        <v>0</v>
      </c>
      <c r="K131" s="111">
        <f t="shared" si="53"/>
        <v>0</v>
      </c>
      <c r="L131" s="111">
        <v>0</v>
      </c>
      <c r="M131" s="111">
        <f t="shared" ref="M131:AH131" si="61">M43</f>
        <v>0</v>
      </c>
      <c r="N131" s="111">
        <f t="shared" si="61"/>
        <v>0</v>
      </c>
      <c r="O131" s="111">
        <f t="shared" si="61"/>
        <v>0</v>
      </c>
      <c r="P131" s="111">
        <f t="shared" si="61"/>
        <v>0</v>
      </c>
      <c r="Q131" s="111">
        <f t="shared" si="61"/>
        <v>0</v>
      </c>
      <c r="R131" s="111">
        <f t="shared" si="61"/>
        <v>0</v>
      </c>
      <c r="S131" s="111">
        <f t="shared" si="61"/>
        <v>0</v>
      </c>
      <c r="T131" s="111">
        <f t="shared" si="61"/>
        <v>0</v>
      </c>
      <c r="U131" s="111">
        <f t="shared" si="61"/>
        <v>0</v>
      </c>
      <c r="V131" s="111">
        <f t="shared" si="61"/>
        <v>0</v>
      </c>
      <c r="W131" s="111">
        <f t="shared" si="61"/>
        <v>0</v>
      </c>
      <c r="X131" s="111">
        <f t="shared" si="61"/>
        <v>0</v>
      </c>
      <c r="Y131" s="111">
        <f t="shared" si="61"/>
        <v>0</v>
      </c>
      <c r="Z131" s="111">
        <f t="shared" si="61"/>
        <v>0</v>
      </c>
      <c r="AA131" s="111">
        <f t="shared" si="61"/>
        <v>0</v>
      </c>
      <c r="AB131" s="111">
        <f t="shared" si="61"/>
        <v>0</v>
      </c>
      <c r="AC131" s="111">
        <f t="shared" si="61"/>
        <v>0</v>
      </c>
      <c r="AD131" s="111">
        <f t="shared" si="61"/>
        <v>0</v>
      </c>
      <c r="AE131" s="111">
        <f t="shared" si="61"/>
        <v>0</v>
      </c>
      <c r="AF131" s="111">
        <f t="shared" si="61"/>
        <v>0</v>
      </c>
      <c r="AG131" s="111">
        <f t="shared" si="61"/>
        <v>0</v>
      </c>
      <c r="AH131" s="111">
        <f t="shared" si="61"/>
        <v>110145.61295881959</v>
      </c>
      <c r="AI131" s="111">
        <f t="shared" si="55"/>
        <v>110145.61295881959</v>
      </c>
      <c r="AJ131" s="111">
        <f t="shared" si="56"/>
        <v>8892.9070411804132</v>
      </c>
      <c r="AK131" s="236">
        <f t="shared" si="57"/>
        <v>119038.52</v>
      </c>
      <c r="AM131" s="101">
        <f>'9a. Summary Schedules'!C131</f>
        <v>119038.52</v>
      </c>
      <c r="AN131" s="101">
        <f t="shared" si="58"/>
        <v>0</v>
      </c>
    </row>
    <row r="132" spans="1:40" x14ac:dyDescent="0.3">
      <c r="A132" s="157" t="s">
        <v>88</v>
      </c>
      <c r="B132" s="35"/>
      <c r="C132" s="35"/>
      <c r="D132" s="111">
        <f t="shared" si="59"/>
        <v>26741243.059999999</v>
      </c>
      <c r="E132" s="111">
        <f t="shared" si="53"/>
        <v>0</v>
      </c>
      <c r="F132" s="656"/>
      <c r="G132" s="656"/>
      <c r="H132" s="656"/>
      <c r="I132" s="111">
        <f t="shared" si="53"/>
        <v>0</v>
      </c>
      <c r="J132" s="111">
        <f t="shared" si="53"/>
        <v>0</v>
      </c>
      <c r="K132" s="111">
        <f t="shared" si="53"/>
        <v>26741243.059999999</v>
      </c>
      <c r="L132" s="111">
        <v>0</v>
      </c>
      <c r="M132" s="111">
        <f t="shared" ref="M132:AH132" si="62">M44</f>
        <v>0</v>
      </c>
      <c r="N132" s="111">
        <f t="shared" si="62"/>
        <v>0</v>
      </c>
      <c r="O132" s="111">
        <f t="shared" si="62"/>
        <v>0</v>
      </c>
      <c r="P132" s="111">
        <f t="shared" si="62"/>
        <v>0</v>
      </c>
      <c r="Q132" s="111">
        <f t="shared" si="62"/>
        <v>0</v>
      </c>
      <c r="R132" s="111">
        <f t="shared" si="62"/>
        <v>0</v>
      </c>
      <c r="S132" s="111">
        <f t="shared" si="62"/>
        <v>0</v>
      </c>
      <c r="T132" s="111">
        <f t="shared" si="62"/>
        <v>0</v>
      </c>
      <c r="U132" s="111">
        <f t="shared" si="62"/>
        <v>0</v>
      </c>
      <c r="V132" s="111">
        <f t="shared" si="62"/>
        <v>0</v>
      </c>
      <c r="W132" s="111">
        <f t="shared" si="62"/>
        <v>0</v>
      </c>
      <c r="X132" s="111">
        <f t="shared" si="62"/>
        <v>0</v>
      </c>
      <c r="Y132" s="111">
        <f t="shared" si="62"/>
        <v>0</v>
      </c>
      <c r="Z132" s="111">
        <f t="shared" si="62"/>
        <v>0</v>
      </c>
      <c r="AA132" s="111">
        <f t="shared" si="62"/>
        <v>0</v>
      </c>
      <c r="AB132" s="111">
        <f t="shared" si="62"/>
        <v>0</v>
      </c>
      <c r="AC132" s="111">
        <f t="shared" si="62"/>
        <v>0</v>
      </c>
      <c r="AD132" s="111">
        <f t="shared" si="62"/>
        <v>0</v>
      </c>
      <c r="AE132" s="111">
        <f t="shared" si="62"/>
        <v>0</v>
      </c>
      <c r="AF132" s="111">
        <f t="shared" si="62"/>
        <v>0</v>
      </c>
      <c r="AG132" s="111">
        <f t="shared" si="62"/>
        <v>0</v>
      </c>
      <c r="AH132" s="111">
        <f t="shared" si="62"/>
        <v>0</v>
      </c>
      <c r="AI132" s="111">
        <f t="shared" si="55"/>
        <v>26741243.059999999</v>
      </c>
      <c r="AJ132" s="111">
        <f t="shared" si="56"/>
        <v>0</v>
      </c>
      <c r="AK132" s="236">
        <f t="shared" si="57"/>
        <v>26741243.059999999</v>
      </c>
      <c r="AM132" s="101">
        <f>'9a. Summary Schedules'!C132</f>
        <v>26741243.059999999</v>
      </c>
      <c r="AN132" s="101">
        <f t="shared" si="58"/>
        <v>0</v>
      </c>
    </row>
    <row r="133" spans="1:40" x14ac:dyDescent="0.3">
      <c r="A133" s="162" t="s">
        <v>959</v>
      </c>
      <c r="B133" s="35"/>
      <c r="C133" s="35"/>
      <c r="D133" s="111">
        <f t="shared" si="59"/>
        <v>6843089.2800000012</v>
      </c>
      <c r="E133" s="111">
        <f t="shared" si="53"/>
        <v>2737235.7120000008</v>
      </c>
      <c r="F133" s="656"/>
      <c r="G133" s="656"/>
      <c r="H133" s="656"/>
      <c r="I133" s="111">
        <f t="shared" si="53"/>
        <v>4105853.5680000004</v>
      </c>
      <c r="J133" s="111">
        <f t="shared" si="53"/>
        <v>0</v>
      </c>
      <c r="K133" s="111">
        <f t="shared" si="53"/>
        <v>0</v>
      </c>
      <c r="L133" s="111">
        <v>0</v>
      </c>
      <c r="M133" s="111">
        <f t="shared" ref="M133:AH133" si="63">M45</f>
        <v>0</v>
      </c>
      <c r="N133" s="111">
        <f t="shared" si="63"/>
        <v>0</v>
      </c>
      <c r="O133" s="111">
        <f t="shared" si="63"/>
        <v>0</v>
      </c>
      <c r="P133" s="111">
        <f t="shared" si="63"/>
        <v>0</v>
      </c>
      <c r="Q133" s="111">
        <f t="shared" si="63"/>
        <v>0</v>
      </c>
      <c r="R133" s="111">
        <f t="shared" si="63"/>
        <v>0</v>
      </c>
      <c r="S133" s="111">
        <f t="shared" si="63"/>
        <v>0</v>
      </c>
      <c r="T133" s="111">
        <f t="shared" si="63"/>
        <v>0</v>
      </c>
      <c r="U133" s="111">
        <f t="shared" si="63"/>
        <v>0</v>
      </c>
      <c r="V133" s="111">
        <f t="shared" si="63"/>
        <v>0</v>
      </c>
      <c r="W133" s="111">
        <f t="shared" si="63"/>
        <v>0</v>
      </c>
      <c r="X133" s="111">
        <f t="shared" si="63"/>
        <v>0</v>
      </c>
      <c r="Y133" s="111">
        <f t="shared" si="63"/>
        <v>0</v>
      </c>
      <c r="Z133" s="111">
        <f t="shared" si="63"/>
        <v>0</v>
      </c>
      <c r="AA133" s="111">
        <f t="shared" si="63"/>
        <v>0</v>
      </c>
      <c r="AB133" s="111">
        <f t="shared" si="63"/>
        <v>0</v>
      </c>
      <c r="AC133" s="111">
        <f t="shared" si="63"/>
        <v>0</v>
      </c>
      <c r="AD133" s="111">
        <f t="shared" si="63"/>
        <v>0</v>
      </c>
      <c r="AE133" s="111">
        <f t="shared" si="63"/>
        <v>0</v>
      </c>
      <c r="AF133" s="111">
        <f t="shared" si="63"/>
        <v>0</v>
      </c>
      <c r="AG133" s="111">
        <f t="shared" si="63"/>
        <v>0</v>
      </c>
      <c r="AH133" s="111">
        <f t="shared" si="63"/>
        <v>0</v>
      </c>
      <c r="AI133" s="111">
        <f t="shared" si="55"/>
        <v>6843089.2800000012</v>
      </c>
      <c r="AJ133" s="111">
        <f t="shared" si="56"/>
        <v>0</v>
      </c>
      <c r="AK133" s="236">
        <f t="shared" si="57"/>
        <v>6843089.2800000012</v>
      </c>
      <c r="AM133" s="101">
        <f>'9a. Summary Schedules'!C133</f>
        <v>6843089.2800000012</v>
      </c>
      <c r="AN133" s="101">
        <f t="shared" si="58"/>
        <v>0</v>
      </c>
    </row>
    <row r="134" spans="1:40" ht="14.5" x14ac:dyDescent="0.45">
      <c r="A134" s="157" t="s">
        <v>960</v>
      </c>
      <c r="B134" s="35"/>
      <c r="C134" s="35"/>
      <c r="D134" s="114">
        <f t="shared" si="59"/>
        <v>0</v>
      </c>
      <c r="E134" s="114">
        <f t="shared" si="53"/>
        <v>0</v>
      </c>
      <c r="F134" s="657"/>
      <c r="G134" s="657"/>
      <c r="H134" s="657"/>
      <c r="I134" s="114">
        <f t="shared" si="53"/>
        <v>0</v>
      </c>
      <c r="J134" s="114">
        <f t="shared" si="53"/>
        <v>0</v>
      </c>
      <c r="K134" s="114">
        <f t="shared" si="53"/>
        <v>0</v>
      </c>
      <c r="L134" s="114">
        <v>0</v>
      </c>
      <c r="M134" s="114">
        <f t="shared" ref="M134:AH134" si="64">M46</f>
        <v>0</v>
      </c>
      <c r="N134" s="114">
        <f t="shared" si="64"/>
        <v>0</v>
      </c>
      <c r="O134" s="114">
        <f t="shared" si="64"/>
        <v>0</v>
      </c>
      <c r="P134" s="114">
        <f t="shared" si="64"/>
        <v>0</v>
      </c>
      <c r="Q134" s="114">
        <f t="shared" si="64"/>
        <v>0</v>
      </c>
      <c r="R134" s="114">
        <f t="shared" si="64"/>
        <v>0</v>
      </c>
      <c r="S134" s="114">
        <f t="shared" si="64"/>
        <v>0</v>
      </c>
      <c r="T134" s="114">
        <f t="shared" si="64"/>
        <v>0</v>
      </c>
      <c r="U134" s="114">
        <f t="shared" si="64"/>
        <v>0</v>
      </c>
      <c r="V134" s="114">
        <f t="shared" si="64"/>
        <v>0</v>
      </c>
      <c r="W134" s="114">
        <f t="shared" si="64"/>
        <v>0</v>
      </c>
      <c r="X134" s="114">
        <f t="shared" si="64"/>
        <v>0</v>
      </c>
      <c r="Y134" s="114">
        <f t="shared" si="64"/>
        <v>0</v>
      </c>
      <c r="Z134" s="114">
        <f t="shared" si="64"/>
        <v>0</v>
      </c>
      <c r="AA134" s="114">
        <f t="shared" si="64"/>
        <v>0</v>
      </c>
      <c r="AB134" s="114">
        <f t="shared" si="64"/>
        <v>0</v>
      </c>
      <c r="AC134" s="114">
        <f t="shared" si="64"/>
        <v>0</v>
      </c>
      <c r="AD134" s="114">
        <f t="shared" si="64"/>
        <v>0</v>
      </c>
      <c r="AE134" s="114">
        <f t="shared" si="64"/>
        <v>0</v>
      </c>
      <c r="AF134" s="114">
        <f t="shared" si="64"/>
        <v>0</v>
      </c>
      <c r="AG134" s="114">
        <f t="shared" si="64"/>
        <v>0</v>
      </c>
      <c r="AH134" s="114">
        <f t="shared" si="64"/>
        <v>0</v>
      </c>
      <c r="AI134" s="114">
        <f t="shared" si="55"/>
        <v>0</v>
      </c>
      <c r="AJ134" s="114">
        <f t="shared" si="56"/>
        <v>0</v>
      </c>
      <c r="AK134" s="237">
        <f t="shared" si="57"/>
        <v>0</v>
      </c>
      <c r="AM134" s="101">
        <f>'9a. Summary Schedules'!C134</f>
        <v>0</v>
      </c>
      <c r="AN134" s="101">
        <f t="shared" si="58"/>
        <v>0</v>
      </c>
    </row>
    <row r="135" spans="1:40" x14ac:dyDescent="0.3">
      <c r="A135" s="157" t="s">
        <v>1020</v>
      </c>
      <c r="B135" s="35"/>
      <c r="C135" s="35"/>
      <c r="D135" s="111">
        <f t="shared" ref="D135:AH135" si="65">SUM(D129:D134)</f>
        <v>343178137.41394258</v>
      </c>
      <c r="E135" s="111">
        <f t="shared" si="65"/>
        <v>221350779.96874681</v>
      </c>
      <c r="F135" s="656"/>
      <c r="G135" s="656"/>
      <c r="H135" s="656"/>
      <c r="I135" s="111">
        <f t="shared" si="65"/>
        <v>95086114.385195702</v>
      </c>
      <c r="J135" s="111">
        <f t="shared" si="65"/>
        <v>0</v>
      </c>
      <c r="K135" s="111">
        <f t="shared" si="65"/>
        <v>26741243.059999999</v>
      </c>
      <c r="L135" s="111">
        <f t="shared" si="65"/>
        <v>0</v>
      </c>
      <c r="M135" s="111">
        <f t="shared" si="65"/>
        <v>143618013.31458995</v>
      </c>
      <c r="N135" s="111">
        <f t="shared" si="65"/>
        <v>35587994.271100037</v>
      </c>
      <c r="O135" s="111">
        <f t="shared" si="65"/>
        <v>43903474.412209123</v>
      </c>
      <c r="P135" s="111">
        <f t="shared" si="65"/>
        <v>12079646.767523915</v>
      </c>
      <c r="Q135" s="111">
        <f t="shared" si="65"/>
        <v>2035082.6040734982</v>
      </c>
      <c r="R135" s="111">
        <f t="shared" si="65"/>
        <v>31109703.329897545</v>
      </c>
      <c r="S135" s="111">
        <f t="shared" si="65"/>
        <v>8273389.6059218775</v>
      </c>
      <c r="T135" s="111">
        <f t="shared" si="65"/>
        <v>2224646.5519959982</v>
      </c>
      <c r="U135" s="111">
        <f t="shared" si="65"/>
        <v>77186.851341631787</v>
      </c>
      <c r="V135" s="111">
        <f t="shared" si="65"/>
        <v>6702932.1810656358</v>
      </c>
      <c r="W135" s="111">
        <f t="shared" si="65"/>
        <v>1623956.7394606851</v>
      </c>
      <c r="X135" s="111">
        <f t="shared" si="65"/>
        <v>23753018.60776642</v>
      </c>
      <c r="Y135" s="111">
        <f t="shared" si="65"/>
        <v>13012760.867366849</v>
      </c>
      <c r="Z135" s="111">
        <f t="shared" si="65"/>
        <v>10740257.740399567</v>
      </c>
      <c r="AA135" s="111">
        <f t="shared" si="65"/>
        <v>6889148.4272033079</v>
      </c>
      <c r="AB135" s="111">
        <f t="shared" si="65"/>
        <v>21971024.746945158</v>
      </c>
      <c r="AC135" s="111">
        <f t="shared" si="65"/>
        <v>21630013.776808269</v>
      </c>
      <c r="AD135" s="111">
        <f t="shared" si="65"/>
        <v>341010.97013688786</v>
      </c>
      <c r="AE135" s="111">
        <f t="shared" si="65"/>
        <v>0</v>
      </c>
      <c r="AF135" s="111">
        <f t="shared" si="65"/>
        <v>15123004.91493478</v>
      </c>
      <c r="AG135" s="111">
        <f t="shared" si="65"/>
        <v>15123004.91493478</v>
      </c>
      <c r="AH135" s="111">
        <f t="shared" si="65"/>
        <v>102659.51295881959</v>
      </c>
      <c r="AI135" s="111">
        <f t="shared" si="55"/>
        <v>554635006.93834078</v>
      </c>
      <c r="AJ135" s="111">
        <f>SUM(AJ129:AJ134)</f>
        <v>43831781.24217549</v>
      </c>
      <c r="AK135" s="236">
        <f>AI135+AJ135</f>
        <v>598466788.18051624</v>
      </c>
      <c r="AM135" s="101">
        <f>'9a. Summary Schedules'!C135</f>
        <v>1277362440.640516</v>
      </c>
      <c r="AN135" s="101">
        <f t="shared" si="58"/>
        <v>-678895652.4599998</v>
      </c>
    </row>
    <row r="136" spans="1:40" x14ac:dyDescent="0.3">
      <c r="A136" s="157"/>
      <c r="B136" s="35"/>
      <c r="C136" s="35"/>
      <c r="D136" s="111"/>
      <c r="E136" s="111"/>
      <c r="F136" s="656"/>
      <c r="G136" s="656"/>
      <c r="H136" s="656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58"/>
    </row>
    <row r="137" spans="1:40" x14ac:dyDescent="0.3">
      <c r="A137" s="157" t="s">
        <v>1019</v>
      </c>
      <c r="B137" s="35"/>
      <c r="C137" s="35"/>
      <c r="D137" s="111">
        <f t="shared" ref="D137:AB137" si="66">D127+D135</f>
        <v>660220559.67346263</v>
      </c>
      <c r="E137" s="111">
        <f t="shared" si="66"/>
        <v>221350779.96874681</v>
      </c>
      <c r="F137" s="656"/>
      <c r="G137" s="656"/>
      <c r="H137" s="656"/>
      <c r="I137" s="111">
        <f t="shared" si="66"/>
        <v>95086114.385195702</v>
      </c>
      <c r="J137" s="111">
        <f t="shared" si="66"/>
        <v>317042422.25951999</v>
      </c>
      <c r="K137" s="111">
        <f t="shared" si="66"/>
        <v>26741243.059999999</v>
      </c>
      <c r="L137" s="111">
        <f t="shared" si="66"/>
        <v>0</v>
      </c>
      <c r="M137" s="111">
        <f t="shared" si="66"/>
        <v>143618013.31458995</v>
      </c>
      <c r="N137" s="111">
        <f t="shared" si="66"/>
        <v>35587994.271100037</v>
      </c>
      <c r="O137" s="111">
        <f t="shared" si="66"/>
        <v>43903474.412209123</v>
      </c>
      <c r="P137" s="111">
        <f t="shared" si="66"/>
        <v>12079646.767523915</v>
      </c>
      <c r="Q137" s="111">
        <f t="shared" si="66"/>
        <v>2035082.6040734982</v>
      </c>
      <c r="R137" s="111">
        <f t="shared" si="66"/>
        <v>31109703.329897545</v>
      </c>
      <c r="S137" s="111">
        <f t="shared" si="66"/>
        <v>8273389.6059218775</v>
      </c>
      <c r="T137" s="111">
        <f t="shared" si="66"/>
        <v>2224646.5519959982</v>
      </c>
      <c r="U137" s="111">
        <f t="shared" si="66"/>
        <v>77186.851341631787</v>
      </c>
      <c r="V137" s="111">
        <f t="shared" si="66"/>
        <v>6702932.1810656358</v>
      </c>
      <c r="W137" s="111">
        <f t="shared" si="66"/>
        <v>1623956.7394606851</v>
      </c>
      <c r="X137" s="111">
        <f t="shared" si="66"/>
        <v>23753018.60776642</v>
      </c>
      <c r="Y137" s="111">
        <f t="shared" si="66"/>
        <v>13012760.867366849</v>
      </c>
      <c r="Z137" s="111">
        <f t="shared" si="66"/>
        <v>10740257.740399567</v>
      </c>
      <c r="AA137" s="111">
        <f t="shared" si="66"/>
        <v>6889148.4272033079</v>
      </c>
      <c r="AB137" s="111">
        <f t="shared" si="66"/>
        <v>21971024.746945158</v>
      </c>
      <c r="AC137" s="111">
        <f t="shared" ref="AC137:AH137" si="67">AC127+AC135</f>
        <v>21630013.776808269</v>
      </c>
      <c r="AD137" s="111">
        <f t="shared" si="67"/>
        <v>341010.97013688786</v>
      </c>
      <c r="AE137" s="111">
        <f t="shared" si="67"/>
        <v>0</v>
      </c>
      <c r="AF137" s="111">
        <f t="shared" si="67"/>
        <v>15123004.91493478</v>
      </c>
      <c r="AG137" s="111">
        <f t="shared" si="67"/>
        <v>15123004.91493478</v>
      </c>
      <c r="AH137" s="111">
        <f t="shared" si="67"/>
        <v>102659.51295881959</v>
      </c>
      <c r="AI137" s="111">
        <f t="shared" si="55"/>
        <v>871677429.19786072</v>
      </c>
      <c r="AJ137" s="111">
        <f>AJ127+AJ135</f>
        <v>97116830.202175498</v>
      </c>
      <c r="AK137" s="236">
        <f>AI137+AJ137</f>
        <v>968794259.40003622</v>
      </c>
      <c r="AM137" s="101">
        <f>'9a. Summary Schedules'!C137</f>
        <v>1647689911.8600359</v>
      </c>
      <c r="AN137" s="101">
        <f>AK137-AM137</f>
        <v>-678895652.45999968</v>
      </c>
    </row>
    <row r="138" spans="1:40" s="16" customFormat="1" ht="14.5" x14ac:dyDescent="0.45">
      <c r="A138" s="153" t="s">
        <v>958</v>
      </c>
      <c r="B138" s="53"/>
      <c r="C138" s="53"/>
      <c r="D138" s="117">
        <f>SUM(E138,I138:K138)</f>
        <v>0</v>
      </c>
      <c r="E138" s="117">
        <v>0</v>
      </c>
      <c r="F138" s="657"/>
      <c r="G138" s="657"/>
      <c r="H138" s="657"/>
      <c r="I138" s="117">
        <v>0</v>
      </c>
      <c r="J138" s="117">
        <v>0</v>
      </c>
      <c r="K138" s="117">
        <v>0</v>
      </c>
      <c r="L138" s="117">
        <v>0</v>
      </c>
      <c r="M138" s="117">
        <v>0</v>
      </c>
      <c r="N138" s="117">
        <v>0</v>
      </c>
      <c r="O138" s="117">
        <v>0</v>
      </c>
      <c r="P138" s="117">
        <v>0</v>
      </c>
      <c r="Q138" s="117">
        <v>0</v>
      </c>
      <c r="R138" s="117">
        <v>0</v>
      </c>
      <c r="S138" s="117">
        <v>0</v>
      </c>
      <c r="T138" s="117">
        <v>0</v>
      </c>
      <c r="U138" s="117">
        <v>0</v>
      </c>
      <c r="V138" s="117">
        <v>0</v>
      </c>
      <c r="W138" s="117">
        <v>0</v>
      </c>
      <c r="X138" s="117">
        <v>0</v>
      </c>
      <c r="Y138" s="117">
        <v>0</v>
      </c>
      <c r="Z138" s="117">
        <v>0</v>
      </c>
      <c r="AA138" s="117">
        <v>0</v>
      </c>
      <c r="AB138" s="117">
        <v>0</v>
      </c>
      <c r="AC138" s="117">
        <v>0</v>
      </c>
      <c r="AD138" s="117">
        <v>0</v>
      </c>
      <c r="AE138" s="117">
        <v>0</v>
      </c>
      <c r="AF138" s="117">
        <v>0</v>
      </c>
      <c r="AG138" s="117">
        <v>0</v>
      </c>
      <c r="AH138" s="117">
        <v>0</v>
      </c>
      <c r="AI138" s="117">
        <f t="shared" si="55"/>
        <v>0</v>
      </c>
      <c r="AJ138" s="117">
        <v>0</v>
      </c>
      <c r="AK138" s="238">
        <f>AI138+AJ138</f>
        <v>0</v>
      </c>
      <c r="AM138" s="101">
        <f>'9a. Summary Schedules'!C138</f>
        <v>0</v>
      </c>
      <c r="AN138" s="100">
        <f>AK138-AM138</f>
        <v>0</v>
      </c>
    </row>
    <row r="139" spans="1:40" x14ac:dyDescent="0.3">
      <c r="A139" s="157" t="s">
        <v>1021</v>
      </c>
      <c r="B139" s="35"/>
      <c r="C139" s="35"/>
      <c r="D139" s="111">
        <f t="shared" ref="D139:AH139" si="68">D137+D138</f>
        <v>660220559.67346263</v>
      </c>
      <c r="E139" s="111">
        <f t="shared" si="68"/>
        <v>221350779.96874681</v>
      </c>
      <c r="F139" s="656"/>
      <c r="G139" s="656"/>
      <c r="H139" s="656"/>
      <c r="I139" s="111">
        <f t="shared" si="68"/>
        <v>95086114.385195702</v>
      </c>
      <c r="J139" s="111">
        <f t="shared" si="68"/>
        <v>317042422.25951999</v>
      </c>
      <c r="K139" s="111">
        <f t="shared" si="68"/>
        <v>26741243.059999999</v>
      </c>
      <c r="L139" s="111">
        <f t="shared" si="68"/>
        <v>0</v>
      </c>
      <c r="M139" s="111">
        <f t="shared" si="68"/>
        <v>143618013.31458995</v>
      </c>
      <c r="N139" s="111">
        <f t="shared" si="68"/>
        <v>35587994.271100037</v>
      </c>
      <c r="O139" s="111">
        <f t="shared" si="68"/>
        <v>43903474.412209123</v>
      </c>
      <c r="P139" s="111">
        <f t="shared" si="68"/>
        <v>12079646.767523915</v>
      </c>
      <c r="Q139" s="111">
        <f t="shared" si="68"/>
        <v>2035082.6040734982</v>
      </c>
      <c r="R139" s="111">
        <f t="shared" si="68"/>
        <v>31109703.329897545</v>
      </c>
      <c r="S139" s="111">
        <f t="shared" si="68"/>
        <v>8273389.6059218775</v>
      </c>
      <c r="T139" s="111">
        <f t="shared" si="68"/>
        <v>2224646.5519959982</v>
      </c>
      <c r="U139" s="111">
        <f t="shared" si="68"/>
        <v>77186.851341631787</v>
      </c>
      <c r="V139" s="111">
        <f t="shared" si="68"/>
        <v>6702932.1810656358</v>
      </c>
      <c r="W139" s="111">
        <f t="shared" si="68"/>
        <v>1623956.7394606851</v>
      </c>
      <c r="X139" s="111">
        <f t="shared" si="68"/>
        <v>23753018.60776642</v>
      </c>
      <c r="Y139" s="111">
        <f t="shared" si="68"/>
        <v>13012760.867366849</v>
      </c>
      <c r="Z139" s="111">
        <f t="shared" si="68"/>
        <v>10740257.740399567</v>
      </c>
      <c r="AA139" s="111">
        <f t="shared" si="68"/>
        <v>6889148.4272033079</v>
      </c>
      <c r="AB139" s="111">
        <f t="shared" si="68"/>
        <v>21971024.746945158</v>
      </c>
      <c r="AC139" s="111">
        <f t="shared" si="68"/>
        <v>21630013.776808269</v>
      </c>
      <c r="AD139" s="111">
        <f t="shared" si="68"/>
        <v>341010.97013688786</v>
      </c>
      <c r="AE139" s="111">
        <f t="shared" si="68"/>
        <v>0</v>
      </c>
      <c r="AF139" s="111">
        <f t="shared" si="68"/>
        <v>15123004.91493478</v>
      </c>
      <c r="AG139" s="111">
        <f t="shared" si="68"/>
        <v>15123004.91493478</v>
      </c>
      <c r="AH139" s="111">
        <f t="shared" si="68"/>
        <v>102659.51295881959</v>
      </c>
      <c r="AI139" s="111">
        <f t="shared" si="55"/>
        <v>871677429.19786072</v>
      </c>
      <c r="AJ139" s="111">
        <f>AJ137+AJ138</f>
        <v>97116830.202175498</v>
      </c>
      <c r="AK139" s="236">
        <f>AI139+AJ139</f>
        <v>968794259.40003622</v>
      </c>
      <c r="AM139" s="101">
        <f>'9a. Summary Schedules'!C139</f>
        <v>1647689911.8600359</v>
      </c>
      <c r="AN139" s="101">
        <f>AK139-AM139</f>
        <v>-678895652.45999968</v>
      </c>
    </row>
    <row r="140" spans="1:40" x14ac:dyDescent="0.3">
      <c r="A140" s="157"/>
      <c r="B140" s="35"/>
      <c r="C140" s="35"/>
      <c r="D140" s="111"/>
      <c r="E140" s="111"/>
      <c r="F140" s="656"/>
      <c r="G140" s="656"/>
      <c r="H140" s="656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236"/>
    </row>
    <row r="141" spans="1:40" x14ac:dyDescent="0.3">
      <c r="A141" s="157" t="s">
        <v>1022</v>
      </c>
      <c r="B141" s="35"/>
      <c r="C141" s="35"/>
      <c r="D141" s="111">
        <f t="shared" ref="D141:D142" si="69">SUM(E141,I141:K141)</f>
        <v>194662355.63</v>
      </c>
      <c r="E141" s="111">
        <f t="shared" ref="E141:K142" si="70">E53</f>
        <v>188277390.89865169</v>
      </c>
      <c r="F141" s="656"/>
      <c r="G141" s="656"/>
      <c r="H141" s="656"/>
      <c r="I141" s="111">
        <f t="shared" si="70"/>
        <v>6384964.7313483134</v>
      </c>
      <c r="J141" s="111">
        <f t="shared" si="70"/>
        <v>0</v>
      </c>
      <c r="K141" s="111">
        <f t="shared" si="70"/>
        <v>0</v>
      </c>
      <c r="L141" s="111">
        <v>0</v>
      </c>
      <c r="M141" s="111">
        <f t="shared" ref="M141:AH141" si="71">M53</f>
        <v>131670414.92717849</v>
      </c>
      <c r="N141" s="111">
        <f t="shared" si="71"/>
        <v>22423783.062046431</v>
      </c>
      <c r="O141" s="111">
        <f t="shared" si="71"/>
        <v>37350409.854147315</v>
      </c>
      <c r="P141" s="111">
        <f t="shared" si="71"/>
        <v>9991424.7403450608</v>
      </c>
      <c r="Q141" s="111">
        <f t="shared" si="71"/>
        <v>10392936.14867891</v>
      </c>
      <c r="R141" s="111">
        <f t="shared" si="71"/>
        <v>20816970.366229925</v>
      </c>
      <c r="S141" s="111">
        <f t="shared" si="71"/>
        <v>5156383.189330101</v>
      </c>
      <c r="T141" s="111">
        <f t="shared" si="71"/>
        <v>11361017.740505479</v>
      </c>
      <c r="U141" s="111">
        <f t="shared" si="71"/>
        <v>7598813.9970407877</v>
      </c>
      <c r="V141" s="111">
        <f t="shared" si="71"/>
        <v>6547797.7392697642</v>
      </c>
      <c r="W141" s="111">
        <f t="shared" si="71"/>
        <v>30878.089584732337</v>
      </c>
      <c r="X141" s="111">
        <f t="shared" si="71"/>
        <v>9523874.5472310148</v>
      </c>
      <c r="Y141" s="111">
        <f t="shared" si="71"/>
        <v>8795932.2154557519</v>
      </c>
      <c r="Z141" s="111">
        <f t="shared" si="71"/>
        <v>727942.33177526272</v>
      </c>
      <c r="AA141" s="111">
        <f t="shared" si="71"/>
        <v>555779.08889031655</v>
      </c>
      <c r="AB141" s="111">
        <f t="shared" si="71"/>
        <v>2606336.511108852</v>
      </c>
      <c r="AC141" s="111">
        <f t="shared" si="71"/>
        <v>2375147.2773248046</v>
      </c>
      <c r="AD141" s="111">
        <f t="shared" si="71"/>
        <v>231189.2337840471</v>
      </c>
      <c r="AE141" s="111">
        <f t="shared" si="71"/>
        <v>0</v>
      </c>
      <c r="AF141" s="111">
        <f t="shared" si="71"/>
        <v>518421.72659935633</v>
      </c>
      <c r="AG141" s="111">
        <f t="shared" si="71"/>
        <v>518421.72659935639</v>
      </c>
      <c r="AH141" s="111">
        <f t="shared" si="71"/>
        <v>-2016210.0210080447</v>
      </c>
      <c r="AI141" s="111">
        <f t="shared" si="55"/>
        <v>337520972.40999997</v>
      </c>
      <c r="AJ141" s="111">
        <f>AJ53</f>
        <v>19514685.52</v>
      </c>
      <c r="AK141" s="236">
        <f>AI141+AJ141</f>
        <v>357035657.92999995</v>
      </c>
      <c r="AM141" s="101">
        <f>'9a. Summary Schedules'!C141</f>
        <v>357035657.92999995</v>
      </c>
      <c r="AN141" s="101">
        <f>AK141-AM141</f>
        <v>0</v>
      </c>
    </row>
    <row r="142" spans="1:40" ht="14.5" x14ac:dyDescent="0.45">
      <c r="A142" s="157" t="s">
        <v>1023</v>
      </c>
      <c r="B142" s="35"/>
      <c r="C142" s="35"/>
      <c r="D142" s="114">
        <f t="shared" si="69"/>
        <v>2943425.540000001</v>
      </c>
      <c r="E142" s="114">
        <f t="shared" si="70"/>
        <v>2846880.585525231</v>
      </c>
      <c r="F142" s="657"/>
      <c r="G142" s="657"/>
      <c r="H142" s="657"/>
      <c r="I142" s="114">
        <f t="shared" si="70"/>
        <v>96544.954474770158</v>
      </c>
      <c r="J142" s="114">
        <f t="shared" si="70"/>
        <v>0</v>
      </c>
      <c r="K142" s="114">
        <f t="shared" si="70"/>
        <v>0</v>
      </c>
      <c r="L142" s="114">
        <v>0</v>
      </c>
      <c r="M142" s="114">
        <f t="shared" ref="M142:AH142" si="72">M54</f>
        <v>1479805.2817564094</v>
      </c>
      <c r="N142" s="114">
        <f t="shared" si="72"/>
        <v>252014.33921605154</v>
      </c>
      <c r="O142" s="114">
        <f t="shared" si="72"/>
        <v>419770.33191930124</v>
      </c>
      <c r="P142" s="114">
        <f t="shared" si="72"/>
        <v>112290.70031571985</v>
      </c>
      <c r="Q142" s="114">
        <f t="shared" si="72"/>
        <v>116803.16959795372</v>
      </c>
      <c r="R142" s="114">
        <f t="shared" si="72"/>
        <v>233955.84129624499</v>
      </c>
      <c r="S142" s="114">
        <f t="shared" si="72"/>
        <v>57951.082500580931</v>
      </c>
      <c r="T142" s="114">
        <f t="shared" si="72"/>
        <v>127683.15545923021</v>
      </c>
      <c r="U142" s="114">
        <f t="shared" si="72"/>
        <v>85400.847974273565</v>
      </c>
      <c r="V142" s="114">
        <f t="shared" si="72"/>
        <v>73588.783659586115</v>
      </c>
      <c r="W142" s="114">
        <f t="shared" si="72"/>
        <v>347.02981746739175</v>
      </c>
      <c r="X142" s="114">
        <f t="shared" si="72"/>
        <v>107036.04044668967</v>
      </c>
      <c r="Y142" s="114">
        <f t="shared" si="72"/>
        <v>98854.909492018705</v>
      </c>
      <c r="Z142" s="114">
        <f t="shared" si="72"/>
        <v>8181.130954670969</v>
      </c>
      <c r="AA142" s="114">
        <f t="shared" si="72"/>
        <v>6246.2386230385628</v>
      </c>
      <c r="AB142" s="114">
        <f t="shared" si="72"/>
        <v>29291.853734238852</v>
      </c>
      <c r="AC142" s="114">
        <f t="shared" si="72"/>
        <v>26693.585555103389</v>
      </c>
      <c r="AD142" s="114">
        <f t="shared" si="72"/>
        <v>2598.268179135458</v>
      </c>
      <c r="AE142" s="114">
        <f t="shared" si="72"/>
        <v>0</v>
      </c>
      <c r="AF142" s="114">
        <f t="shared" si="72"/>
        <v>5826.3901547154037</v>
      </c>
      <c r="AG142" s="114">
        <f t="shared" si="72"/>
        <v>5826.3901547154037</v>
      </c>
      <c r="AH142" s="114">
        <f t="shared" si="72"/>
        <v>-22659.594715092317</v>
      </c>
      <c r="AI142" s="114">
        <f t="shared" si="55"/>
        <v>4548971.75</v>
      </c>
      <c r="AJ142" s="114">
        <f>AJ54</f>
        <v>252030.61</v>
      </c>
      <c r="AK142" s="237">
        <f>AI142+AJ142</f>
        <v>4801002.3600000003</v>
      </c>
      <c r="AM142" s="101">
        <f>'9a. Summary Schedules'!C142</f>
        <v>4801002.3600000003</v>
      </c>
      <c r="AN142" s="101">
        <f>AK142-AM142</f>
        <v>0</v>
      </c>
    </row>
    <row r="143" spans="1:40" x14ac:dyDescent="0.3">
      <c r="A143" s="157" t="s">
        <v>1024</v>
      </c>
      <c r="B143" s="35"/>
      <c r="C143" s="35"/>
      <c r="D143" s="111">
        <f t="shared" ref="D143:AH143" si="73">SUM(D141:D142)</f>
        <v>197605781.16999999</v>
      </c>
      <c r="E143" s="111">
        <f t="shared" si="73"/>
        <v>191124271.48417693</v>
      </c>
      <c r="F143" s="656"/>
      <c r="G143" s="656"/>
      <c r="H143" s="656"/>
      <c r="I143" s="111">
        <f t="shared" si="73"/>
        <v>6481509.6858230839</v>
      </c>
      <c r="J143" s="111">
        <f t="shared" si="73"/>
        <v>0</v>
      </c>
      <c r="K143" s="111">
        <f t="shared" si="73"/>
        <v>0</v>
      </c>
      <c r="L143" s="111">
        <f t="shared" si="73"/>
        <v>0</v>
      </c>
      <c r="M143" s="111">
        <f t="shared" si="73"/>
        <v>133150220.2089349</v>
      </c>
      <c r="N143" s="111">
        <f t="shared" si="73"/>
        <v>22675797.401262481</v>
      </c>
      <c r="O143" s="111">
        <f t="shared" si="73"/>
        <v>37770180.186066613</v>
      </c>
      <c r="P143" s="111">
        <f t="shared" si="73"/>
        <v>10103715.44066078</v>
      </c>
      <c r="Q143" s="111">
        <f t="shared" si="73"/>
        <v>10509739.318276864</v>
      </c>
      <c r="R143" s="111">
        <f t="shared" si="73"/>
        <v>21050926.20752617</v>
      </c>
      <c r="S143" s="111">
        <f t="shared" si="73"/>
        <v>5214334.2718306817</v>
      </c>
      <c r="T143" s="111">
        <f t="shared" si="73"/>
        <v>11488700.89596471</v>
      </c>
      <c r="U143" s="111">
        <f t="shared" si="73"/>
        <v>7684214.8450150611</v>
      </c>
      <c r="V143" s="111">
        <f t="shared" si="73"/>
        <v>6621386.5229293499</v>
      </c>
      <c r="W143" s="111">
        <f t="shared" si="73"/>
        <v>31225.119402199729</v>
      </c>
      <c r="X143" s="111">
        <f t="shared" si="73"/>
        <v>9630910.5876777042</v>
      </c>
      <c r="Y143" s="111">
        <f t="shared" si="73"/>
        <v>8894787.1249477714</v>
      </c>
      <c r="Z143" s="111">
        <f t="shared" si="73"/>
        <v>736123.46272993367</v>
      </c>
      <c r="AA143" s="111">
        <f t="shared" si="73"/>
        <v>562025.32751335506</v>
      </c>
      <c r="AB143" s="111">
        <f t="shared" si="73"/>
        <v>2635628.364843091</v>
      </c>
      <c r="AC143" s="111">
        <f t="shared" si="73"/>
        <v>2401840.8628799082</v>
      </c>
      <c r="AD143" s="111">
        <f t="shared" si="73"/>
        <v>233787.50196318256</v>
      </c>
      <c r="AE143" s="111">
        <f t="shared" si="73"/>
        <v>0</v>
      </c>
      <c r="AF143" s="111">
        <f t="shared" si="73"/>
        <v>524248.11675407173</v>
      </c>
      <c r="AG143" s="111">
        <f t="shared" si="73"/>
        <v>524248.11675407179</v>
      </c>
      <c r="AH143" s="111">
        <f t="shared" si="73"/>
        <v>-2038869.615723137</v>
      </c>
      <c r="AI143" s="111">
        <f t="shared" si="55"/>
        <v>342069944.15999997</v>
      </c>
      <c r="AJ143" s="111">
        <f>SUM(AJ141:AJ142)</f>
        <v>19766716.129999999</v>
      </c>
      <c r="AK143" s="236">
        <f>AI143+AJ143</f>
        <v>361836660.28999996</v>
      </c>
      <c r="AM143" s="101">
        <f>'9a. Summary Schedules'!C143</f>
        <v>361836660.28999996</v>
      </c>
      <c r="AN143" s="101">
        <f>AK143-AM143</f>
        <v>0</v>
      </c>
    </row>
    <row r="144" spans="1:40" x14ac:dyDescent="0.3">
      <c r="A144" s="157"/>
      <c r="B144" s="35"/>
      <c r="C144" s="35"/>
      <c r="D144" s="111"/>
      <c r="E144" s="111"/>
      <c r="F144" s="656"/>
      <c r="G144" s="656"/>
      <c r="H144" s="656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236"/>
    </row>
    <row r="145" spans="1:40" x14ac:dyDescent="0.3">
      <c r="A145" s="157" t="s">
        <v>1025</v>
      </c>
      <c r="B145" s="35"/>
      <c r="C145" s="35"/>
      <c r="D145" s="111">
        <f>+I145+E145</f>
        <v>0</v>
      </c>
      <c r="E145" s="111">
        <v>0</v>
      </c>
      <c r="F145" s="656"/>
      <c r="G145" s="656"/>
      <c r="H145" s="656"/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11">
        <v>0</v>
      </c>
      <c r="P145" s="111">
        <v>0</v>
      </c>
      <c r="Q145" s="111">
        <v>0</v>
      </c>
      <c r="R145" s="111">
        <v>0</v>
      </c>
      <c r="S145" s="111">
        <v>0</v>
      </c>
      <c r="T145" s="111">
        <v>0</v>
      </c>
      <c r="U145" s="111">
        <v>0</v>
      </c>
      <c r="V145" s="111">
        <v>0</v>
      </c>
      <c r="W145" s="111">
        <v>0</v>
      </c>
      <c r="X145" s="111">
        <v>0</v>
      </c>
      <c r="Y145" s="111">
        <v>0</v>
      </c>
      <c r="Z145" s="111">
        <v>0</v>
      </c>
      <c r="AA145" s="111">
        <v>0</v>
      </c>
      <c r="AB145" s="111">
        <v>0</v>
      </c>
      <c r="AC145" s="111">
        <v>0</v>
      </c>
      <c r="AD145" s="111">
        <v>0</v>
      </c>
      <c r="AE145" s="111">
        <v>0</v>
      </c>
      <c r="AF145" s="111">
        <v>0</v>
      </c>
      <c r="AG145" s="111">
        <v>0</v>
      </c>
      <c r="AH145" s="111">
        <v>0</v>
      </c>
      <c r="AI145" s="111">
        <f t="shared" si="55"/>
        <v>0</v>
      </c>
      <c r="AJ145" s="111">
        <v>0</v>
      </c>
      <c r="AK145" s="569">
        <f>AI145+AJ145</f>
        <v>0</v>
      </c>
      <c r="AM145" s="101">
        <f>'9a. Summary Schedules'!C145</f>
        <v>0</v>
      </c>
      <c r="AN145" s="101">
        <f>AK145-AM145</f>
        <v>0</v>
      </c>
    </row>
    <row r="146" spans="1:40" x14ac:dyDescent="0.3">
      <c r="A146" s="157"/>
      <c r="B146" s="35"/>
      <c r="C146" s="35"/>
      <c r="D146" s="111"/>
      <c r="E146" s="111"/>
      <c r="F146" s="656"/>
      <c r="G146" s="656"/>
      <c r="H146" s="656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236"/>
    </row>
    <row r="147" spans="1:40" x14ac:dyDescent="0.3">
      <c r="A147" s="157" t="s">
        <v>1026</v>
      </c>
      <c r="B147" s="35"/>
      <c r="C147" s="35"/>
      <c r="D147" s="111">
        <f>SUM(E147,I147:K147)</f>
        <v>83781010.040029466</v>
      </c>
      <c r="E147" s="111">
        <f>E59</f>
        <v>81032975.924593717</v>
      </c>
      <c r="F147" s="656"/>
      <c r="G147" s="656"/>
      <c r="H147" s="656"/>
      <c r="I147" s="111">
        <f>I59</f>
        <v>2748034.1154357539</v>
      </c>
      <c r="J147" s="111">
        <f>J59</f>
        <v>0</v>
      </c>
      <c r="K147" s="111">
        <f>K59</f>
        <v>0</v>
      </c>
      <c r="L147" s="111">
        <v>0</v>
      </c>
      <c r="M147" s="111">
        <f t="shared" ref="M147:AH147" si="74">M59</f>
        <v>39556513.133117981</v>
      </c>
      <c r="N147" s="111">
        <f t="shared" si="74"/>
        <v>6736567.7375482954</v>
      </c>
      <c r="O147" s="111">
        <f t="shared" si="74"/>
        <v>11220834.830208711</v>
      </c>
      <c r="P147" s="111">
        <f t="shared" si="74"/>
        <v>3001630.4283585846</v>
      </c>
      <c r="Q147" s="111">
        <f t="shared" si="74"/>
        <v>3122252.7511912305</v>
      </c>
      <c r="R147" s="111">
        <f t="shared" si="74"/>
        <v>6253848.0047998372</v>
      </c>
      <c r="S147" s="111">
        <f t="shared" si="74"/>
        <v>1549084.0479308248</v>
      </c>
      <c r="T147" s="111">
        <f t="shared" si="74"/>
        <v>3413084.4632519567</v>
      </c>
      <c r="U147" s="111">
        <f t="shared" si="74"/>
        <v>2282840.72649353</v>
      </c>
      <c r="V147" s="111">
        <f t="shared" si="74"/>
        <v>1967093.7272406367</v>
      </c>
      <c r="W147" s="111">
        <f t="shared" si="74"/>
        <v>9276.416094379143</v>
      </c>
      <c r="X147" s="111">
        <f t="shared" si="74"/>
        <v>24357903.798237972</v>
      </c>
      <c r="Y147" s="111">
        <f t="shared" si="74"/>
        <v>22496145.834069695</v>
      </c>
      <c r="Z147" s="111">
        <f t="shared" si="74"/>
        <v>1861757.9641682764</v>
      </c>
      <c r="AA147" s="111">
        <f t="shared" si="74"/>
        <v>1128816.6600074177</v>
      </c>
      <c r="AB147" s="111">
        <f t="shared" si="74"/>
        <v>5765239.3589558424</v>
      </c>
      <c r="AC147" s="111">
        <f t="shared" si="74"/>
        <v>5253846.7339829542</v>
      </c>
      <c r="AD147" s="111">
        <f t="shared" si="74"/>
        <v>511392.6249728871</v>
      </c>
      <c r="AE147" s="111">
        <f t="shared" si="74"/>
        <v>0</v>
      </c>
      <c r="AF147" s="111">
        <f t="shared" si="74"/>
        <v>2128006.7634274056</v>
      </c>
      <c r="AG147" s="111">
        <f t="shared" si="74"/>
        <v>2128006.7634274056</v>
      </c>
      <c r="AH147" s="111">
        <f t="shared" si="74"/>
        <v>0</v>
      </c>
      <c r="AI147" s="111">
        <f t="shared" si="55"/>
        <v>156717489.7537761</v>
      </c>
      <c r="AJ147" s="111">
        <f>AJ59</f>
        <v>25225409.230132557</v>
      </c>
      <c r="AK147" s="236">
        <f>AI147+AJ147</f>
        <v>181942898.98390865</v>
      </c>
      <c r="AM147" s="101">
        <f>'9a. Summary Schedules'!C147</f>
        <v>181942898.98390862</v>
      </c>
      <c r="AN147" s="101">
        <f>AK147-AM147</f>
        <v>0</v>
      </c>
    </row>
    <row r="148" spans="1:40" ht="14.5" x14ac:dyDescent="0.45">
      <c r="A148" s="157"/>
      <c r="B148" s="35"/>
      <c r="C148" s="35"/>
      <c r="D148" s="114"/>
      <c r="E148" s="114"/>
      <c r="F148" s="657"/>
      <c r="G148" s="657"/>
      <c r="H148" s="657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237"/>
      <c r="AM148" s="101"/>
      <c r="AN148" s="101"/>
    </row>
    <row r="149" spans="1:40" ht="14.5" x14ac:dyDescent="0.45">
      <c r="A149" s="157" t="s">
        <v>150</v>
      </c>
      <c r="B149" s="35"/>
      <c r="C149" s="35"/>
      <c r="D149" s="114">
        <f>SUM(E149,I149:K149)</f>
        <v>0</v>
      </c>
      <c r="E149" s="114">
        <f t="shared" ref="E149:AJ149" si="75">E82*0.86</f>
        <v>0</v>
      </c>
      <c r="F149" s="657"/>
      <c r="G149" s="657"/>
      <c r="H149" s="657"/>
      <c r="I149" s="114">
        <f t="shared" si="75"/>
        <v>0</v>
      </c>
      <c r="J149" s="114">
        <f t="shared" si="75"/>
        <v>0</v>
      </c>
      <c r="K149" s="114">
        <f t="shared" si="75"/>
        <v>0</v>
      </c>
      <c r="L149" s="114">
        <f t="shared" si="75"/>
        <v>60215752.567019694</v>
      </c>
      <c r="M149" s="114">
        <f t="shared" si="75"/>
        <v>0</v>
      </c>
      <c r="N149" s="114">
        <f t="shared" si="75"/>
        <v>0</v>
      </c>
      <c r="O149" s="114">
        <f t="shared" si="75"/>
        <v>0</v>
      </c>
      <c r="P149" s="114">
        <f t="shared" si="75"/>
        <v>0</v>
      </c>
      <c r="Q149" s="114">
        <f t="shared" si="75"/>
        <v>0</v>
      </c>
      <c r="R149" s="114">
        <f t="shared" si="75"/>
        <v>0</v>
      </c>
      <c r="S149" s="114">
        <f t="shared" si="75"/>
        <v>0</v>
      </c>
      <c r="T149" s="114">
        <f t="shared" si="75"/>
        <v>0</v>
      </c>
      <c r="U149" s="114">
        <f t="shared" si="75"/>
        <v>0</v>
      </c>
      <c r="V149" s="114">
        <f t="shared" si="75"/>
        <v>0</v>
      </c>
      <c r="W149" s="114">
        <f t="shared" si="75"/>
        <v>0</v>
      </c>
      <c r="X149" s="114">
        <f t="shared" si="75"/>
        <v>0</v>
      </c>
      <c r="Y149" s="114">
        <f t="shared" si="75"/>
        <v>0</v>
      </c>
      <c r="Z149" s="114">
        <f t="shared" si="75"/>
        <v>0</v>
      </c>
      <c r="AA149" s="114">
        <f t="shared" si="75"/>
        <v>0</v>
      </c>
      <c r="AB149" s="114">
        <f t="shared" si="75"/>
        <v>0</v>
      </c>
      <c r="AC149" s="114">
        <f t="shared" si="75"/>
        <v>0</v>
      </c>
      <c r="AD149" s="114">
        <f t="shared" si="75"/>
        <v>0</v>
      </c>
      <c r="AE149" s="114">
        <f t="shared" si="75"/>
        <v>0</v>
      </c>
      <c r="AF149" s="114">
        <f t="shared" si="75"/>
        <v>0</v>
      </c>
      <c r="AG149" s="114">
        <f t="shared" si="75"/>
        <v>0</v>
      </c>
      <c r="AH149" s="114">
        <f t="shared" si="75"/>
        <v>0</v>
      </c>
      <c r="AI149" s="114">
        <f t="shared" si="55"/>
        <v>60215752.567019694</v>
      </c>
      <c r="AJ149" s="114">
        <f t="shared" si="75"/>
        <v>0</v>
      </c>
      <c r="AK149" s="237">
        <f>AI149+AJ149</f>
        <v>60215752.567019694</v>
      </c>
      <c r="AM149" s="101">
        <f>'9a. Summary Schedules'!C149</f>
        <v>60215752.567019694</v>
      </c>
      <c r="AN149" s="101">
        <f>AK149-AM149</f>
        <v>0</v>
      </c>
    </row>
    <row r="150" spans="1:40" x14ac:dyDescent="0.3">
      <c r="A150" s="157" t="s">
        <v>1027</v>
      </c>
      <c r="B150" s="35"/>
      <c r="C150" s="35"/>
      <c r="D150" s="111">
        <f t="shared" ref="D150:D151" si="76">SUM(E150,I150:K150)</f>
        <v>941607350.88349199</v>
      </c>
      <c r="E150" s="111">
        <f t="shared" ref="E150:AH150" si="77">E149+E147+E145+E143+E139</f>
        <v>493508027.37751746</v>
      </c>
      <c r="F150" s="656"/>
      <c r="G150" s="656"/>
      <c r="H150" s="656"/>
      <c r="I150" s="111">
        <f t="shared" si="77"/>
        <v>104315658.18645453</v>
      </c>
      <c r="J150" s="111">
        <f t="shared" si="77"/>
        <v>317042422.25951999</v>
      </c>
      <c r="K150" s="111">
        <f t="shared" si="77"/>
        <v>26741243.059999999</v>
      </c>
      <c r="L150" s="111">
        <f t="shared" si="77"/>
        <v>60215752.567019694</v>
      </c>
      <c r="M150" s="111">
        <f t="shared" si="77"/>
        <v>316324746.65664279</v>
      </c>
      <c r="N150" s="111">
        <f t="shared" si="77"/>
        <v>65000359.409910813</v>
      </c>
      <c r="O150" s="111">
        <f t="shared" si="77"/>
        <v>92894489.42848444</v>
      </c>
      <c r="P150" s="111">
        <f t="shared" si="77"/>
        <v>25184992.636543281</v>
      </c>
      <c r="Q150" s="111">
        <f t="shared" si="77"/>
        <v>15667074.673541592</v>
      </c>
      <c r="R150" s="111">
        <f t="shared" si="77"/>
        <v>58414477.54222355</v>
      </c>
      <c r="S150" s="111">
        <f t="shared" si="77"/>
        <v>15036807.925683383</v>
      </c>
      <c r="T150" s="111">
        <f t="shared" si="77"/>
        <v>17126431.911212668</v>
      </c>
      <c r="U150" s="111">
        <f t="shared" si="77"/>
        <v>10044242.422850221</v>
      </c>
      <c r="V150" s="111">
        <f t="shared" si="77"/>
        <v>15291412.431235623</v>
      </c>
      <c r="W150" s="111">
        <f t="shared" si="77"/>
        <v>1664458.2749572638</v>
      </c>
      <c r="X150" s="111">
        <f t="shared" si="77"/>
        <v>57741832.993682094</v>
      </c>
      <c r="Y150" s="111">
        <f t="shared" si="77"/>
        <v>44403693.826384313</v>
      </c>
      <c r="Z150" s="111">
        <f t="shared" si="77"/>
        <v>13338139.167297777</v>
      </c>
      <c r="AA150" s="111">
        <f t="shared" si="77"/>
        <v>8579990.4147240799</v>
      </c>
      <c r="AB150" s="111">
        <f t="shared" si="77"/>
        <v>30371892.470744092</v>
      </c>
      <c r="AC150" s="111">
        <f t="shared" si="77"/>
        <v>29285701.373671129</v>
      </c>
      <c r="AD150" s="111">
        <f t="shared" si="77"/>
        <v>1086191.0970729575</v>
      </c>
      <c r="AE150" s="111">
        <f t="shared" si="77"/>
        <v>0</v>
      </c>
      <c r="AF150" s="111">
        <f t="shared" si="77"/>
        <v>17775259.795116257</v>
      </c>
      <c r="AG150" s="111">
        <f t="shared" si="77"/>
        <v>17775259.795116257</v>
      </c>
      <c r="AH150" s="111">
        <f t="shared" si="77"/>
        <v>-1936210.1027643175</v>
      </c>
      <c r="AI150" s="111">
        <f t="shared" si="55"/>
        <v>1430680615.6786563</v>
      </c>
      <c r="AJ150" s="111">
        <f>AJ149+AJ147+AJ145+AJ143+AJ139</f>
        <v>142108955.56230807</v>
      </c>
      <c r="AK150" s="236">
        <f>AI150+AJ150</f>
        <v>1572789571.2409644</v>
      </c>
      <c r="AM150" s="101">
        <f>'9a. Summary Schedules'!C150</f>
        <v>2251685223.7009649</v>
      </c>
      <c r="AN150" s="101">
        <f>AK150-AM150</f>
        <v>-678895652.46000051</v>
      </c>
    </row>
    <row r="151" spans="1:40" ht="14.5" x14ac:dyDescent="0.45">
      <c r="A151" s="157" t="s">
        <v>1028</v>
      </c>
      <c r="B151" s="35"/>
      <c r="C151" s="35"/>
      <c r="D151" s="114">
        <f t="shared" si="76"/>
        <v>153284917.58568475</v>
      </c>
      <c r="E151" s="114">
        <f t="shared" ref="E151:AH151" si="78">E150/0.86*0.14</f>
        <v>80338516.084712148</v>
      </c>
      <c r="F151" s="657"/>
      <c r="G151" s="657"/>
      <c r="H151" s="657"/>
      <c r="I151" s="114">
        <f t="shared" si="78"/>
        <v>16981618.774539113</v>
      </c>
      <c r="J151" s="114">
        <f t="shared" si="78"/>
        <v>51611557.11201489</v>
      </c>
      <c r="K151" s="114">
        <f t="shared" si="78"/>
        <v>4353225.6144186044</v>
      </c>
      <c r="L151" s="114">
        <f t="shared" si="78"/>
        <v>9802564.3713753</v>
      </c>
      <c r="M151" s="114">
        <f t="shared" si="78"/>
        <v>51494726.199918605</v>
      </c>
      <c r="N151" s="114">
        <f t="shared" si="78"/>
        <v>10581453.857427344</v>
      </c>
      <c r="O151" s="114">
        <f t="shared" si="78"/>
        <v>15122358.744171888</v>
      </c>
      <c r="P151" s="114">
        <f t="shared" si="78"/>
        <v>4099882.5222279765</v>
      </c>
      <c r="Q151" s="114">
        <f t="shared" si="78"/>
        <v>2550454.0166230504</v>
      </c>
      <c r="R151" s="114">
        <f t="shared" si="78"/>
        <v>9509333.5533852316</v>
      </c>
      <c r="S151" s="114">
        <f t="shared" si="78"/>
        <v>2447852.4530182253</v>
      </c>
      <c r="T151" s="114">
        <f t="shared" si="78"/>
        <v>2788023.7994997366</v>
      </c>
      <c r="U151" s="114">
        <f t="shared" si="78"/>
        <v>1635109.2316267805</v>
      </c>
      <c r="V151" s="114">
        <f t="shared" si="78"/>
        <v>2489299.698108125</v>
      </c>
      <c r="W151" s="114">
        <f t="shared" si="78"/>
        <v>270958.32383025228</v>
      </c>
      <c r="X151" s="114">
        <f t="shared" si="78"/>
        <v>9399833.2780412715</v>
      </c>
      <c r="Y151" s="114">
        <f t="shared" si="78"/>
        <v>7228508.2973183775</v>
      </c>
      <c r="Z151" s="114">
        <f t="shared" si="78"/>
        <v>2171324.9807228944</v>
      </c>
      <c r="AA151" s="114">
        <f t="shared" si="78"/>
        <v>1396742.6256527572</v>
      </c>
      <c r="AB151" s="114">
        <f t="shared" si="78"/>
        <v>4944261.5650048526</v>
      </c>
      <c r="AC151" s="114">
        <f t="shared" si="78"/>
        <v>4767439.7585046021</v>
      </c>
      <c r="AD151" s="114">
        <f t="shared" si="78"/>
        <v>176821.8065002489</v>
      </c>
      <c r="AE151" s="114">
        <f t="shared" si="78"/>
        <v>0</v>
      </c>
      <c r="AF151" s="114">
        <f t="shared" si="78"/>
        <v>2893646.9433910185</v>
      </c>
      <c r="AG151" s="114">
        <f t="shared" si="78"/>
        <v>2893646.9433910185</v>
      </c>
      <c r="AH151" s="114">
        <f t="shared" si="78"/>
        <v>-315196.99347326101</v>
      </c>
      <c r="AI151" s="114">
        <f t="shared" si="55"/>
        <v>232901495.57559532</v>
      </c>
      <c r="AJ151" s="114">
        <f>AJ150/0.86*0.14</f>
        <v>23134016.021771085</v>
      </c>
      <c r="AK151" s="237">
        <f>AI151+AJ151</f>
        <v>256035511.59736639</v>
      </c>
      <c r="AM151" s="101">
        <f>'9a. Summary Schedules'!C151</f>
        <v>366553408.50945938</v>
      </c>
      <c r="AN151" s="101">
        <f>AK151-AM151</f>
        <v>-110517896.91209298</v>
      </c>
    </row>
    <row r="152" spans="1:40" x14ac:dyDescent="0.3">
      <c r="A152" s="157" t="s">
        <v>1044</v>
      </c>
      <c r="B152" s="35"/>
      <c r="C152" s="35"/>
      <c r="D152" s="111">
        <f>SUM(E152:K152)</f>
        <v>1094892268.4691768</v>
      </c>
      <c r="E152" s="111">
        <f t="shared" ref="E152:AH152" si="79">E150+E151</f>
        <v>573846543.46222961</v>
      </c>
      <c r="F152" s="656"/>
      <c r="G152" s="656"/>
      <c r="H152" s="656"/>
      <c r="I152" s="111">
        <f t="shared" si="79"/>
        <v>121297276.96099365</v>
      </c>
      <c r="J152" s="111">
        <f t="shared" si="79"/>
        <v>368653979.37153488</v>
      </c>
      <c r="K152" s="111">
        <f t="shared" si="79"/>
        <v>31094468.674418602</v>
      </c>
      <c r="L152" s="111">
        <f t="shared" si="79"/>
        <v>70018316.938394994</v>
      </c>
      <c r="M152" s="111">
        <f t="shared" si="79"/>
        <v>367819472.85656142</v>
      </c>
      <c r="N152" s="111">
        <f t="shared" si="79"/>
        <v>75581813.267338157</v>
      </c>
      <c r="O152" s="111">
        <f t="shared" si="79"/>
        <v>108016848.17265633</v>
      </c>
      <c r="P152" s="111">
        <f t="shared" si="79"/>
        <v>29284875.158771258</v>
      </c>
      <c r="Q152" s="111">
        <f t="shared" si="79"/>
        <v>18217528.690164644</v>
      </c>
      <c r="R152" s="111">
        <f t="shared" si="79"/>
        <v>67923811.095608786</v>
      </c>
      <c r="S152" s="111">
        <f t="shared" si="79"/>
        <v>17484660.378701609</v>
      </c>
      <c r="T152" s="111">
        <f t="shared" si="79"/>
        <v>19914455.710712403</v>
      </c>
      <c r="U152" s="111">
        <f t="shared" si="79"/>
        <v>11679351.654477002</v>
      </c>
      <c r="V152" s="111">
        <f t="shared" si="79"/>
        <v>17780712.129343748</v>
      </c>
      <c r="W152" s="111">
        <f t="shared" si="79"/>
        <v>1935416.5987875161</v>
      </c>
      <c r="X152" s="111">
        <f t="shared" si="79"/>
        <v>67141666.27172336</v>
      </c>
      <c r="Y152" s="111">
        <f t="shared" si="79"/>
        <v>51632202.12370269</v>
      </c>
      <c r="Z152" s="111">
        <f t="shared" si="79"/>
        <v>15509464.148020672</v>
      </c>
      <c r="AA152" s="111">
        <f t="shared" si="79"/>
        <v>9976733.0403768364</v>
      </c>
      <c r="AB152" s="111">
        <f t="shared" si="79"/>
        <v>35316154.035748944</v>
      </c>
      <c r="AC152" s="111">
        <f t="shared" si="79"/>
        <v>34053141.132175729</v>
      </c>
      <c r="AD152" s="111">
        <f t="shared" si="79"/>
        <v>1263012.9035732064</v>
      </c>
      <c r="AE152" s="111">
        <f t="shared" si="79"/>
        <v>0</v>
      </c>
      <c r="AF152" s="111">
        <f t="shared" si="79"/>
        <v>20668906.738507275</v>
      </c>
      <c r="AG152" s="111">
        <f t="shared" si="79"/>
        <v>20668906.738507275</v>
      </c>
      <c r="AH152" s="111">
        <f t="shared" si="79"/>
        <v>-2251407.0962375784</v>
      </c>
      <c r="AI152" s="111">
        <f t="shared" si="55"/>
        <v>1663582111.2542524</v>
      </c>
      <c r="AJ152" s="111">
        <f>AJ150+AJ151</f>
        <v>165242971.58407915</v>
      </c>
      <c r="AK152" s="236">
        <f>AI152+AJ152</f>
        <v>1828825082.8383317</v>
      </c>
      <c r="AM152" s="101">
        <f>'9a. Summary Schedules'!C152</f>
        <v>2618238632.2104239</v>
      </c>
      <c r="AN152" s="101">
        <f>AK152-AM152</f>
        <v>-789413549.37209225</v>
      </c>
    </row>
    <row r="153" spans="1:40" x14ac:dyDescent="0.3">
      <c r="A153" s="157"/>
      <c r="B153" s="35"/>
      <c r="C153" s="35"/>
      <c r="D153" s="111"/>
      <c r="E153" s="111"/>
      <c r="F153" s="656"/>
      <c r="G153" s="656"/>
      <c r="H153" s="656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236"/>
    </row>
    <row r="154" spans="1:40" x14ac:dyDescent="0.3">
      <c r="A154" s="157" t="s">
        <v>175</v>
      </c>
      <c r="B154" s="35"/>
      <c r="C154" s="35"/>
      <c r="D154" s="111">
        <f>SUM(E154,I154:K154)</f>
        <v>0</v>
      </c>
      <c r="E154" s="111">
        <f>E64</f>
        <v>0</v>
      </c>
      <c r="F154" s="656"/>
      <c r="G154" s="656"/>
      <c r="H154" s="656"/>
      <c r="I154" s="111">
        <f>I64</f>
        <v>0</v>
      </c>
      <c r="J154" s="111">
        <f>J64</f>
        <v>0</v>
      </c>
      <c r="K154" s="111">
        <f>K64</f>
        <v>0</v>
      </c>
      <c r="L154" s="111">
        <v>0</v>
      </c>
      <c r="M154" s="111">
        <f t="shared" ref="M154:AH154" si="80">M64</f>
        <v>0</v>
      </c>
      <c r="N154" s="111">
        <f t="shared" si="80"/>
        <v>0</v>
      </c>
      <c r="O154" s="111">
        <f t="shared" si="80"/>
        <v>0</v>
      </c>
      <c r="P154" s="111">
        <f t="shared" si="80"/>
        <v>0</v>
      </c>
      <c r="Q154" s="111">
        <f t="shared" si="80"/>
        <v>0</v>
      </c>
      <c r="R154" s="111">
        <f t="shared" si="80"/>
        <v>0</v>
      </c>
      <c r="S154" s="111">
        <f t="shared" si="80"/>
        <v>0</v>
      </c>
      <c r="T154" s="111">
        <f t="shared" si="80"/>
        <v>0</v>
      </c>
      <c r="U154" s="111">
        <f t="shared" si="80"/>
        <v>0</v>
      </c>
      <c r="V154" s="111">
        <f t="shared" si="80"/>
        <v>0</v>
      </c>
      <c r="W154" s="111">
        <f t="shared" si="80"/>
        <v>0</v>
      </c>
      <c r="X154" s="111">
        <f t="shared" si="80"/>
        <v>0</v>
      </c>
      <c r="Y154" s="111">
        <f t="shared" si="80"/>
        <v>0</v>
      </c>
      <c r="Z154" s="111">
        <f t="shared" si="80"/>
        <v>0</v>
      </c>
      <c r="AA154" s="111">
        <f t="shared" si="80"/>
        <v>0</v>
      </c>
      <c r="AB154" s="111">
        <f t="shared" si="80"/>
        <v>0</v>
      </c>
      <c r="AC154" s="111">
        <f t="shared" si="80"/>
        <v>0</v>
      </c>
      <c r="AD154" s="111">
        <f t="shared" si="80"/>
        <v>0</v>
      </c>
      <c r="AE154" s="111">
        <f t="shared" si="80"/>
        <v>0</v>
      </c>
      <c r="AF154" s="111">
        <f t="shared" si="80"/>
        <v>0</v>
      </c>
      <c r="AG154" s="111">
        <f t="shared" si="80"/>
        <v>0</v>
      </c>
      <c r="AH154" s="111">
        <f t="shared" si="80"/>
        <v>-7174098.5199999996</v>
      </c>
      <c r="AI154" s="111">
        <f t="shared" si="55"/>
        <v>-7174098.5199999996</v>
      </c>
      <c r="AJ154" s="111">
        <f>AJ64</f>
        <v>-670903.62</v>
      </c>
      <c r="AK154" s="236">
        <f>AI154+AJ154</f>
        <v>-7845002.1399999997</v>
      </c>
      <c r="AM154" s="101">
        <f>'9a. Summary Schedules'!C154</f>
        <v>-7845002.1399999997</v>
      </c>
      <c r="AN154" s="101">
        <f>AK154-AM154</f>
        <v>0</v>
      </c>
    </row>
    <row r="155" spans="1:40" s="101" customFormat="1" x14ac:dyDescent="0.3">
      <c r="A155" s="153" t="s">
        <v>140</v>
      </c>
      <c r="B155" s="53"/>
      <c r="C155" s="53"/>
      <c r="D155" s="112">
        <f>D65+D76</f>
        <v>-3175736.6711724643</v>
      </c>
      <c r="E155" s="112">
        <f>E65+E76</f>
        <v>-988504.33250960952</v>
      </c>
      <c r="F155" s="656"/>
      <c r="G155" s="656"/>
      <c r="H155" s="656"/>
      <c r="I155" s="112">
        <f>I65+I76</f>
        <v>-2187232.3386628544</v>
      </c>
      <c r="J155" s="112">
        <f>J65+J76</f>
        <v>0</v>
      </c>
      <c r="K155" s="112">
        <f>K65+K76</f>
        <v>0</v>
      </c>
      <c r="L155" s="112">
        <v>0</v>
      </c>
      <c r="M155" s="112">
        <f t="shared" ref="M155:AH155" si="81">M65+M76</f>
        <v>-7436415.7638784405</v>
      </c>
      <c r="N155" s="112">
        <f t="shared" si="81"/>
        <v>-209219.86994391639</v>
      </c>
      <c r="O155" s="112">
        <f t="shared" si="81"/>
        <v>-266573.8386527478</v>
      </c>
      <c r="P155" s="112">
        <f t="shared" si="81"/>
        <v>-57932.745435065473</v>
      </c>
      <c r="Q155" s="112">
        <f t="shared" si="81"/>
        <v>-21989.367079307111</v>
      </c>
      <c r="R155" s="112">
        <f t="shared" si="81"/>
        <v>-6782985.5569821028</v>
      </c>
      <c r="S155" s="112">
        <f t="shared" si="81"/>
        <v>-37655.744263635963</v>
      </c>
      <c r="T155" s="112">
        <f t="shared" si="81"/>
        <v>-24037.633438386056</v>
      </c>
      <c r="U155" s="112">
        <f t="shared" si="81"/>
        <v>-9584.0005951105049</v>
      </c>
      <c r="V155" s="112">
        <f t="shared" si="81"/>
        <v>-24596.971438306799</v>
      </c>
      <c r="W155" s="112">
        <f t="shared" si="81"/>
        <v>-1840.036049861596</v>
      </c>
      <c r="X155" s="112">
        <f t="shared" si="81"/>
        <v>-415139.35028303484</v>
      </c>
      <c r="Y155" s="112">
        <f t="shared" si="81"/>
        <v>-348725.44591267267</v>
      </c>
      <c r="Z155" s="112">
        <f t="shared" si="81"/>
        <v>-66413.904370362114</v>
      </c>
      <c r="AA155" s="112">
        <f t="shared" si="81"/>
        <v>-4208062.3516622186</v>
      </c>
      <c r="AB155" s="112">
        <f t="shared" si="81"/>
        <v>-223503.29004645935</v>
      </c>
      <c r="AC155" s="112">
        <f t="shared" si="81"/>
        <v>-202809.12224107143</v>
      </c>
      <c r="AD155" s="112">
        <f t="shared" si="81"/>
        <v>-20694.167805387904</v>
      </c>
      <c r="AE155" s="112">
        <f t="shared" si="81"/>
        <v>0</v>
      </c>
      <c r="AF155" s="112">
        <f t="shared" si="81"/>
        <v>-62293.171041331167</v>
      </c>
      <c r="AG155" s="112">
        <f t="shared" si="81"/>
        <v>-62293.171041331167</v>
      </c>
      <c r="AH155" s="112">
        <f t="shared" si="81"/>
        <v>-1379375.0499999989</v>
      </c>
      <c r="AI155" s="112">
        <f t="shared" si="55"/>
        <v>-16900525.648083948</v>
      </c>
      <c r="AJ155" s="112">
        <f>AJ65+AJ76</f>
        <v>-5686333.8977229428</v>
      </c>
      <c r="AK155" s="248">
        <f>AI155+AJ155</f>
        <v>-22586859.545806892</v>
      </c>
      <c r="AL155" s="16"/>
      <c r="AM155" s="101">
        <f>'9a. Summary Schedules'!C155</f>
        <v>-22586859.545806892</v>
      </c>
      <c r="AN155" s="100">
        <f>AK155-AM155</f>
        <v>0</v>
      </c>
    </row>
    <row r="156" spans="1:40" x14ac:dyDescent="0.3">
      <c r="A156" s="157" t="s">
        <v>1029</v>
      </c>
      <c r="B156" s="35"/>
      <c r="C156" s="35"/>
      <c r="D156" s="111">
        <f>SUM(E156,I156:K156)</f>
        <v>-6149759.370575917</v>
      </c>
      <c r="E156" s="111">
        <f>E66</f>
        <v>-5948046.0163923278</v>
      </c>
      <c r="F156" s="656"/>
      <c r="G156" s="656"/>
      <c r="H156" s="656"/>
      <c r="I156" s="111">
        <f>I66</f>
        <v>-201713.35418358946</v>
      </c>
      <c r="J156" s="111">
        <f>J66</f>
        <v>0</v>
      </c>
      <c r="K156" s="111">
        <f>K66</f>
        <v>0</v>
      </c>
      <c r="L156" s="111">
        <v>0</v>
      </c>
      <c r="M156" s="111">
        <f t="shared" ref="M156:AH156" si="82">M66</f>
        <v>-3904355.7512052124</v>
      </c>
      <c r="N156" s="111">
        <f t="shared" si="82"/>
        <v>-664921.01821430086</v>
      </c>
      <c r="O156" s="111">
        <f t="shared" si="82"/>
        <v>-1107532.6800220392</v>
      </c>
      <c r="P156" s="111">
        <f t="shared" si="82"/>
        <v>-296270.62897367764</v>
      </c>
      <c r="Q156" s="111">
        <f t="shared" si="82"/>
        <v>-308176.44226643414</v>
      </c>
      <c r="R156" s="111">
        <f t="shared" si="82"/>
        <v>-617275.01973020425</v>
      </c>
      <c r="S156" s="111">
        <f t="shared" si="82"/>
        <v>-152899.60445414591</v>
      </c>
      <c r="T156" s="111">
        <f t="shared" si="82"/>
        <v>-336882.47264367866</v>
      </c>
      <c r="U156" s="111">
        <f t="shared" si="82"/>
        <v>-225323.76121160766</v>
      </c>
      <c r="V156" s="111">
        <f t="shared" si="82"/>
        <v>-194158.51142555685</v>
      </c>
      <c r="W156" s="111">
        <f t="shared" si="82"/>
        <v>-915.61226356775524</v>
      </c>
      <c r="X156" s="111">
        <f t="shared" si="82"/>
        <v>-282406.6010557047</v>
      </c>
      <c r="Y156" s="111">
        <f t="shared" si="82"/>
        <v>-260821.2978619551</v>
      </c>
      <c r="Z156" s="111">
        <f t="shared" si="82"/>
        <v>-21585.303193749587</v>
      </c>
      <c r="AA156" s="111">
        <f t="shared" si="82"/>
        <v>-16480.23418976742</v>
      </c>
      <c r="AB156" s="111">
        <f t="shared" si="82"/>
        <v>-77284.368777903845</v>
      </c>
      <c r="AC156" s="111">
        <f t="shared" si="82"/>
        <v>-70429.032206784788</v>
      </c>
      <c r="AD156" s="111">
        <f t="shared" si="82"/>
        <v>-6855.3365711190418</v>
      </c>
      <c r="AE156" s="111">
        <f t="shared" si="82"/>
        <v>0</v>
      </c>
      <c r="AF156" s="111">
        <f t="shared" si="82"/>
        <v>-15372.495370829587</v>
      </c>
      <c r="AG156" s="111">
        <f t="shared" si="82"/>
        <v>-15372.495370829585</v>
      </c>
      <c r="AH156" s="111">
        <f t="shared" si="82"/>
        <v>59785.648869029399</v>
      </c>
      <c r="AI156" s="111">
        <f t="shared" si="55"/>
        <v>-10385873.172306307</v>
      </c>
      <c r="AJ156" s="111">
        <f>AJ66</f>
        <v>-1073192.0056876966</v>
      </c>
      <c r="AK156" s="236">
        <f>AI156+AJ156</f>
        <v>-11459065.177994004</v>
      </c>
      <c r="AM156" s="101">
        <f>'9a. Summary Schedules'!C156</f>
        <v>-11459065.177994002</v>
      </c>
      <c r="AN156" s="101">
        <f>AK156-AM156</f>
        <v>0</v>
      </c>
    </row>
    <row r="157" spans="1:40" ht="14.5" x14ac:dyDescent="0.45">
      <c r="A157" s="157" t="s">
        <v>33</v>
      </c>
      <c r="B157" s="35"/>
      <c r="C157" s="35"/>
      <c r="D157" s="114">
        <f>D84</f>
        <v>0</v>
      </c>
      <c r="E157" s="114">
        <f>E84</f>
        <v>0</v>
      </c>
      <c r="F157" s="657"/>
      <c r="G157" s="657"/>
      <c r="H157" s="657"/>
      <c r="I157" s="114">
        <f>I84</f>
        <v>0</v>
      </c>
      <c r="J157" s="114">
        <f>J84</f>
        <v>0</v>
      </c>
      <c r="K157" s="114">
        <f>K84</f>
        <v>0</v>
      </c>
      <c r="L157" s="114">
        <v>0</v>
      </c>
      <c r="M157" s="114">
        <f t="shared" ref="M157:AH157" si="83">M84</f>
        <v>0</v>
      </c>
      <c r="N157" s="114">
        <f t="shared" si="83"/>
        <v>0</v>
      </c>
      <c r="O157" s="114">
        <f t="shared" si="83"/>
        <v>0</v>
      </c>
      <c r="P157" s="114">
        <f t="shared" si="83"/>
        <v>0</v>
      </c>
      <c r="Q157" s="114">
        <f t="shared" si="83"/>
        <v>0</v>
      </c>
      <c r="R157" s="114">
        <f t="shared" si="83"/>
        <v>0</v>
      </c>
      <c r="S157" s="114">
        <f t="shared" si="83"/>
        <v>0</v>
      </c>
      <c r="T157" s="114">
        <f t="shared" si="83"/>
        <v>0</v>
      </c>
      <c r="U157" s="114">
        <f t="shared" si="83"/>
        <v>0</v>
      </c>
      <c r="V157" s="114">
        <f t="shared" si="83"/>
        <v>0</v>
      </c>
      <c r="W157" s="114">
        <f t="shared" si="83"/>
        <v>0</v>
      </c>
      <c r="X157" s="114">
        <f t="shared" si="83"/>
        <v>0</v>
      </c>
      <c r="Y157" s="114">
        <f t="shared" si="83"/>
        <v>0</v>
      </c>
      <c r="Z157" s="114">
        <f t="shared" si="83"/>
        <v>0</v>
      </c>
      <c r="AA157" s="114">
        <f t="shared" si="83"/>
        <v>0</v>
      </c>
      <c r="AB157" s="114">
        <f t="shared" si="83"/>
        <v>0</v>
      </c>
      <c r="AC157" s="114">
        <f t="shared" si="83"/>
        <v>0</v>
      </c>
      <c r="AD157" s="114">
        <f t="shared" si="83"/>
        <v>0</v>
      </c>
      <c r="AE157" s="114">
        <f t="shared" si="83"/>
        <v>0</v>
      </c>
      <c r="AF157" s="114">
        <f t="shared" si="83"/>
        <v>0</v>
      </c>
      <c r="AG157" s="114">
        <f t="shared" si="83"/>
        <v>0</v>
      </c>
      <c r="AH157" s="114">
        <f t="shared" si="83"/>
        <v>6893316.1699999999</v>
      </c>
      <c r="AI157" s="114">
        <f t="shared" si="55"/>
        <v>6893316.1699999999</v>
      </c>
      <c r="AJ157" s="114">
        <f>AJ84</f>
        <v>1235594.3999999999</v>
      </c>
      <c r="AK157" s="237">
        <f>AI157+AJ157</f>
        <v>8128910.5700000003</v>
      </c>
      <c r="AM157" s="101">
        <f>'9a. Summary Schedules'!C157</f>
        <v>8128910.5700000003</v>
      </c>
      <c r="AN157" s="101">
        <f>AK157-AM157</f>
        <v>0</v>
      </c>
    </row>
    <row r="158" spans="1:40" ht="14.5" x14ac:dyDescent="0.45">
      <c r="A158" s="157"/>
      <c r="B158" s="35"/>
      <c r="C158" s="35"/>
      <c r="D158" s="114"/>
      <c r="E158" s="114"/>
      <c r="F158" s="657"/>
      <c r="G158" s="657"/>
      <c r="H158" s="657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237"/>
    </row>
    <row r="159" spans="1:40" x14ac:dyDescent="0.3">
      <c r="A159" s="157" t="s">
        <v>1043</v>
      </c>
      <c r="B159" s="35"/>
      <c r="C159" s="35"/>
      <c r="D159" s="111">
        <f t="shared" ref="D159:AH159" si="84">SUM(D152:D157)</f>
        <v>1085566772.4274285</v>
      </c>
      <c r="E159" s="111">
        <f t="shared" si="84"/>
        <v>566909993.11332762</v>
      </c>
      <c r="F159" s="656"/>
      <c r="G159" s="656"/>
      <c r="H159" s="656"/>
      <c r="I159" s="111">
        <f t="shared" si="84"/>
        <v>118908331.26814722</v>
      </c>
      <c r="J159" s="111">
        <f t="shared" si="84"/>
        <v>368653979.37153488</v>
      </c>
      <c r="K159" s="111">
        <f t="shared" si="84"/>
        <v>31094468.674418602</v>
      </c>
      <c r="L159" s="111">
        <f t="shared" si="84"/>
        <v>70018316.938394994</v>
      </c>
      <c r="M159" s="111">
        <f t="shared" si="84"/>
        <v>356478701.34147775</v>
      </c>
      <c r="N159" s="111">
        <f t="shared" si="84"/>
        <v>74707672.37917994</v>
      </c>
      <c r="O159" s="111">
        <f t="shared" si="84"/>
        <v>106642741.65398154</v>
      </c>
      <c r="P159" s="111">
        <f t="shared" si="84"/>
        <v>28930671.784362514</v>
      </c>
      <c r="Q159" s="111">
        <f t="shared" si="84"/>
        <v>17887362.880818903</v>
      </c>
      <c r="R159" s="111">
        <f t="shared" si="84"/>
        <v>60523550.518896483</v>
      </c>
      <c r="S159" s="111">
        <f t="shared" si="84"/>
        <v>17294105.029983826</v>
      </c>
      <c r="T159" s="111">
        <f t="shared" si="84"/>
        <v>19553535.60463034</v>
      </c>
      <c r="U159" s="111">
        <f t="shared" si="84"/>
        <v>11444443.892670283</v>
      </c>
      <c r="V159" s="111">
        <f t="shared" si="84"/>
        <v>17561956.646479882</v>
      </c>
      <c r="W159" s="111">
        <f t="shared" si="84"/>
        <v>1932660.9504740867</v>
      </c>
      <c r="X159" s="111">
        <f t="shared" si="84"/>
        <v>66444120.320384622</v>
      </c>
      <c r="Y159" s="111">
        <f t="shared" si="84"/>
        <v>51022655.37992806</v>
      </c>
      <c r="Z159" s="111">
        <f t="shared" si="84"/>
        <v>15421464.94045656</v>
      </c>
      <c r="AA159" s="111">
        <f t="shared" si="84"/>
        <v>5752190.4545248505</v>
      </c>
      <c r="AB159" s="111">
        <f t="shared" si="84"/>
        <v>35015366.376924582</v>
      </c>
      <c r="AC159" s="111">
        <f t="shared" si="84"/>
        <v>33779902.977727875</v>
      </c>
      <c r="AD159" s="111">
        <f t="shared" si="84"/>
        <v>1235463.3991966995</v>
      </c>
      <c r="AE159" s="111">
        <f t="shared" si="84"/>
        <v>0</v>
      </c>
      <c r="AF159" s="111">
        <f t="shared" si="84"/>
        <v>20591241.072095111</v>
      </c>
      <c r="AG159" s="111">
        <f t="shared" si="84"/>
        <v>20591241.072095111</v>
      </c>
      <c r="AH159" s="111">
        <f t="shared" si="84"/>
        <v>-3851778.8473685458</v>
      </c>
      <c r="AI159" s="111">
        <f t="shared" si="55"/>
        <v>1636014930.0838618</v>
      </c>
      <c r="AJ159" s="111">
        <f>SUM(AJ152:AJ157)</f>
        <v>159048136.46066853</v>
      </c>
      <c r="AK159" s="236">
        <f>AI159+AJ159</f>
        <v>1795063066.5445304</v>
      </c>
      <c r="AM159" s="101">
        <f>'9a. Summary Schedules'!C159</f>
        <v>2584476615.9166236</v>
      </c>
      <c r="AN159" s="101">
        <f>AK159-AM159</f>
        <v>-789413549.3720932</v>
      </c>
    </row>
    <row r="160" spans="1:40" x14ac:dyDescent="0.3">
      <c r="A160" s="157"/>
      <c r="B160" s="35"/>
      <c r="C160" s="35"/>
      <c r="D160" s="35"/>
      <c r="E160" s="35"/>
      <c r="F160" s="639"/>
      <c r="G160" s="639"/>
      <c r="H160" s="639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158"/>
    </row>
    <row r="161" spans="1:40" x14ac:dyDescent="0.3">
      <c r="A161" s="157" t="s">
        <v>35</v>
      </c>
      <c r="B161" s="35"/>
      <c r="C161" s="35"/>
      <c r="D161" s="111">
        <f t="shared" ref="D161:AH161" si="85">D86</f>
        <v>1085566772.4274287</v>
      </c>
      <c r="E161" s="111">
        <f t="shared" si="85"/>
        <v>566909993.11332762</v>
      </c>
      <c r="F161" s="656"/>
      <c r="G161" s="656"/>
      <c r="H161" s="656"/>
      <c r="I161" s="111">
        <f t="shared" si="85"/>
        <v>118908331.26814722</v>
      </c>
      <c r="J161" s="111">
        <f t="shared" si="85"/>
        <v>368653979.37153488</v>
      </c>
      <c r="K161" s="111">
        <f t="shared" si="85"/>
        <v>31094468.674418602</v>
      </c>
      <c r="L161" s="111">
        <f t="shared" si="85"/>
        <v>70018316.938394994</v>
      </c>
      <c r="M161" s="111">
        <f t="shared" si="85"/>
        <v>356478701.34147775</v>
      </c>
      <c r="N161" s="111">
        <f t="shared" si="85"/>
        <v>74707672.37917994</v>
      </c>
      <c r="O161" s="111">
        <f t="shared" si="85"/>
        <v>106642741.65398154</v>
      </c>
      <c r="P161" s="111">
        <f t="shared" si="85"/>
        <v>28930671.784362514</v>
      </c>
      <c r="Q161" s="111">
        <f t="shared" si="85"/>
        <v>17887362.880818903</v>
      </c>
      <c r="R161" s="111">
        <f t="shared" si="85"/>
        <v>60523550.518896483</v>
      </c>
      <c r="S161" s="111">
        <f t="shared" si="85"/>
        <v>17294105.029983826</v>
      </c>
      <c r="T161" s="111">
        <f t="shared" si="85"/>
        <v>19553535.60463034</v>
      </c>
      <c r="U161" s="111">
        <f t="shared" si="85"/>
        <v>11444443.892670283</v>
      </c>
      <c r="V161" s="111">
        <f t="shared" si="85"/>
        <v>17561956.646479882</v>
      </c>
      <c r="W161" s="111">
        <f t="shared" si="85"/>
        <v>1932660.9504740867</v>
      </c>
      <c r="X161" s="111">
        <f t="shared" si="85"/>
        <v>66444120.320384622</v>
      </c>
      <c r="Y161" s="111">
        <f t="shared" si="85"/>
        <v>51022655.37992806</v>
      </c>
      <c r="Z161" s="111">
        <f t="shared" si="85"/>
        <v>15421464.94045656</v>
      </c>
      <c r="AA161" s="111">
        <f t="shared" si="85"/>
        <v>5752190.4545248505</v>
      </c>
      <c r="AB161" s="111">
        <f t="shared" si="85"/>
        <v>35015366.376924582</v>
      </c>
      <c r="AC161" s="111">
        <f t="shared" si="85"/>
        <v>33779902.977727875</v>
      </c>
      <c r="AD161" s="111">
        <f t="shared" si="85"/>
        <v>1235463.3991966995</v>
      </c>
      <c r="AE161" s="111">
        <f t="shared" si="85"/>
        <v>0</v>
      </c>
      <c r="AF161" s="111">
        <f t="shared" si="85"/>
        <v>20591241.072095111</v>
      </c>
      <c r="AG161" s="111">
        <f t="shared" si="85"/>
        <v>20591241.072095111</v>
      </c>
      <c r="AH161" s="111">
        <f t="shared" si="85"/>
        <v>-3851778.8473685458</v>
      </c>
      <c r="AI161" s="111">
        <f t="shared" si="55"/>
        <v>1636014930.0838618</v>
      </c>
      <c r="AJ161" s="111">
        <f>AJ86</f>
        <v>159048136.46066856</v>
      </c>
      <c r="AK161" s="236">
        <f>AK86</f>
        <v>1795063066.5445304</v>
      </c>
      <c r="AM161" s="101">
        <f>'9a. Summary Schedules'!C161</f>
        <v>1795063066.5445304</v>
      </c>
      <c r="AN161" s="101">
        <f>AK161-AM161</f>
        <v>0</v>
      </c>
    </row>
    <row r="162" spans="1:40" ht="13.5" thickBot="1" x14ac:dyDescent="0.35">
      <c r="A162" s="33"/>
      <c r="B162" s="34"/>
      <c r="C162" s="34"/>
      <c r="D162" s="245"/>
      <c r="E162" s="245"/>
      <c r="F162" s="658"/>
      <c r="G162" s="658"/>
      <c r="H162" s="658"/>
      <c r="I162" s="245"/>
      <c r="J162" s="245"/>
      <c r="K162" s="245"/>
      <c r="L162" s="245"/>
      <c r="M162" s="245"/>
      <c r="N162" s="245"/>
      <c r="O162" s="245"/>
      <c r="P162" s="245"/>
      <c r="Q162" s="245"/>
      <c r="R162" s="245"/>
      <c r="S162" s="245"/>
      <c r="T162" s="245"/>
      <c r="U162" s="245"/>
      <c r="V162" s="245"/>
      <c r="W162" s="245"/>
      <c r="X162" s="245"/>
      <c r="Y162" s="245"/>
      <c r="Z162" s="245"/>
      <c r="AA162" s="245"/>
      <c r="AB162" s="245"/>
      <c r="AC162" s="245"/>
      <c r="AD162" s="245"/>
      <c r="AE162" s="245"/>
      <c r="AF162" s="245"/>
      <c r="AG162" s="245"/>
      <c r="AH162" s="245"/>
      <c r="AI162" s="245"/>
      <c r="AJ162" s="245"/>
      <c r="AK162" s="247"/>
    </row>
    <row r="163" spans="1:40" x14ac:dyDescent="0.3">
      <c r="A163" s="35"/>
      <c r="B163" s="35"/>
      <c r="C163" s="35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6"/>
      <c r="AM163" s="16"/>
      <c r="AN163" s="16"/>
    </row>
    <row r="164" spans="1:40" x14ac:dyDescent="0.3">
      <c r="A164" s="35"/>
      <c r="B164" s="35"/>
      <c r="C164" s="35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</row>
    <row r="165" spans="1:40" ht="13.5" thickBot="1" x14ac:dyDescent="0.35">
      <c r="A165" s="35"/>
      <c r="B165" s="35"/>
      <c r="C165" s="35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</row>
    <row r="166" spans="1:40" x14ac:dyDescent="0.3">
      <c r="A166" s="205" t="str">
        <f>A1</f>
        <v>CPS Energy</v>
      </c>
      <c r="B166" s="286"/>
      <c r="C166" s="206"/>
      <c r="D166" s="206"/>
      <c r="E166" s="206"/>
      <c r="F166" s="206"/>
      <c r="G166" s="206"/>
      <c r="H166" s="206"/>
      <c r="I166" s="206"/>
      <c r="J166" s="206"/>
      <c r="K166" s="206"/>
      <c r="L166" s="206"/>
      <c r="M166" s="206"/>
      <c r="N166" s="206"/>
      <c r="O166" s="206"/>
      <c r="P166" s="206"/>
      <c r="Q166" s="206"/>
      <c r="R166" s="206"/>
      <c r="S166" s="206"/>
      <c r="T166" s="206"/>
      <c r="U166" s="206"/>
      <c r="V166" s="206"/>
      <c r="W166" s="206"/>
      <c r="X166" s="206"/>
      <c r="Y166" s="206"/>
      <c r="Z166" s="206"/>
      <c r="AA166" s="206"/>
      <c r="AB166" s="206"/>
      <c r="AC166" s="206"/>
      <c r="AD166" s="206"/>
      <c r="AE166" s="206"/>
      <c r="AF166" s="206"/>
      <c r="AG166" s="206"/>
      <c r="AH166" s="206"/>
      <c r="AI166" s="206"/>
      <c r="AJ166" s="206"/>
      <c r="AK166" s="208"/>
    </row>
    <row r="167" spans="1:40" x14ac:dyDescent="0.3">
      <c r="A167" s="211" t="s">
        <v>1249</v>
      </c>
      <c r="B167" s="285"/>
      <c r="C167" s="183"/>
      <c r="D167" s="183"/>
      <c r="E167" s="183"/>
      <c r="F167" s="183"/>
      <c r="G167" s="183"/>
      <c r="H167" s="183"/>
      <c r="I167" s="183"/>
      <c r="J167" s="183"/>
      <c r="K167" s="183"/>
      <c r="L167" s="183"/>
      <c r="M167" s="183"/>
      <c r="N167" s="183"/>
      <c r="O167" s="183"/>
      <c r="P167" s="183"/>
      <c r="Q167" s="183"/>
      <c r="R167" s="183"/>
      <c r="S167" s="183"/>
      <c r="T167" s="183"/>
      <c r="U167" s="183"/>
      <c r="V167" s="183"/>
      <c r="W167" s="183"/>
      <c r="X167" s="183"/>
      <c r="Y167" s="183"/>
      <c r="Z167" s="183"/>
      <c r="AA167" s="183"/>
      <c r="AB167" s="183"/>
      <c r="AC167" s="183"/>
      <c r="AD167" s="183"/>
      <c r="AE167" s="183"/>
      <c r="AF167" s="183"/>
      <c r="AG167" s="183"/>
      <c r="AH167" s="183"/>
      <c r="AI167" s="183"/>
      <c r="AJ167" s="183"/>
      <c r="AK167" s="210"/>
    </row>
    <row r="168" spans="1:40" x14ac:dyDescent="0.3">
      <c r="A168" s="268" t="s">
        <v>1313</v>
      </c>
      <c r="B168" s="191"/>
      <c r="C168" s="191"/>
      <c r="D168" s="256"/>
      <c r="E168" s="256"/>
      <c r="F168" s="256"/>
      <c r="G168" s="256"/>
      <c r="H168" s="256"/>
      <c r="I168" s="256"/>
      <c r="J168" s="256"/>
      <c r="K168" s="256"/>
      <c r="L168" s="256"/>
      <c r="M168" s="257" t="s">
        <v>367</v>
      </c>
      <c r="N168" s="258"/>
      <c r="O168" s="258"/>
      <c r="P168" s="258"/>
      <c r="Q168" s="258"/>
      <c r="R168" s="258"/>
      <c r="S168" s="258"/>
      <c r="T168" s="258"/>
      <c r="U168" s="258"/>
      <c r="V168" s="259"/>
      <c r="W168" s="259"/>
      <c r="X168" s="191"/>
      <c r="Y168" s="191"/>
      <c r="Z168" s="191"/>
      <c r="AA168" s="191"/>
      <c r="AB168" s="191"/>
      <c r="AC168" s="191"/>
      <c r="AD168" s="191"/>
      <c r="AE168" s="191"/>
      <c r="AF168" s="191"/>
      <c r="AG168" s="191"/>
      <c r="AH168" s="191"/>
      <c r="AI168" s="183"/>
      <c r="AJ168" s="184"/>
      <c r="AK168" s="210"/>
    </row>
    <row r="169" spans="1:40" x14ac:dyDescent="0.3">
      <c r="A169" s="261"/>
      <c r="B169" s="262"/>
      <c r="C169" s="276"/>
      <c r="D169" s="257" t="s">
        <v>544</v>
      </c>
      <c r="E169" s="258"/>
      <c r="F169" s="258"/>
      <c r="G169" s="258"/>
      <c r="H169" s="258"/>
      <c r="I169" s="259"/>
      <c r="J169" s="258"/>
      <c r="K169" s="259"/>
      <c r="L169" s="262"/>
      <c r="M169" s="191"/>
      <c r="N169" s="257" t="s">
        <v>922</v>
      </c>
      <c r="O169" s="258"/>
      <c r="P169" s="258"/>
      <c r="Q169" s="259"/>
      <c r="R169" s="257" t="s">
        <v>923</v>
      </c>
      <c r="S169" s="258"/>
      <c r="T169" s="258"/>
      <c r="U169" s="258"/>
      <c r="V169" s="259"/>
      <c r="W169" s="265"/>
      <c r="X169" s="257" t="s">
        <v>907</v>
      </c>
      <c r="Y169" s="258"/>
      <c r="Z169" s="259"/>
      <c r="AA169" s="191"/>
      <c r="AB169" s="257" t="s">
        <v>85</v>
      </c>
      <c r="AC169" s="258"/>
      <c r="AD169" s="258"/>
      <c r="AE169" s="258"/>
      <c r="AF169" s="257" t="s">
        <v>912</v>
      </c>
      <c r="AG169" s="259"/>
      <c r="AH169" s="191"/>
      <c r="AI169" s="214"/>
      <c r="AJ169" s="214"/>
      <c r="AK169" s="267"/>
    </row>
    <row r="170" spans="1:40" x14ac:dyDescent="0.3">
      <c r="A170" s="268" t="s">
        <v>546</v>
      </c>
      <c r="B170" s="194"/>
      <c r="C170" s="193"/>
      <c r="D170" s="195" t="s">
        <v>357</v>
      </c>
      <c r="E170" s="196" t="s">
        <v>924</v>
      </c>
      <c r="F170" s="196"/>
      <c r="G170" s="196"/>
      <c r="H170" s="196"/>
      <c r="I170" s="196" t="s">
        <v>924</v>
      </c>
      <c r="J170" s="269"/>
      <c r="K170" s="197" t="s">
        <v>79</v>
      </c>
      <c r="L170" s="198" t="s">
        <v>357</v>
      </c>
      <c r="M170" s="199" t="s">
        <v>357</v>
      </c>
      <c r="N170" s="270"/>
      <c r="O170" s="271" t="s">
        <v>925</v>
      </c>
      <c r="P170" s="271" t="s">
        <v>926</v>
      </c>
      <c r="Q170" s="216"/>
      <c r="R170" s="270" t="s">
        <v>925</v>
      </c>
      <c r="S170" s="271" t="s">
        <v>926</v>
      </c>
      <c r="T170" s="271"/>
      <c r="U170" s="263"/>
      <c r="V170" s="263"/>
      <c r="W170" s="216" t="s">
        <v>1010</v>
      </c>
      <c r="X170" s="271" t="s">
        <v>357</v>
      </c>
      <c r="Y170" s="270"/>
      <c r="Z170" s="270" t="s">
        <v>994</v>
      </c>
      <c r="AA170" s="215" t="s">
        <v>357</v>
      </c>
      <c r="AB170" s="215" t="s">
        <v>357</v>
      </c>
      <c r="AC170" s="215" t="s">
        <v>86</v>
      </c>
      <c r="AD170" s="215" t="s">
        <v>1003</v>
      </c>
      <c r="AE170" s="277"/>
      <c r="AF170" s="215" t="s">
        <v>911</v>
      </c>
      <c r="AG170" s="215"/>
      <c r="AH170" s="215" t="s">
        <v>357</v>
      </c>
      <c r="AI170" s="186" t="s">
        <v>355</v>
      </c>
      <c r="AJ170" s="186" t="s">
        <v>355</v>
      </c>
      <c r="AK170" s="219" t="s">
        <v>355</v>
      </c>
    </row>
    <row r="171" spans="1:40" x14ac:dyDescent="0.3">
      <c r="A171" s="268" t="s">
        <v>359</v>
      </c>
      <c r="B171" s="186"/>
      <c r="C171" s="200"/>
      <c r="D171" s="186" t="s">
        <v>544</v>
      </c>
      <c r="E171" s="196" t="s">
        <v>928</v>
      </c>
      <c r="F171" s="196" t="s">
        <v>1140</v>
      </c>
      <c r="G171" s="196" t="s">
        <v>1139</v>
      </c>
      <c r="H171" s="196" t="s">
        <v>947</v>
      </c>
      <c r="I171" s="196" t="s">
        <v>927</v>
      </c>
      <c r="J171" s="196" t="s">
        <v>617</v>
      </c>
      <c r="K171" s="187" t="s">
        <v>80</v>
      </c>
      <c r="L171" s="198" t="s">
        <v>366</v>
      </c>
      <c r="M171" s="199" t="s">
        <v>367</v>
      </c>
      <c r="N171" s="200" t="s">
        <v>929</v>
      </c>
      <c r="O171" s="196" t="s">
        <v>930</v>
      </c>
      <c r="P171" s="196" t="s">
        <v>930</v>
      </c>
      <c r="Q171" s="187" t="s">
        <v>931</v>
      </c>
      <c r="R171" s="200" t="s">
        <v>930</v>
      </c>
      <c r="S171" s="196" t="s">
        <v>930</v>
      </c>
      <c r="T171" s="196" t="s">
        <v>931</v>
      </c>
      <c r="U171" s="196" t="s">
        <v>456</v>
      </c>
      <c r="V171" s="196" t="s">
        <v>932</v>
      </c>
      <c r="W171" s="187" t="s">
        <v>1011</v>
      </c>
      <c r="X171" s="196" t="s">
        <v>907</v>
      </c>
      <c r="Y171" s="200" t="s">
        <v>907</v>
      </c>
      <c r="Z171" s="200" t="s">
        <v>995</v>
      </c>
      <c r="AA171" s="186" t="s">
        <v>84</v>
      </c>
      <c r="AB171" s="186" t="s">
        <v>82</v>
      </c>
      <c r="AC171" s="186" t="s">
        <v>87</v>
      </c>
      <c r="AD171" s="186" t="s">
        <v>1004</v>
      </c>
      <c r="AE171" s="186" t="s">
        <v>1005</v>
      </c>
      <c r="AF171" s="186" t="s">
        <v>912</v>
      </c>
      <c r="AG171" s="186" t="s">
        <v>1006</v>
      </c>
      <c r="AH171" s="186" t="s">
        <v>913</v>
      </c>
      <c r="AI171" s="186" t="s">
        <v>364</v>
      </c>
      <c r="AJ171" s="186" t="s">
        <v>947</v>
      </c>
      <c r="AK171" s="219" t="s">
        <v>948</v>
      </c>
    </row>
    <row r="172" spans="1:40" ht="13.5" thickBot="1" x14ac:dyDescent="0.35">
      <c r="A172" s="278"/>
      <c r="B172" s="279"/>
      <c r="C172" s="280"/>
      <c r="D172" s="281" t="s">
        <v>815</v>
      </c>
      <c r="E172" s="282" t="s">
        <v>816</v>
      </c>
      <c r="F172" s="282"/>
      <c r="G172" s="282"/>
      <c r="H172" s="282"/>
      <c r="I172" s="282" t="s">
        <v>817</v>
      </c>
      <c r="J172" s="282" t="s">
        <v>818</v>
      </c>
      <c r="K172" s="282" t="s">
        <v>819</v>
      </c>
      <c r="L172" s="234" t="s">
        <v>820</v>
      </c>
      <c r="M172" s="282" t="s">
        <v>821</v>
      </c>
      <c r="N172" s="281" t="s">
        <v>822</v>
      </c>
      <c r="O172" s="282" t="s">
        <v>823</v>
      </c>
      <c r="P172" s="282" t="s">
        <v>908</v>
      </c>
      <c r="Q172" s="282" t="s">
        <v>914</v>
      </c>
      <c r="R172" s="281" t="s">
        <v>915</v>
      </c>
      <c r="S172" s="282" t="s">
        <v>916</v>
      </c>
      <c r="T172" s="282" t="s">
        <v>917</v>
      </c>
      <c r="U172" s="282" t="s">
        <v>918</v>
      </c>
      <c r="V172" s="282" t="s">
        <v>934</v>
      </c>
      <c r="W172" s="283" t="s">
        <v>935</v>
      </c>
      <c r="X172" s="282" t="s">
        <v>936</v>
      </c>
      <c r="Y172" s="234" t="s">
        <v>937</v>
      </c>
      <c r="Z172" s="234" t="s">
        <v>938</v>
      </c>
      <c r="AA172" s="234" t="s">
        <v>939</v>
      </c>
      <c r="AB172" s="234" t="s">
        <v>985</v>
      </c>
      <c r="AC172" s="234" t="s">
        <v>986</v>
      </c>
      <c r="AD172" s="234" t="s">
        <v>987</v>
      </c>
      <c r="AE172" s="234" t="s">
        <v>988</v>
      </c>
      <c r="AF172" s="234" t="s">
        <v>989</v>
      </c>
      <c r="AG172" s="234" t="s">
        <v>990</v>
      </c>
      <c r="AH172" s="234" t="s">
        <v>991</v>
      </c>
      <c r="AI172" s="234" t="s">
        <v>992</v>
      </c>
      <c r="AJ172" s="234" t="s">
        <v>993</v>
      </c>
      <c r="AK172" s="235" t="s">
        <v>1002</v>
      </c>
    </row>
    <row r="173" spans="1:40" x14ac:dyDescent="0.3">
      <c r="A173" s="157"/>
      <c r="B173" s="35"/>
      <c r="C173" s="35"/>
      <c r="D173" s="567"/>
      <c r="E173" s="567"/>
      <c r="F173" s="649"/>
      <c r="G173" s="649"/>
      <c r="H173" s="649"/>
      <c r="I173" s="567"/>
      <c r="J173" s="567"/>
      <c r="K173" s="567"/>
      <c r="L173" s="567"/>
      <c r="M173" s="567"/>
      <c r="N173" s="567"/>
      <c r="O173" s="567"/>
      <c r="P173" s="567"/>
      <c r="Q173" s="567"/>
      <c r="R173" s="567"/>
      <c r="S173" s="567"/>
      <c r="T173" s="567"/>
      <c r="U173" s="567"/>
      <c r="V173" s="567"/>
      <c r="W173" s="567"/>
      <c r="X173" s="567"/>
      <c r="Y173" s="567"/>
      <c r="Z173" s="567"/>
      <c r="AA173" s="567"/>
      <c r="AB173" s="567"/>
      <c r="AC173" s="567"/>
      <c r="AD173" s="567"/>
      <c r="AE173" s="567"/>
      <c r="AF173" s="567"/>
      <c r="AG173" s="567"/>
      <c r="AH173" s="567"/>
      <c r="AI173" s="567"/>
      <c r="AJ173" s="567"/>
      <c r="AK173" s="569"/>
    </row>
    <row r="174" spans="1:40" x14ac:dyDescent="0.3">
      <c r="A174" s="162" t="s">
        <v>955</v>
      </c>
      <c r="B174" s="35"/>
      <c r="C174" s="35"/>
      <c r="D174" s="567">
        <f>D127</f>
        <v>317042422.25951999</v>
      </c>
      <c r="E174" s="567">
        <f>E127</f>
        <v>0</v>
      </c>
      <c r="F174" s="649"/>
      <c r="G174" s="649"/>
      <c r="H174" s="649"/>
      <c r="I174" s="567">
        <f t="shared" ref="I174:AH174" si="86">I127</f>
        <v>0</v>
      </c>
      <c r="J174" s="567">
        <f t="shared" si="86"/>
        <v>317042422.25951999</v>
      </c>
      <c r="K174" s="567">
        <f>K127</f>
        <v>0</v>
      </c>
      <c r="L174" s="567">
        <f t="shared" si="86"/>
        <v>0</v>
      </c>
      <c r="M174" s="567">
        <f t="shared" si="86"/>
        <v>0</v>
      </c>
      <c r="N174" s="567">
        <f t="shared" si="86"/>
        <v>0</v>
      </c>
      <c r="O174" s="567">
        <f t="shared" si="86"/>
        <v>0</v>
      </c>
      <c r="P174" s="567">
        <f t="shared" si="86"/>
        <v>0</v>
      </c>
      <c r="Q174" s="567">
        <f t="shared" si="86"/>
        <v>0</v>
      </c>
      <c r="R174" s="567">
        <f t="shared" si="86"/>
        <v>0</v>
      </c>
      <c r="S174" s="567">
        <f t="shared" si="86"/>
        <v>0</v>
      </c>
      <c r="T174" s="567">
        <f t="shared" si="86"/>
        <v>0</v>
      </c>
      <c r="U174" s="567">
        <f t="shared" si="86"/>
        <v>0</v>
      </c>
      <c r="V174" s="567">
        <f t="shared" si="86"/>
        <v>0</v>
      </c>
      <c r="W174" s="567">
        <f t="shared" si="86"/>
        <v>0</v>
      </c>
      <c r="X174" s="567">
        <f t="shared" si="86"/>
        <v>0</v>
      </c>
      <c r="Y174" s="567">
        <f t="shared" si="86"/>
        <v>0</v>
      </c>
      <c r="Z174" s="567">
        <f t="shared" si="86"/>
        <v>0</v>
      </c>
      <c r="AA174" s="567">
        <f t="shared" si="86"/>
        <v>0</v>
      </c>
      <c r="AB174" s="567">
        <f t="shared" si="86"/>
        <v>0</v>
      </c>
      <c r="AC174" s="567">
        <f>AC127</f>
        <v>0</v>
      </c>
      <c r="AD174" s="567">
        <f>AD127</f>
        <v>0</v>
      </c>
      <c r="AE174" s="567">
        <f>AE127</f>
        <v>0</v>
      </c>
      <c r="AF174" s="567">
        <f t="shared" si="86"/>
        <v>0</v>
      </c>
      <c r="AG174" s="567">
        <f t="shared" si="86"/>
        <v>0</v>
      </c>
      <c r="AH174" s="567">
        <f t="shared" si="86"/>
        <v>0</v>
      </c>
      <c r="AI174" s="573">
        <f t="shared" ref="AI174" si="87">SUM(E174,I174:K174,L174,N174:W174,Y174:Z174,AA174:AA174,AC174:AE174,AG174:AG174,AH174)</f>
        <v>317042422.25951999</v>
      </c>
      <c r="AJ174" s="567">
        <f>AJ127</f>
        <v>53285048.960000008</v>
      </c>
      <c r="AK174" s="569">
        <f t="shared" ref="AK174:AK222" si="88">AI174+AJ174</f>
        <v>370327471.21951997</v>
      </c>
      <c r="AM174" s="101">
        <f>'9a. Summary Schedules'!C174</f>
        <v>370327471.21951997</v>
      </c>
      <c r="AN174" s="101">
        <f>AK174-AM174</f>
        <v>0</v>
      </c>
    </row>
    <row r="175" spans="1:40" x14ac:dyDescent="0.3">
      <c r="A175" s="162"/>
      <c r="B175" s="35"/>
      <c r="C175" s="35"/>
      <c r="D175" s="567"/>
      <c r="E175" s="567"/>
      <c r="F175" s="649"/>
      <c r="G175" s="649"/>
      <c r="H175" s="649"/>
      <c r="I175" s="567"/>
      <c r="J175" s="567"/>
      <c r="K175" s="567"/>
      <c r="L175" s="567"/>
      <c r="M175" s="567"/>
      <c r="N175" s="567"/>
      <c r="O175" s="567"/>
      <c r="P175" s="567"/>
      <c r="Q175" s="567"/>
      <c r="R175" s="567"/>
      <c r="S175" s="567"/>
      <c r="T175" s="567"/>
      <c r="U175" s="567"/>
      <c r="V175" s="567"/>
      <c r="W175" s="567"/>
      <c r="X175" s="567"/>
      <c r="Y175" s="567"/>
      <c r="Z175" s="567"/>
      <c r="AA175" s="567"/>
      <c r="AB175" s="567"/>
      <c r="AC175" s="567"/>
      <c r="AD175" s="567"/>
      <c r="AE175" s="567"/>
      <c r="AF175" s="567"/>
      <c r="AG175" s="567"/>
      <c r="AH175" s="567"/>
      <c r="AI175" s="567"/>
      <c r="AJ175" s="567"/>
      <c r="AK175" s="569"/>
    </row>
    <row r="176" spans="1:40" x14ac:dyDescent="0.3">
      <c r="A176" s="157" t="s">
        <v>810</v>
      </c>
      <c r="B176" s="35"/>
      <c r="C176" s="35"/>
      <c r="D176" s="567">
        <f t="shared" ref="D176:E181" si="89">D129</f>
        <v>227201666.57000002</v>
      </c>
      <c r="E176" s="567">
        <f t="shared" si="89"/>
        <v>169811627.8249402</v>
      </c>
      <c r="F176" s="649"/>
      <c r="G176" s="649"/>
      <c r="H176" s="649"/>
      <c r="I176" s="567">
        <f t="shared" ref="I176:AH176" si="90">I129</f>
        <v>57390038.745059818</v>
      </c>
      <c r="J176" s="567">
        <f t="shared" si="90"/>
        <v>0</v>
      </c>
      <c r="K176" s="567">
        <f t="shared" ref="K176:K181" si="91">K129</f>
        <v>0</v>
      </c>
      <c r="L176" s="567">
        <f t="shared" si="90"/>
        <v>0</v>
      </c>
      <c r="M176" s="567">
        <f t="shared" si="90"/>
        <v>88810905.387649953</v>
      </c>
      <c r="N176" s="567">
        <f t="shared" si="90"/>
        <v>18567236.929002482</v>
      </c>
      <c r="O176" s="567">
        <f t="shared" si="90"/>
        <v>28230907.715102665</v>
      </c>
      <c r="P176" s="567">
        <f t="shared" si="90"/>
        <v>7768739.4674058827</v>
      </c>
      <c r="Q176" s="567">
        <f t="shared" si="90"/>
        <v>1105046.827609252</v>
      </c>
      <c r="R176" s="567">
        <f t="shared" si="90"/>
        <v>20029161.203761414</v>
      </c>
      <c r="S176" s="567">
        <f t="shared" si="90"/>
        <v>5328279.3604328306</v>
      </c>
      <c r="T176" s="567">
        <f t="shared" si="90"/>
        <v>1207979.7694277053</v>
      </c>
      <c r="U176" s="567">
        <f t="shared" si="90"/>
        <v>0</v>
      </c>
      <c r="V176" s="567">
        <f t="shared" si="90"/>
        <v>5117945.2002358725</v>
      </c>
      <c r="W176" s="567">
        <f t="shared" si="90"/>
        <v>1455608.914671842</v>
      </c>
      <c r="X176" s="567">
        <f t="shared" si="90"/>
        <v>20098455.643104106</v>
      </c>
      <c r="Y176" s="567">
        <f t="shared" si="90"/>
        <v>11236208.182350054</v>
      </c>
      <c r="Z176" s="567">
        <f t="shared" si="90"/>
        <v>8862247.4607540499</v>
      </c>
      <c r="AA176" s="567">
        <f t="shared" si="90"/>
        <v>5698530.8631646633</v>
      </c>
      <c r="AB176" s="567">
        <f t="shared" si="90"/>
        <v>18288002.820946973</v>
      </c>
      <c r="AC176" s="567">
        <f t="shared" ref="AC176:AE181" si="92">AC129</f>
        <v>18288002.820946973</v>
      </c>
      <c r="AD176" s="567">
        <f t="shared" si="92"/>
        <v>0</v>
      </c>
      <c r="AE176" s="567">
        <f t="shared" si="92"/>
        <v>0</v>
      </c>
      <c r="AF176" s="567">
        <f t="shared" si="90"/>
        <v>11300520.26</v>
      </c>
      <c r="AG176" s="567">
        <f t="shared" si="90"/>
        <v>11300520.26</v>
      </c>
      <c r="AH176" s="567">
        <f t="shared" si="90"/>
        <v>0</v>
      </c>
      <c r="AI176" s="567">
        <f t="shared" ref="AI176:AI182" si="93">SUM(E176,I176:K176,L176,N176:W176,Y176:Z176,AA176:AA176,AC176:AE176,AG176:AG176,AH176)</f>
        <v>371398081.54486561</v>
      </c>
      <c r="AJ176" s="567">
        <f t="shared" ref="AJ176:AJ181" si="94">AJ129</f>
        <v>32863415.13513431</v>
      </c>
      <c r="AK176" s="569">
        <f t="shared" si="88"/>
        <v>404261496.67999995</v>
      </c>
      <c r="AM176" s="101">
        <f>'9a. Summary Schedules'!C176</f>
        <v>1083157149.1399999</v>
      </c>
      <c r="AN176" s="101">
        <f t="shared" ref="AN176:AN182" si="95">AK176-AM176</f>
        <v>-678895652.45999992</v>
      </c>
    </row>
    <row r="177" spans="1:40" x14ac:dyDescent="0.3">
      <c r="A177" s="157" t="s">
        <v>956</v>
      </c>
      <c r="B177" s="35"/>
      <c r="C177" s="35"/>
      <c r="D177" s="567">
        <f t="shared" si="89"/>
        <v>82392138.50394249</v>
      </c>
      <c r="E177" s="567">
        <f t="shared" si="89"/>
        <v>48801916.431806602</v>
      </c>
      <c r="F177" s="649"/>
      <c r="G177" s="649"/>
      <c r="H177" s="649"/>
      <c r="I177" s="567">
        <f t="shared" ref="I177:AH177" si="96">I130</f>
        <v>33590222.072135881</v>
      </c>
      <c r="J177" s="567">
        <f t="shared" si="96"/>
        <v>0</v>
      </c>
      <c r="K177" s="567">
        <f t="shared" si="91"/>
        <v>0</v>
      </c>
      <c r="L177" s="567">
        <f t="shared" si="96"/>
        <v>0</v>
      </c>
      <c r="M177" s="567">
        <f t="shared" si="96"/>
        <v>54807107.926939994</v>
      </c>
      <c r="N177" s="567">
        <f t="shared" si="96"/>
        <v>17020757.342097554</v>
      </c>
      <c r="O177" s="567">
        <f t="shared" si="96"/>
        <v>15672566.697106455</v>
      </c>
      <c r="P177" s="567">
        <f t="shared" si="96"/>
        <v>4310907.300118031</v>
      </c>
      <c r="Q177" s="567">
        <f t="shared" si="96"/>
        <v>930035.77646424621</v>
      </c>
      <c r="R177" s="567">
        <f t="shared" si="96"/>
        <v>11080542.126136133</v>
      </c>
      <c r="S177" s="567">
        <f t="shared" si="96"/>
        <v>2945110.2454890464</v>
      </c>
      <c r="T177" s="567">
        <f t="shared" si="96"/>
        <v>1016666.782568293</v>
      </c>
      <c r="U177" s="567">
        <f t="shared" si="96"/>
        <v>77186.851341631787</v>
      </c>
      <c r="V177" s="567">
        <f t="shared" si="96"/>
        <v>1584986.9808297632</v>
      </c>
      <c r="W177" s="567">
        <f t="shared" si="96"/>
        <v>168347.82478884305</v>
      </c>
      <c r="X177" s="567">
        <f t="shared" si="96"/>
        <v>3654562.964662313</v>
      </c>
      <c r="Y177" s="567">
        <f t="shared" si="96"/>
        <v>1776552.6850167948</v>
      </c>
      <c r="Z177" s="567">
        <f t="shared" si="96"/>
        <v>1878010.2796455179</v>
      </c>
      <c r="AA177" s="567">
        <f t="shared" si="96"/>
        <v>1190617.5640386445</v>
      </c>
      <c r="AB177" s="567">
        <f t="shared" si="96"/>
        <v>3683021.925998183</v>
      </c>
      <c r="AC177" s="567">
        <f t="shared" si="92"/>
        <v>3342010.9558612946</v>
      </c>
      <c r="AD177" s="567">
        <f t="shared" si="92"/>
        <v>341010.97013688786</v>
      </c>
      <c r="AE177" s="567">
        <f t="shared" si="92"/>
        <v>0</v>
      </c>
      <c r="AF177" s="567">
        <f t="shared" si="96"/>
        <v>3822484.6549347816</v>
      </c>
      <c r="AG177" s="567">
        <f t="shared" si="96"/>
        <v>3822484.6549347816</v>
      </c>
      <c r="AH177" s="567">
        <f t="shared" si="96"/>
        <v>-7486.1</v>
      </c>
      <c r="AI177" s="567">
        <f t="shared" si="93"/>
        <v>149542447.44051644</v>
      </c>
      <c r="AJ177" s="567">
        <f t="shared" si="94"/>
        <v>10959473.199999999</v>
      </c>
      <c r="AK177" s="569">
        <f t="shared" si="88"/>
        <v>160501920.64051643</v>
      </c>
      <c r="AM177" s="101">
        <f>'9a. Summary Schedules'!C177</f>
        <v>160501920.6405164</v>
      </c>
      <c r="AN177" s="101">
        <f t="shared" si="95"/>
        <v>0</v>
      </c>
    </row>
    <row r="178" spans="1:40" x14ac:dyDescent="0.3">
      <c r="A178" s="162" t="s">
        <v>957</v>
      </c>
      <c r="B178" s="35"/>
      <c r="C178" s="35"/>
      <c r="D178" s="567">
        <f t="shared" si="89"/>
        <v>0</v>
      </c>
      <c r="E178" s="567">
        <f t="shared" si="89"/>
        <v>0</v>
      </c>
      <c r="F178" s="649"/>
      <c r="G178" s="649"/>
      <c r="H178" s="649"/>
      <c r="I178" s="567">
        <f t="shared" ref="I178:AH178" si="97">I131</f>
        <v>0</v>
      </c>
      <c r="J178" s="567">
        <f t="shared" si="97"/>
        <v>0</v>
      </c>
      <c r="K178" s="567">
        <f t="shared" si="91"/>
        <v>0</v>
      </c>
      <c r="L178" s="567">
        <f t="shared" si="97"/>
        <v>0</v>
      </c>
      <c r="M178" s="567">
        <f t="shared" si="97"/>
        <v>0</v>
      </c>
      <c r="N178" s="567">
        <f t="shared" si="97"/>
        <v>0</v>
      </c>
      <c r="O178" s="567">
        <f t="shared" si="97"/>
        <v>0</v>
      </c>
      <c r="P178" s="567">
        <f t="shared" si="97"/>
        <v>0</v>
      </c>
      <c r="Q178" s="567">
        <f t="shared" si="97"/>
        <v>0</v>
      </c>
      <c r="R178" s="567">
        <f t="shared" si="97"/>
        <v>0</v>
      </c>
      <c r="S178" s="567">
        <f t="shared" si="97"/>
        <v>0</v>
      </c>
      <c r="T178" s="567">
        <f t="shared" si="97"/>
        <v>0</v>
      </c>
      <c r="U178" s="567">
        <f t="shared" si="97"/>
        <v>0</v>
      </c>
      <c r="V178" s="567">
        <f t="shared" si="97"/>
        <v>0</v>
      </c>
      <c r="W178" s="567">
        <f t="shared" si="97"/>
        <v>0</v>
      </c>
      <c r="X178" s="567">
        <f t="shared" si="97"/>
        <v>0</v>
      </c>
      <c r="Y178" s="567">
        <f t="shared" si="97"/>
        <v>0</v>
      </c>
      <c r="Z178" s="567">
        <f t="shared" si="97"/>
        <v>0</v>
      </c>
      <c r="AA178" s="567">
        <f t="shared" si="97"/>
        <v>0</v>
      </c>
      <c r="AB178" s="567">
        <f t="shared" si="97"/>
        <v>0</v>
      </c>
      <c r="AC178" s="567">
        <f t="shared" si="92"/>
        <v>0</v>
      </c>
      <c r="AD178" s="567">
        <f t="shared" si="92"/>
        <v>0</v>
      </c>
      <c r="AE178" s="567">
        <f t="shared" si="92"/>
        <v>0</v>
      </c>
      <c r="AF178" s="567">
        <f t="shared" si="97"/>
        <v>0</v>
      </c>
      <c r="AG178" s="567">
        <f t="shared" si="97"/>
        <v>0</v>
      </c>
      <c r="AH178" s="567">
        <f t="shared" si="97"/>
        <v>110145.61295881959</v>
      </c>
      <c r="AI178" s="567">
        <f t="shared" si="93"/>
        <v>110145.61295881959</v>
      </c>
      <c r="AJ178" s="567">
        <f t="shared" si="94"/>
        <v>8892.9070411804132</v>
      </c>
      <c r="AK178" s="569">
        <f t="shared" si="88"/>
        <v>119038.52</v>
      </c>
      <c r="AM178" s="101">
        <f>'9a. Summary Schedules'!C178</f>
        <v>119038.52</v>
      </c>
      <c r="AN178" s="101">
        <f t="shared" si="95"/>
        <v>0</v>
      </c>
    </row>
    <row r="179" spans="1:40" x14ac:dyDescent="0.3">
      <c r="A179" s="157" t="s">
        <v>88</v>
      </c>
      <c r="B179" s="35"/>
      <c r="C179" s="35"/>
      <c r="D179" s="567">
        <f t="shared" si="89"/>
        <v>26741243.059999999</v>
      </c>
      <c r="E179" s="567">
        <f t="shared" si="89"/>
        <v>0</v>
      </c>
      <c r="F179" s="649"/>
      <c r="G179" s="649"/>
      <c r="H179" s="649"/>
      <c r="I179" s="567">
        <f t="shared" ref="I179:AH179" si="98">I132</f>
        <v>0</v>
      </c>
      <c r="J179" s="567">
        <f t="shared" si="98"/>
        <v>0</v>
      </c>
      <c r="K179" s="567">
        <f t="shared" si="91"/>
        <v>26741243.059999999</v>
      </c>
      <c r="L179" s="567">
        <f t="shared" si="98"/>
        <v>0</v>
      </c>
      <c r="M179" s="567">
        <f t="shared" si="98"/>
        <v>0</v>
      </c>
      <c r="N179" s="567">
        <f t="shared" si="98"/>
        <v>0</v>
      </c>
      <c r="O179" s="567">
        <f t="shared" si="98"/>
        <v>0</v>
      </c>
      <c r="P179" s="567">
        <f t="shared" si="98"/>
        <v>0</v>
      </c>
      <c r="Q179" s="567">
        <f t="shared" si="98"/>
        <v>0</v>
      </c>
      <c r="R179" s="567">
        <f t="shared" si="98"/>
        <v>0</v>
      </c>
      <c r="S179" s="567">
        <f t="shared" si="98"/>
        <v>0</v>
      </c>
      <c r="T179" s="567">
        <f t="shared" si="98"/>
        <v>0</v>
      </c>
      <c r="U179" s="567">
        <f t="shared" si="98"/>
        <v>0</v>
      </c>
      <c r="V179" s="567">
        <f t="shared" si="98"/>
        <v>0</v>
      </c>
      <c r="W179" s="567">
        <f t="shared" si="98"/>
        <v>0</v>
      </c>
      <c r="X179" s="567">
        <f t="shared" si="98"/>
        <v>0</v>
      </c>
      <c r="Y179" s="567">
        <f t="shared" si="98"/>
        <v>0</v>
      </c>
      <c r="Z179" s="567">
        <f t="shared" si="98"/>
        <v>0</v>
      </c>
      <c r="AA179" s="567">
        <f t="shared" si="98"/>
        <v>0</v>
      </c>
      <c r="AB179" s="567">
        <f t="shared" si="98"/>
        <v>0</v>
      </c>
      <c r="AC179" s="567">
        <f t="shared" si="92"/>
        <v>0</v>
      </c>
      <c r="AD179" s="567">
        <f t="shared" si="92"/>
        <v>0</v>
      </c>
      <c r="AE179" s="567">
        <f t="shared" si="92"/>
        <v>0</v>
      </c>
      <c r="AF179" s="567">
        <f t="shared" si="98"/>
        <v>0</v>
      </c>
      <c r="AG179" s="567">
        <f t="shared" si="98"/>
        <v>0</v>
      </c>
      <c r="AH179" s="567">
        <f t="shared" si="98"/>
        <v>0</v>
      </c>
      <c r="AI179" s="567">
        <f t="shared" si="93"/>
        <v>26741243.059999999</v>
      </c>
      <c r="AJ179" s="567">
        <f t="shared" si="94"/>
        <v>0</v>
      </c>
      <c r="AK179" s="569">
        <f t="shared" si="88"/>
        <v>26741243.059999999</v>
      </c>
      <c r="AM179" s="101">
        <f>'9a. Summary Schedules'!C179</f>
        <v>26741243.059999999</v>
      </c>
      <c r="AN179" s="101">
        <f t="shared" si="95"/>
        <v>0</v>
      </c>
    </row>
    <row r="180" spans="1:40" x14ac:dyDescent="0.3">
      <c r="A180" s="162" t="s">
        <v>959</v>
      </c>
      <c r="B180" s="35"/>
      <c r="C180" s="35"/>
      <c r="D180" s="567">
        <f t="shared" si="89"/>
        <v>6843089.2800000012</v>
      </c>
      <c r="E180" s="567">
        <f t="shared" si="89"/>
        <v>2737235.7120000008</v>
      </c>
      <c r="F180" s="649"/>
      <c r="G180" s="649"/>
      <c r="H180" s="649"/>
      <c r="I180" s="567">
        <f t="shared" ref="I180:AH180" si="99">I133</f>
        <v>4105853.5680000004</v>
      </c>
      <c r="J180" s="567">
        <f t="shared" si="99"/>
        <v>0</v>
      </c>
      <c r="K180" s="567">
        <f t="shared" si="91"/>
        <v>0</v>
      </c>
      <c r="L180" s="567">
        <f t="shared" si="99"/>
        <v>0</v>
      </c>
      <c r="M180" s="567">
        <f t="shared" si="99"/>
        <v>0</v>
      </c>
      <c r="N180" s="567">
        <f t="shared" si="99"/>
        <v>0</v>
      </c>
      <c r="O180" s="567">
        <f t="shared" si="99"/>
        <v>0</v>
      </c>
      <c r="P180" s="567">
        <f t="shared" si="99"/>
        <v>0</v>
      </c>
      <c r="Q180" s="567">
        <f t="shared" si="99"/>
        <v>0</v>
      </c>
      <c r="R180" s="567">
        <f t="shared" si="99"/>
        <v>0</v>
      </c>
      <c r="S180" s="567">
        <f t="shared" si="99"/>
        <v>0</v>
      </c>
      <c r="T180" s="567">
        <f t="shared" si="99"/>
        <v>0</v>
      </c>
      <c r="U180" s="567">
        <f t="shared" si="99"/>
        <v>0</v>
      </c>
      <c r="V180" s="567">
        <f t="shared" si="99"/>
        <v>0</v>
      </c>
      <c r="W180" s="567">
        <f t="shared" si="99"/>
        <v>0</v>
      </c>
      <c r="X180" s="567">
        <f t="shared" si="99"/>
        <v>0</v>
      </c>
      <c r="Y180" s="567">
        <f t="shared" si="99"/>
        <v>0</v>
      </c>
      <c r="Z180" s="567">
        <f t="shared" si="99"/>
        <v>0</v>
      </c>
      <c r="AA180" s="567">
        <f t="shared" si="99"/>
        <v>0</v>
      </c>
      <c r="AB180" s="567">
        <f t="shared" si="99"/>
        <v>0</v>
      </c>
      <c r="AC180" s="567">
        <f t="shared" si="92"/>
        <v>0</v>
      </c>
      <c r="AD180" s="567">
        <f t="shared" si="92"/>
        <v>0</v>
      </c>
      <c r="AE180" s="567">
        <f t="shared" si="92"/>
        <v>0</v>
      </c>
      <c r="AF180" s="567">
        <f t="shared" si="99"/>
        <v>0</v>
      </c>
      <c r="AG180" s="567">
        <f t="shared" si="99"/>
        <v>0</v>
      </c>
      <c r="AH180" s="567">
        <f t="shared" si="99"/>
        <v>0</v>
      </c>
      <c r="AI180" s="567">
        <f t="shared" si="93"/>
        <v>6843089.2800000012</v>
      </c>
      <c r="AJ180" s="567">
        <f t="shared" si="94"/>
        <v>0</v>
      </c>
      <c r="AK180" s="569">
        <f t="shared" si="88"/>
        <v>6843089.2800000012</v>
      </c>
      <c r="AM180" s="101">
        <f>'9a. Summary Schedules'!C180</f>
        <v>6843089.2800000012</v>
      </c>
      <c r="AN180" s="101">
        <f t="shared" si="95"/>
        <v>0</v>
      </c>
    </row>
    <row r="181" spans="1:40" ht="14.5" x14ac:dyDescent="0.45">
      <c r="A181" s="157" t="s">
        <v>960</v>
      </c>
      <c r="B181" s="35"/>
      <c r="C181" s="35"/>
      <c r="D181" s="576">
        <f t="shared" si="89"/>
        <v>0</v>
      </c>
      <c r="E181" s="576">
        <f t="shared" si="89"/>
        <v>0</v>
      </c>
      <c r="F181" s="650"/>
      <c r="G181" s="650"/>
      <c r="H181" s="650"/>
      <c r="I181" s="576">
        <f t="shared" ref="I181:AH181" si="100">I134</f>
        <v>0</v>
      </c>
      <c r="J181" s="576">
        <f t="shared" si="100"/>
        <v>0</v>
      </c>
      <c r="K181" s="576">
        <f t="shared" si="91"/>
        <v>0</v>
      </c>
      <c r="L181" s="576">
        <f t="shared" si="100"/>
        <v>0</v>
      </c>
      <c r="M181" s="576">
        <f t="shared" si="100"/>
        <v>0</v>
      </c>
      <c r="N181" s="576">
        <f t="shared" si="100"/>
        <v>0</v>
      </c>
      <c r="O181" s="576">
        <f t="shared" si="100"/>
        <v>0</v>
      </c>
      <c r="P181" s="576">
        <f t="shared" si="100"/>
        <v>0</v>
      </c>
      <c r="Q181" s="576">
        <f t="shared" si="100"/>
        <v>0</v>
      </c>
      <c r="R181" s="576">
        <f t="shared" si="100"/>
        <v>0</v>
      </c>
      <c r="S181" s="576">
        <f t="shared" si="100"/>
        <v>0</v>
      </c>
      <c r="T181" s="576">
        <f t="shared" si="100"/>
        <v>0</v>
      </c>
      <c r="U181" s="576">
        <f t="shared" si="100"/>
        <v>0</v>
      </c>
      <c r="V181" s="576">
        <f t="shared" si="100"/>
        <v>0</v>
      </c>
      <c r="W181" s="576">
        <f t="shared" si="100"/>
        <v>0</v>
      </c>
      <c r="X181" s="576">
        <f t="shared" si="100"/>
        <v>0</v>
      </c>
      <c r="Y181" s="576">
        <f t="shared" si="100"/>
        <v>0</v>
      </c>
      <c r="Z181" s="576">
        <f t="shared" si="100"/>
        <v>0</v>
      </c>
      <c r="AA181" s="576">
        <f t="shared" si="100"/>
        <v>0</v>
      </c>
      <c r="AB181" s="576">
        <f t="shared" si="100"/>
        <v>0</v>
      </c>
      <c r="AC181" s="576">
        <f t="shared" si="92"/>
        <v>0</v>
      </c>
      <c r="AD181" s="576">
        <f t="shared" si="92"/>
        <v>0</v>
      </c>
      <c r="AE181" s="576">
        <f t="shared" si="92"/>
        <v>0</v>
      </c>
      <c r="AF181" s="576">
        <f t="shared" si="100"/>
        <v>0</v>
      </c>
      <c r="AG181" s="576">
        <f t="shared" si="100"/>
        <v>0</v>
      </c>
      <c r="AH181" s="576">
        <f t="shared" si="100"/>
        <v>0</v>
      </c>
      <c r="AI181" s="576">
        <f t="shared" si="93"/>
        <v>0</v>
      </c>
      <c r="AJ181" s="576">
        <f t="shared" si="94"/>
        <v>0</v>
      </c>
      <c r="AK181" s="579">
        <f t="shared" si="88"/>
        <v>0</v>
      </c>
      <c r="AM181" s="101">
        <f>'9a. Summary Schedules'!C181</f>
        <v>0</v>
      </c>
      <c r="AN181" s="101">
        <f t="shared" si="95"/>
        <v>0</v>
      </c>
    </row>
    <row r="182" spans="1:40" x14ac:dyDescent="0.3">
      <c r="A182" s="157" t="s">
        <v>1020</v>
      </c>
      <c r="B182" s="35"/>
      <c r="C182" s="35"/>
      <c r="D182" s="567">
        <f t="shared" ref="D182:AH182" si="101">SUM(D176:D181)</f>
        <v>343178137.41394258</v>
      </c>
      <c r="E182" s="567">
        <f t="shared" si="101"/>
        <v>221350779.96874681</v>
      </c>
      <c r="F182" s="649"/>
      <c r="G182" s="649"/>
      <c r="H182" s="649"/>
      <c r="I182" s="567">
        <f t="shared" si="101"/>
        <v>95086114.385195702</v>
      </c>
      <c r="J182" s="567">
        <f t="shared" si="101"/>
        <v>0</v>
      </c>
      <c r="K182" s="567">
        <f t="shared" si="101"/>
        <v>26741243.059999999</v>
      </c>
      <c r="L182" s="567">
        <f t="shared" si="101"/>
        <v>0</v>
      </c>
      <c r="M182" s="567">
        <f t="shared" si="101"/>
        <v>143618013.31458995</v>
      </c>
      <c r="N182" s="567">
        <f t="shared" si="101"/>
        <v>35587994.271100037</v>
      </c>
      <c r="O182" s="567">
        <f t="shared" si="101"/>
        <v>43903474.412209123</v>
      </c>
      <c r="P182" s="567">
        <f t="shared" si="101"/>
        <v>12079646.767523915</v>
      </c>
      <c r="Q182" s="567">
        <f t="shared" si="101"/>
        <v>2035082.6040734982</v>
      </c>
      <c r="R182" s="567">
        <f t="shared" si="101"/>
        <v>31109703.329897545</v>
      </c>
      <c r="S182" s="567">
        <f t="shared" si="101"/>
        <v>8273389.6059218775</v>
      </c>
      <c r="T182" s="567">
        <f t="shared" si="101"/>
        <v>2224646.5519959982</v>
      </c>
      <c r="U182" s="567">
        <f t="shared" si="101"/>
        <v>77186.851341631787</v>
      </c>
      <c r="V182" s="567">
        <f t="shared" si="101"/>
        <v>6702932.1810656358</v>
      </c>
      <c r="W182" s="567">
        <f t="shared" si="101"/>
        <v>1623956.7394606851</v>
      </c>
      <c r="X182" s="567">
        <f t="shared" si="101"/>
        <v>23753018.60776642</v>
      </c>
      <c r="Y182" s="567">
        <f t="shared" si="101"/>
        <v>13012760.867366849</v>
      </c>
      <c r="Z182" s="567">
        <f t="shared" si="101"/>
        <v>10740257.740399567</v>
      </c>
      <c r="AA182" s="567">
        <f t="shared" si="101"/>
        <v>6889148.4272033079</v>
      </c>
      <c r="AB182" s="567">
        <f t="shared" si="101"/>
        <v>21971024.746945158</v>
      </c>
      <c r="AC182" s="567">
        <f>SUM(AC176:AC181)</f>
        <v>21630013.776808269</v>
      </c>
      <c r="AD182" s="567">
        <f>SUM(AD176:AD181)</f>
        <v>341010.97013688786</v>
      </c>
      <c r="AE182" s="567">
        <f>SUM(AE176:AE181)</f>
        <v>0</v>
      </c>
      <c r="AF182" s="567">
        <f t="shared" si="101"/>
        <v>15123004.91493478</v>
      </c>
      <c r="AG182" s="567">
        <f t="shared" si="101"/>
        <v>15123004.91493478</v>
      </c>
      <c r="AH182" s="567">
        <f t="shared" si="101"/>
        <v>102659.51295881959</v>
      </c>
      <c r="AI182" s="567">
        <f t="shared" si="93"/>
        <v>554635006.93834078</v>
      </c>
      <c r="AJ182" s="567">
        <f>SUM(AJ176:AJ181)</f>
        <v>43831781.24217549</v>
      </c>
      <c r="AK182" s="569">
        <f t="shared" si="88"/>
        <v>598466788.18051624</v>
      </c>
      <c r="AM182" s="101">
        <f>'9a. Summary Schedules'!C182</f>
        <v>1277362440.640516</v>
      </c>
      <c r="AN182" s="101">
        <f t="shared" si="95"/>
        <v>-678895652.4599998</v>
      </c>
    </row>
    <row r="183" spans="1:40" x14ac:dyDescent="0.3">
      <c r="A183" s="157"/>
      <c r="B183" s="35"/>
      <c r="C183" s="35"/>
      <c r="D183" s="567"/>
      <c r="E183" s="567"/>
      <c r="F183" s="649"/>
      <c r="G183" s="649"/>
      <c r="H183" s="649"/>
      <c r="I183" s="567"/>
      <c r="J183" s="567"/>
      <c r="K183" s="567"/>
      <c r="L183" s="567"/>
      <c r="M183" s="567"/>
      <c r="N183" s="567"/>
      <c r="O183" s="567"/>
      <c r="P183" s="567"/>
      <c r="Q183" s="567"/>
      <c r="R183" s="567"/>
      <c r="S183" s="567"/>
      <c r="T183" s="567"/>
      <c r="U183" s="567"/>
      <c r="V183" s="567"/>
      <c r="W183" s="567"/>
      <c r="X183" s="567"/>
      <c r="Y183" s="567"/>
      <c r="Z183" s="567"/>
      <c r="AA183" s="567"/>
      <c r="AB183" s="567"/>
      <c r="AC183" s="567"/>
      <c r="AD183" s="567"/>
      <c r="AE183" s="567"/>
      <c r="AF183" s="567"/>
      <c r="AG183" s="567"/>
      <c r="AH183" s="567"/>
      <c r="AI183" s="567"/>
      <c r="AJ183" s="567"/>
      <c r="AK183" s="569"/>
    </row>
    <row r="184" spans="1:40" x14ac:dyDescent="0.3">
      <c r="A184" s="157" t="s">
        <v>1019</v>
      </c>
      <c r="B184" s="35"/>
      <c r="C184" s="35"/>
      <c r="D184" s="567">
        <f>D174+D182</f>
        <v>660220559.67346263</v>
      </c>
      <c r="E184" s="567">
        <f>E174+E182</f>
        <v>221350779.96874681</v>
      </c>
      <c r="F184" s="649"/>
      <c r="G184" s="649"/>
      <c r="H184" s="649"/>
      <c r="I184" s="567">
        <f t="shared" ref="I184:AH184" si="102">I174+I182</f>
        <v>95086114.385195702</v>
      </c>
      <c r="J184" s="567">
        <f t="shared" si="102"/>
        <v>317042422.25951999</v>
      </c>
      <c r="K184" s="567">
        <f>K174+K182</f>
        <v>26741243.059999999</v>
      </c>
      <c r="L184" s="567">
        <f t="shared" si="102"/>
        <v>0</v>
      </c>
      <c r="M184" s="567">
        <f t="shared" si="102"/>
        <v>143618013.31458995</v>
      </c>
      <c r="N184" s="567">
        <f t="shared" si="102"/>
        <v>35587994.271100037</v>
      </c>
      <c r="O184" s="567">
        <f t="shared" si="102"/>
        <v>43903474.412209123</v>
      </c>
      <c r="P184" s="567">
        <f t="shared" si="102"/>
        <v>12079646.767523915</v>
      </c>
      <c r="Q184" s="567">
        <f t="shared" si="102"/>
        <v>2035082.6040734982</v>
      </c>
      <c r="R184" s="567">
        <f t="shared" si="102"/>
        <v>31109703.329897545</v>
      </c>
      <c r="S184" s="567">
        <f t="shared" si="102"/>
        <v>8273389.6059218775</v>
      </c>
      <c r="T184" s="567">
        <f t="shared" si="102"/>
        <v>2224646.5519959982</v>
      </c>
      <c r="U184" s="567">
        <f t="shared" si="102"/>
        <v>77186.851341631787</v>
      </c>
      <c r="V184" s="567">
        <f t="shared" si="102"/>
        <v>6702932.1810656358</v>
      </c>
      <c r="W184" s="567">
        <f t="shared" si="102"/>
        <v>1623956.7394606851</v>
      </c>
      <c r="X184" s="567">
        <f t="shared" si="102"/>
        <v>23753018.60776642</v>
      </c>
      <c r="Y184" s="567">
        <f t="shared" si="102"/>
        <v>13012760.867366849</v>
      </c>
      <c r="Z184" s="567">
        <f t="shared" si="102"/>
        <v>10740257.740399567</v>
      </c>
      <c r="AA184" s="567">
        <f t="shared" si="102"/>
        <v>6889148.4272033079</v>
      </c>
      <c r="AB184" s="567">
        <f t="shared" si="102"/>
        <v>21971024.746945158</v>
      </c>
      <c r="AC184" s="567">
        <f>AC174+AC182</f>
        <v>21630013.776808269</v>
      </c>
      <c r="AD184" s="567">
        <f>AD174+AD182</f>
        <v>341010.97013688786</v>
      </c>
      <c r="AE184" s="567">
        <f>AE174+AE182</f>
        <v>0</v>
      </c>
      <c r="AF184" s="567">
        <f t="shared" si="102"/>
        <v>15123004.91493478</v>
      </c>
      <c r="AG184" s="567">
        <f t="shared" si="102"/>
        <v>15123004.91493478</v>
      </c>
      <c r="AH184" s="567">
        <f t="shared" si="102"/>
        <v>102659.51295881959</v>
      </c>
      <c r="AI184" s="567">
        <f t="shared" ref="AI184" si="103">SUM(E184,I184:K184,L184,N184:W184,Y184:Z184,AA184:AA184,AC184:AE184,AG184:AG184,AH184)</f>
        <v>871677429.19786072</v>
      </c>
      <c r="AJ184" s="567">
        <f>AJ174+AJ182</f>
        <v>97116830.202175498</v>
      </c>
      <c r="AK184" s="569">
        <f t="shared" si="88"/>
        <v>968794259.40003622</v>
      </c>
      <c r="AM184" s="101">
        <f>'9a. Summary Schedules'!C184</f>
        <v>1647689911.8600359</v>
      </c>
      <c r="AN184" s="101">
        <f>AK184-AM184</f>
        <v>-678895652.45999968</v>
      </c>
    </row>
    <row r="185" spans="1:40" s="16" customFormat="1" ht="14.5" x14ac:dyDescent="0.45">
      <c r="A185" s="153" t="s">
        <v>958</v>
      </c>
      <c r="B185" s="53"/>
      <c r="C185" s="53"/>
      <c r="D185" s="576">
        <v>0</v>
      </c>
      <c r="E185" s="576">
        <v>0</v>
      </c>
      <c r="F185" s="650"/>
      <c r="G185" s="650"/>
      <c r="H185" s="650"/>
      <c r="I185" s="576">
        <v>0</v>
      </c>
      <c r="J185" s="576">
        <v>0</v>
      </c>
      <c r="K185" s="576">
        <v>0</v>
      </c>
      <c r="L185" s="576">
        <v>0</v>
      </c>
      <c r="M185" s="576">
        <v>0</v>
      </c>
      <c r="N185" s="576">
        <v>0</v>
      </c>
      <c r="O185" s="576">
        <v>0</v>
      </c>
      <c r="P185" s="576">
        <v>0</v>
      </c>
      <c r="Q185" s="576">
        <v>0</v>
      </c>
      <c r="R185" s="576">
        <v>0</v>
      </c>
      <c r="S185" s="576">
        <v>0</v>
      </c>
      <c r="T185" s="576">
        <v>0</v>
      </c>
      <c r="U185" s="576">
        <v>0</v>
      </c>
      <c r="V185" s="576">
        <v>0</v>
      </c>
      <c r="W185" s="576">
        <v>0</v>
      </c>
      <c r="X185" s="576">
        <v>0</v>
      </c>
      <c r="Y185" s="576">
        <v>0</v>
      </c>
      <c r="Z185" s="576">
        <v>0</v>
      </c>
      <c r="AA185" s="576">
        <v>0</v>
      </c>
      <c r="AB185" s="576">
        <v>0</v>
      </c>
      <c r="AC185" s="576">
        <v>0</v>
      </c>
      <c r="AD185" s="576">
        <v>0</v>
      </c>
      <c r="AE185" s="576">
        <v>0</v>
      </c>
      <c r="AF185" s="576">
        <v>0</v>
      </c>
      <c r="AG185" s="576">
        <v>0</v>
      </c>
      <c r="AH185" s="576">
        <v>0</v>
      </c>
      <c r="AI185" s="576">
        <f t="shared" ref="AI185" si="104">SUM(F185:K185,L185,N185:W185,Y185:Z185,AA185:AA185,AC185:AE185,AG185:AG185,AH185)</f>
        <v>0</v>
      </c>
      <c r="AJ185" s="576">
        <v>0</v>
      </c>
      <c r="AK185" s="579">
        <f t="shared" si="88"/>
        <v>0</v>
      </c>
      <c r="AM185" s="100">
        <f>'9a. Summary Schedules'!C185</f>
        <v>0</v>
      </c>
      <c r="AN185" s="100">
        <f>AK185-AM185</f>
        <v>0</v>
      </c>
    </row>
    <row r="186" spans="1:40" x14ac:dyDescent="0.3">
      <c r="A186" s="157" t="s">
        <v>1021</v>
      </c>
      <c r="B186" s="35"/>
      <c r="C186" s="35"/>
      <c r="D186" s="567">
        <f t="shared" ref="D186:AH186" si="105">D184+D185</f>
        <v>660220559.67346263</v>
      </c>
      <c r="E186" s="567">
        <f t="shared" si="105"/>
        <v>221350779.96874681</v>
      </c>
      <c r="F186" s="649"/>
      <c r="G186" s="649"/>
      <c r="H186" s="649"/>
      <c r="I186" s="567">
        <f t="shared" si="105"/>
        <v>95086114.385195702</v>
      </c>
      <c r="J186" s="567">
        <f t="shared" si="105"/>
        <v>317042422.25951999</v>
      </c>
      <c r="K186" s="567">
        <f t="shared" si="105"/>
        <v>26741243.059999999</v>
      </c>
      <c r="L186" s="567">
        <f t="shared" si="105"/>
        <v>0</v>
      </c>
      <c r="M186" s="567">
        <f t="shared" si="105"/>
        <v>143618013.31458995</v>
      </c>
      <c r="N186" s="567">
        <f t="shared" si="105"/>
        <v>35587994.271100037</v>
      </c>
      <c r="O186" s="567">
        <f t="shared" si="105"/>
        <v>43903474.412209123</v>
      </c>
      <c r="P186" s="567">
        <f t="shared" si="105"/>
        <v>12079646.767523915</v>
      </c>
      <c r="Q186" s="567">
        <f t="shared" si="105"/>
        <v>2035082.6040734982</v>
      </c>
      <c r="R186" s="567">
        <f t="shared" si="105"/>
        <v>31109703.329897545</v>
      </c>
      <c r="S186" s="567">
        <f t="shared" si="105"/>
        <v>8273389.6059218775</v>
      </c>
      <c r="T186" s="567">
        <f t="shared" si="105"/>
        <v>2224646.5519959982</v>
      </c>
      <c r="U186" s="567">
        <f t="shared" si="105"/>
        <v>77186.851341631787</v>
      </c>
      <c r="V186" s="567">
        <f t="shared" si="105"/>
        <v>6702932.1810656358</v>
      </c>
      <c r="W186" s="567">
        <f t="shared" si="105"/>
        <v>1623956.7394606851</v>
      </c>
      <c r="X186" s="567">
        <f t="shared" si="105"/>
        <v>23753018.60776642</v>
      </c>
      <c r="Y186" s="567">
        <f t="shared" si="105"/>
        <v>13012760.867366849</v>
      </c>
      <c r="Z186" s="567">
        <f t="shared" si="105"/>
        <v>10740257.740399567</v>
      </c>
      <c r="AA186" s="567">
        <f t="shared" si="105"/>
        <v>6889148.4272033079</v>
      </c>
      <c r="AB186" s="567">
        <f t="shared" si="105"/>
        <v>21971024.746945158</v>
      </c>
      <c r="AC186" s="567">
        <f>AC184+AC185</f>
        <v>21630013.776808269</v>
      </c>
      <c r="AD186" s="567">
        <f>AD184+AD185</f>
        <v>341010.97013688786</v>
      </c>
      <c r="AE186" s="567">
        <f>AE184+AE185</f>
        <v>0</v>
      </c>
      <c r="AF186" s="567">
        <f t="shared" si="105"/>
        <v>15123004.91493478</v>
      </c>
      <c r="AG186" s="567">
        <f t="shared" si="105"/>
        <v>15123004.91493478</v>
      </c>
      <c r="AH186" s="567">
        <f t="shared" si="105"/>
        <v>102659.51295881959</v>
      </c>
      <c r="AI186" s="567">
        <f t="shared" ref="AI186" si="106">SUM(E186,I186:K186,L186,N186:W186,Y186:Z186,AA186:AA186,AC186:AE186,AG186:AG186,AH186)</f>
        <v>871677429.19786072</v>
      </c>
      <c r="AJ186" s="567">
        <f>AJ184+AJ185</f>
        <v>97116830.202175498</v>
      </c>
      <c r="AK186" s="569">
        <f t="shared" si="88"/>
        <v>968794259.40003622</v>
      </c>
      <c r="AM186" s="101">
        <f>'9a. Summary Schedules'!C186</f>
        <v>1647689911.8600359</v>
      </c>
      <c r="AN186" s="101">
        <f>AK186-AM186</f>
        <v>-678895652.45999968</v>
      </c>
    </row>
    <row r="187" spans="1:40" x14ac:dyDescent="0.3">
      <c r="A187" s="157"/>
      <c r="B187" s="35"/>
      <c r="C187" s="35"/>
      <c r="D187" s="567"/>
      <c r="E187" s="567"/>
      <c r="F187" s="649"/>
      <c r="G187" s="649"/>
      <c r="H187" s="649"/>
      <c r="I187" s="567"/>
      <c r="J187" s="567"/>
      <c r="K187" s="567"/>
      <c r="L187" s="567"/>
      <c r="M187" s="567"/>
      <c r="N187" s="567"/>
      <c r="O187" s="567"/>
      <c r="P187" s="567"/>
      <c r="Q187" s="567"/>
      <c r="R187" s="567"/>
      <c r="S187" s="567"/>
      <c r="T187" s="567"/>
      <c r="U187" s="567"/>
      <c r="V187" s="567"/>
      <c r="W187" s="567"/>
      <c r="X187" s="567"/>
      <c r="Y187" s="567"/>
      <c r="Z187" s="567"/>
      <c r="AA187" s="567"/>
      <c r="AB187" s="567"/>
      <c r="AC187" s="567"/>
      <c r="AD187" s="567"/>
      <c r="AE187" s="567"/>
      <c r="AF187" s="567"/>
      <c r="AG187" s="567"/>
      <c r="AH187" s="567"/>
      <c r="AI187" s="567"/>
      <c r="AJ187" s="567"/>
      <c r="AK187" s="569"/>
    </row>
    <row r="188" spans="1:40" x14ac:dyDescent="0.3">
      <c r="A188" s="157" t="s">
        <v>1022</v>
      </c>
      <c r="B188" s="35"/>
      <c r="C188" s="35"/>
      <c r="D188" s="567">
        <f>D141</f>
        <v>194662355.63</v>
      </c>
      <c r="E188" s="567">
        <f>E141</f>
        <v>188277390.89865169</v>
      </c>
      <c r="F188" s="649"/>
      <c r="G188" s="649"/>
      <c r="H188" s="649"/>
      <c r="I188" s="567">
        <f t="shared" ref="I188:AH188" si="107">I141</f>
        <v>6384964.7313483134</v>
      </c>
      <c r="J188" s="567">
        <f t="shared" si="107"/>
        <v>0</v>
      </c>
      <c r="K188" s="567">
        <f>K141</f>
        <v>0</v>
      </c>
      <c r="L188" s="567">
        <f t="shared" si="107"/>
        <v>0</v>
      </c>
      <c r="M188" s="567">
        <f t="shared" si="107"/>
        <v>131670414.92717849</v>
      </c>
      <c r="N188" s="567">
        <f t="shared" si="107"/>
        <v>22423783.062046431</v>
      </c>
      <c r="O188" s="567">
        <f t="shared" si="107"/>
        <v>37350409.854147315</v>
      </c>
      <c r="P188" s="567">
        <f t="shared" si="107"/>
        <v>9991424.7403450608</v>
      </c>
      <c r="Q188" s="567">
        <f t="shared" si="107"/>
        <v>10392936.14867891</v>
      </c>
      <c r="R188" s="567">
        <f t="shared" si="107"/>
        <v>20816970.366229925</v>
      </c>
      <c r="S188" s="567">
        <f t="shared" si="107"/>
        <v>5156383.189330101</v>
      </c>
      <c r="T188" s="567">
        <f t="shared" si="107"/>
        <v>11361017.740505479</v>
      </c>
      <c r="U188" s="567">
        <f t="shared" si="107"/>
        <v>7598813.9970407877</v>
      </c>
      <c r="V188" s="567">
        <f t="shared" si="107"/>
        <v>6547797.7392697642</v>
      </c>
      <c r="W188" s="567">
        <f t="shared" si="107"/>
        <v>30878.089584732337</v>
      </c>
      <c r="X188" s="567">
        <f t="shared" si="107"/>
        <v>9523874.5472310148</v>
      </c>
      <c r="Y188" s="567">
        <f t="shared" si="107"/>
        <v>8795932.2154557519</v>
      </c>
      <c r="Z188" s="567">
        <f t="shared" si="107"/>
        <v>727942.33177526272</v>
      </c>
      <c r="AA188" s="567">
        <f t="shared" si="107"/>
        <v>555779.08889031655</v>
      </c>
      <c r="AB188" s="567">
        <f t="shared" si="107"/>
        <v>2606336.511108852</v>
      </c>
      <c r="AC188" s="567">
        <f t="shared" ref="AC188:AE189" si="108">AC141</f>
        <v>2375147.2773248046</v>
      </c>
      <c r="AD188" s="567">
        <f t="shared" si="108"/>
        <v>231189.2337840471</v>
      </c>
      <c r="AE188" s="567">
        <f t="shared" si="108"/>
        <v>0</v>
      </c>
      <c r="AF188" s="567">
        <f t="shared" si="107"/>
        <v>518421.72659935633</v>
      </c>
      <c r="AG188" s="567">
        <f t="shared" si="107"/>
        <v>518421.72659935639</v>
      </c>
      <c r="AH188" s="567">
        <f t="shared" si="107"/>
        <v>-2016210.0210080447</v>
      </c>
      <c r="AI188" s="567">
        <f t="shared" ref="AI188:AI190" si="109">SUM(E188,I188:K188,L188,N188:W188,Y188:Z188,AA188:AA188,AC188:AE188,AG188:AG188,AH188)</f>
        <v>337520972.40999997</v>
      </c>
      <c r="AJ188" s="567">
        <f>AJ141</f>
        <v>19514685.52</v>
      </c>
      <c r="AK188" s="569">
        <f t="shared" si="88"/>
        <v>357035657.92999995</v>
      </c>
      <c r="AM188" s="101">
        <f>'9a. Summary Schedules'!C188</f>
        <v>357035657.92999995</v>
      </c>
      <c r="AN188" s="101">
        <f>AK188-AM188</f>
        <v>0</v>
      </c>
    </row>
    <row r="189" spans="1:40" ht="14.5" x14ac:dyDescent="0.45">
      <c r="A189" s="157" t="s">
        <v>1023</v>
      </c>
      <c r="B189" s="35"/>
      <c r="C189" s="35"/>
      <c r="D189" s="576">
        <f>D142</f>
        <v>2943425.540000001</v>
      </c>
      <c r="E189" s="576">
        <f>E142</f>
        <v>2846880.585525231</v>
      </c>
      <c r="F189" s="650"/>
      <c r="G189" s="650"/>
      <c r="H189" s="650"/>
      <c r="I189" s="576">
        <f t="shared" ref="I189:AH189" si="110">I142</f>
        <v>96544.954474770158</v>
      </c>
      <c r="J189" s="576">
        <f t="shared" si="110"/>
        <v>0</v>
      </c>
      <c r="K189" s="576">
        <f>K142</f>
        <v>0</v>
      </c>
      <c r="L189" s="576">
        <f t="shared" si="110"/>
        <v>0</v>
      </c>
      <c r="M189" s="576">
        <f t="shared" si="110"/>
        <v>1479805.2817564094</v>
      </c>
      <c r="N189" s="576">
        <f t="shared" si="110"/>
        <v>252014.33921605154</v>
      </c>
      <c r="O189" s="576">
        <f t="shared" si="110"/>
        <v>419770.33191930124</v>
      </c>
      <c r="P189" s="576">
        <f t="shared" si="110"/>
        <v>112290.70031571985</v>
      </c>
      <c r="Q189" s="576">
        <f t="shared" si="110"/>
        <v>116803.16959795372</v>
      </c>
      <c r="R189" s="576">
        <f t="shared" si="110"/>
        <v>233955.84129624499</v>
      </c>
      <c r="S189" s="576">
        <f t="shared" si="110"/>
        <v>57951.082500580931</v>
      </c>
      <c r="T189" s="576">
        <f t="shared" si="110"/>
        <v>127683.15545923021</v>
      </c>
      <c r="U189" s="576">
        <f t="shared" si="110"/>
        <v>85400.847974273565</v>
      </c>
      <c r="V189" s="576">
        <f t="shared" si="110"/>
        <v>73588.783659586115</v>
      </c>
      <c r="W189" s="576">
        <f t="shared" si="110"/>
        <v>347.02981746739175</v>
      </c>
      <c r="X189" s="576">
        <f t="shared" si="110"/>
        <v>107036.04044668967</v>
      </c>
      <c r="Y189" s="576">
        <f t="shared" si="110"/>
        <v>98854.909492018705</v>
      </c>
      <c r="Z189" s="576">
        <f t="shared" si="110"/>
        <v>8181.130954670969</v>
      </c>
      <c r="AA189" s="576">
        <f t="shared" si="110"/>
        <v>6246.2386230385628</v>
      </c>
      <c r="AB189" s="576">
        <f t="shared" si="110"/>
        <v>29291.853734238852</v>
      </c>
      <c r="AC189" s="576">
        <f t="shared" si="108"/>
        <v>26693.585555103389</v>
      </c>
      <c r="AD189" s="576">
        <f t="shared" si="108"/>
        <v>2598.268179135458</v>
      </c>
      <c r="AE189" s="576">
        <f t="shared" si="108"/>
        <v>0</v>
      </c>
      <c r="AF189" s="576">
        <f t="shared" si="110"/>
        <v>5826.3901547154037</v>
      </c>
      <c r="AG189" s="576">
        <f t="shared" si="110"/>
        <v>5826.3901547154037</v>
      </c>
      <c r="AH189" s="576">
        <f t="shared" si="110"/>
        <v>-22659.594715092317</v>
      </c>
      <c r="AI189" s="576">
        <f t="shared" si="109"/>
        <v>4548971.75</v>
      </c>
      <c r="AJ189" s="576">
        <f>AJ142</f>
        <v>252030.61</v>
      </c>
      <c r="AK189" s="579">
        <f t="shared" si="88"/>
        <v>4801002.3600000003</v>
      </c>
      <c r="AM189" s="101">
        <f>'9a. Summary Schedules'!C189</f>
        <v>4801002.3600000003</v>
      </c>
      <c r="AN189" s="101">
        <f>AK189-AM189</f>
        <v>0</v>
      </c>
    </row>
    <row r="190" spans="1:40" x14ac:dyDescent="0.3">
      <c r="A190" s="157" t="s">
        <v>1024</v>
      </c>
      <c r="B190" s="35"/>
      <c r="C190" s="35"/>
      <c r="D190" s="567">
        <f t="shared" ref="D190:AH190" si="111">SUM(D188:D189)</f>
        <v>197605781.16999999</v>
      </c>
      <c r="E190" s="567">
        <f t="shared" si="111"/>
        <v>191124271.48417693</v>
      </c>
      <c r="F190" s="649"/>
      <c r="G190" s="649"/>
      <c r="H190" s="649"/>
      <c r="I190" s="567">
        <f t="shared" si="111"/>
        <v>6481509.6858230839</v>
      </c>
      <c r="J190" s="567">
        <f t="shared" si="111"/>
        <v>0</v>
      </c>
      <c r="K190" s="567">
        <f t="shared" si="111"/>
        <v>0</v>
      </c>
      <c r="L190" s="567">
        <f t="shared" si="111"/>
        <v>0</v>
      </c>
      <c r="M190" s="567">
        <f t="shared" si="111"/>
        <v>133150220.2089349</v>
      </c>
      <c r="N190" s="567">
        <f t="shared" si="111"/>
        <v>22675797.401262481</v>
      </c>
      <c r="O190" s="567">
        <f t="shared" si="111"/>
        <v>37770180.186066613</v>
      </c>
      <c r="P190" s="567">
        <f t="shared" si="111"/>
        <v>10103715.44066078</v>
      </c>
      <c r="Q190" s="567">
        <f t="shared" si="111"/>
        <v>10509739.318276864</v>
      </c>
      <c r="R190" s="567">
        <f t="shared" si="111"/>
        <v>21050926.20752617</v>
      </c>
      <c r="S190" s="567">
        <f t="shared" si="111"/>
        <v>5214334.2718306817</v>
      </c>
      <c r="T190" s="567">
        <f t="shared" si="111"/>
        <v>11488700.89596471</v>
      </c>
      <c r="U190" s="567">
        <f t="shared" si="111"/>
        <v>7684214.8450150611</v>
      </c>
      <c r="V190" s="567">
        <f t="shared" si="111"/>
        <v>6621386.5229293499</v>
      </c>
      <c r="W190" s="567">
        <f t="shared" si="111"/>
        <v>31225.119402199729</v>
      </c>
      <c r="X190" s="567">
        <f t="shared" si="111"/>
        <v>9630910.5876777042</v>
      </c>
      <c r="Y190" s="567">
        <f t="shared" si="111"/>
        <v>8894787.1249477714</v>
      </c>
      <c r="Z190" s="567">
        <f t="shared" si="111"/>
        <v>736123.46272993367</v>
      </c>
      <c r="AA190" s="567">
        <f t="shared" si="111"/>
        <v>562025.32751335506</v>
      </c>
      <c r="AB190" s="567">
        <f t="shared" si="111"/>
        <v>2635628.364843091</v>
      </c>
      <c r="AC190" s="567">
        <f>SUM(AC188:AC189)</f>
        <v>2401840.8628799082</v>
      </c>
      <c r="AD190" s="567">
        <f>SUM(AD188:AD189)</f>
        <v>233787.50196318256</v>
      </c>
      <c r="AE190" s="567">
        <f>SUM(AE188:AE189)</f>
        <v>0</v>
      </c>
      <c r="AF190" s="567">
        <f t="shared" si="111"/>
        <v>524248.11675407173</v>
      </c>
      <c r="AG190" s="567">
        <f t="shared" si="111"/>
        <v>524248.11675407179</v>
      </c>
      <c r="AH190" s="567">
        <f t="shared" si="111"/>
        <v>-2038869.615723137</v>
      </c>
      <c r="AI190" s="567">
        <f t="shared" si="109"/>
        <v>342069944.15999997</v>
      </c>
      <c r="AJ190" s="567">
        <f>SUM(AJ188:AJ189)</f>
        <v>19766716.129999999</v>
      </c>
      <c r="AK190" s="569">
        <f t="shared" si="88"/>
        <v>361836660.28999996</v>
      </c>
      <c r="AM190" s="101">
        <f>'9a. Summary Schedules'!C190</f>
        <v>361836660.28999996</v>
      </c>
      <c r="AN190" s="101">
        <f>AK190-AM190</f>
        <v>0</v>
      </c>
    </row>
    <row r="191" spans="1:40" x14ac:dyDescent="0.3">
      <c r="A191" s="157"/>
      <c r="B191" s="35"/>
      <c r="C191" s="35"/>
      <c r="D191" s="567"/>
      <c r="E191" s="567"/>
      <c r="F191" s="649"/>
      <c r="G191" s="649"/>
      <c r="H191" s="649"/>
      <c r="I191" s="567"/>
      <c r="J191" s="567"/>
      <c r="K191" s="567"/>
      <c r="L191" s="567"/>
      <c r="M191" s="567"/>
      <c r="N191" s="567"/>
      <c r="O191" s="567"/>
      <c r="P191" s="567"/>
      <c r="Q191" s="567"/>
      <c r="R191" s="567"/>
      <c r="S191" s="567"/>
      <c r="T191" s="567"/>
      <c r="U191" s="567"/>
      <c r="V191" s="567"/>
      <c r="W191" s="567"/>
      <c r="X191" s="567"/>
      <c r="Y191" s="567"/>
      <c r="Z191" s="567"/>
      <c r="AA191" s="567"/>
      <c r="AB191" s="567"/>
      <c r="AC191" s="567"/>
      <c r="AD191" s="567"/>
      <c r="AE191" s="567"/>
      <c r="AF191" s="567"/>
      <c r="AG191" s="567"/>
      <c r="AH191" s="567"/>
      <c r="AI191" s="567"/>
      <c r="AJ191" s="567"/>
      <c r="AK191" s="569"/>
    </row>
    <row r="192" spans="1:40" x14ac:dyDescent="0.3">
      <c r="A192" s="157" t="s">
        <v>1025</v>
      </c>
      <c r="B192" s="35"/>
      <c r="C192" s="35"/>
      <c r="D192" s="567">
        <v>0</v>
      </c>
      <c r="E192" s="567">
        <v>0</v>
      </c>
      <c r="F192" s="649"/>
      <c r="G192" s="649"/>
      <c r="H192" s="649"/>
      <c r="I192" s="567">
        <v>0</v>
      </c>
      <c r="J192" s="567">
        <v>0</v>
      </c>
      <c r="K192" s="567">
        <v>0</v>
      </c>
      <c r="L192" s="567">
        <v>0</v>
      </c>
      <c r="M192" s="567">
        <v>0</v>
      </c>
      <c r="N192" s="567">
        <v>0</v>
      </c>
      <c r="O192" s="567">
        <v>0</v>
      </c>
      <c r="P192" s="567">
        <v>0</v>
      </c>
      <c r="Q192" s="567">
        <v>0</v>
      </c>
      <c r="R192" s="567">
        <v>0</v>
      </c>
      <c r="S192" s="567">
        <v>0</v>
      </c>
      <c r="T192" s="567">
        <v>0</v>
      </c>
      <c r="U192" s="567">
        <v>0</v>
      </c>
      <c r="V192" s="567">
        <v>0</v>
      </c>
      <c r="W192" s="567">
        <v>0</v>
      </c>
      <c r="X192" s="567">
        <v>0</v>
      </c>
      <c r="Y192" s="567">
        <v>0</v>
      </c>
      <c r="Z192" s="567">
        <v>0</v>
      </c>
      <c r="AA192" s="567">
        <v>0</v>
      </c>
      <c r="AB192" s="567">
        <v>0</v>
      </c>
      <c r="AC192" s="567">
        <v>0</v>
      </c>
      <c r="AD192" s="567">
        <v>0</v>
      </c>
      <c r="AE192" s="567">
        <v>0</v>
      </c>
      <c r="AF192" s="567">
        <v>0</v>
      </c>
      <c r="AG192" s="567">
        <v>0</v>
      </c>
      <c r="AH192" s="567">
        <v>0</v>
      </c>
      <c r="AI192" s="573">
        <f t="shared" ref="AI192" si="112">SUM(E192,I192:K192,L192,N192:W192,Y192:Z192,AA192:AA192,AC192:AE192,AG192:AG192,AH192)</f>
        <v>0</v>
      </c>
      <c r="AJ192" s="567">
        <v>0</v>
      </c>
      <c r="AK192" s="569">
        <f t="shared" si="88"/>
        <v>0</v>
      </c>
      <c r="AM192" s="101">
        <f>'9a. Summary Schedules'!C192</f>
        <v>0</v>
      </c>
      <c r="AN192" s="101">
        <f>AK192-AM192</f>
        <v>0</v>
      </c>
    </row>
    <row r="193" spans="1:40" x14ac:dyDescent="0.3">
      <c r="A193" s="157"/>
      <c r="B193" s="35"/>
      <c r="C193" s="35"/>
      <c r="D193" s="567"/>
      <c r="E193" s="567"/>
      <c r="F193" s="649"/>
      <c r="G193" s="649"/>
      <c r="H193" s="649"/>
      <c r="I193" s="567"/>
      <c r="J193" s="567"/>
      <c r="K193" s="567"/>
      <c r="L193" s="567"/>
      <c r="M193" s="567"/>
      <c r="N193" s="567"/>
      <c r="O193" s="567"/>
      <c r="P193" s="567"/>
      <c r="Q193" s="567"/>
      <c r="R193" s="567"/>
      <c r="S193" s="567"/>
      <c r="T193" s="567"/>
      <c r="U193" s="567"/>
      <c r="V193" s="567"/>
      <c r="W193" s="567"/>
      <c r="X193" s="567"/>
      <c r="Y193" s="567"/>
      <c r="Z193" s="567"/>
      <c r="AA193" s="567"/>
      <c r="AB193" s="567"/>
      <c r="AC193" s="567"/>
      <c r="AD193" s="567"/>
      <c r="AE193" s="567"/>
      <c r="AF193" s="567"/>
      <c r="AG193" s="567"/>
      <c r="AH193" s="567"/>
      <c r="AI193" s="567"/>
      <c r="AJ193" s="567"/>
      <c r="AK193" s="569"/>
    </row>
    <row r="194" spans="1:40" x14ac:dyDescent="0.3">
      <c r="A194" s="157" t="s">
        <v>6</v>
      </c>
      <c r="B194" s="35"/>
      <c r="C194" s="35"/>
      <c r="D194" s="567">
        <f>D222</f>
        <v>75761083.444125861</v>
      </c>
      <c r="E194" s="567">
        <f>E222</f>
        <v>75067542.624538049</v>
      </c>
      <c r="F194" s="649"/>
      <c r="G194" s="649"/>
      <c r="H194" s="649"/>
      <c r="I194" s="567">
        <f t="shared" ref="I194:AH194" si="113">I222</f>
        <v>693540.81958781229</v>
      </c>
      <c r="J194" s="567">
        <f t="shared" si="113"/>
        <v>0</v>
      </c>
      <c r="K194" s="567">
        <f>K222</f>
        <v>0</v>
      </c>
      <c r="L194" s="567">
        <f t="shared" si="113"/>
        <v>0</v>
      </c>
      <c r="M194" s="567">
        <f t="shared" si="113"/>
        <v>29803449.630146042</v>
      </c>
      <c r="N194" s="567">
        <f t="shared" si="113"/>
        <v>5984806.5737322289</v>
      </c>
      <c r="O194" s="567">
        <f t="shared" si="113"/>
        <v>10039103.224148395</v>
      </c>
      <c r="P194" s="567">
        <f t="shared" si="113"/>
        <v>2697015.5263670655</v>
      </c>
      <c r="Q194" s="567">
        <f t="shared" si="113"/>
        <v>2838310.1551538929</v>
      </c>
      <c r="R194" s="567">
        <f t="shared" si="113"/>
        <v>-110376.09117274638</v>
      </c>
      <c r="S194" s="567">
        <f t="shared" si="113"/>
        <v>1385206.4480335324</v>
      </c>
      <c r="T194" s="567">
        <f t="shared" si="113"/>
        <v>3102693.1720213811</v>
      </c>
      <c r="U194" s="567">
        <f t="shared" si="113"/>
        <v>2080820.0513397523</v>
      </c>
      <c r="V194" s="567">
        <f t="shared" si="113"/>
        <v>1778964.011977714</v>
      </c>
      <c r="W194" s="567">
        <f t="shared" si="113"/>
        <v>6906.5585448299007</v>
      </c>
      <c r="X194" s="567">
        <f t="shared" si="113"/>
        <v>23758014.280086655</v>
      </c>
      <c r="Y194" s="567">
        <f t="shared" si="113"/>
        <v>21971935.634423517</v>
      </c>
      <c r="Z194" s="567">
        <f t="shared" si="113"/>
        <v>1786078.6456631403</v>
      </c>
      <c r="AA194" s="567">
        <f t="shared" si="113"/>
        <v>-2504289.9638252901</v>
      </c>
      <c r="AB194" s="567">
        <f t="shared" si="113"/>
        <v>5506561.9723668899</v>
      </c>
      <c r="AC194" s="567">
        <f>AC222</f>
        <v>5018861.9211577978</v>
      </c>
      <c r="AD194" s="567">
        <f>AD222</f>
        <v>487700.05120909115</v>
      </c>
      <c r="AE194" s="567">
        <f>AE222</f>
        <v>0</v>
      </c>
      <c r="AF194" s="567">
        <f t="shared" si="113"/>
        <v>2061214.2903129475</v>
      </c>
      <c r="AG194" s="567">
        <f t="shared" si="113"/>
        <v>2061214.2903129475</v>
      </c>
      <c r="AH194" s="567">
        <f t="shared" si="113"/>
        <v>-1376319.7059726343</v>
      </c>
      <c r="AI194" s="573">
        <f t="shared" ref="AI194" si="114">SUM(E194,I194:K194,L194,N194:W194,Y194:Z194,AA194:AA194,AC194:AE194,AG194:AG194,AH194)</f>
        <v>133009713.94724047</v>
      </c>
      <c r="AJ194" s="567">
        <f>AJ222</f>
        <v>19897851.023999408</v>
      </c>
      <c r="AK194" s="569">
        <f t="shared" si="88"/>
        <v>152907564.97123986</v>
      </c>
      <c r="AM194" s="101">
        <f>'9a. Summary Schedules'!C194</f>
        <v>152907564.97123986</v>
      </c>
      <c r="AN194" s="101">
        <f>AK194-AM194</f>
        <v>0</v>
      </c>
    </row>
    <row r="195" spans="1:40" ht="14.5" x14ac:dyDescent="0.45">
      <c r="A195" s="157"/>
      <c r="B195" s="35"/>
      <c r="C195" s="35"/>
      <c r="D195" s="576"/>
      <c r="E195" s="576"/>
      <c r="F195" s="650"/>
      <c r="G195" s="650"/>
      <c r="H195" s="650"/>
      <c r="I195" s="576"/>
      <c r="J195" s="576"/>
      <c r="K195" s="576"/>
      <c r="L195" s="576"/>
      <c r="M195" s="576"/>
      <c r="N195" s="576"/>
      <c r="O195" s="576"/>
      <c r="P195" s="576"/>
      <c r="Q195" s="576"/>
      <c r="R195" s="576"/>
      <c r="S195" s="576"/>
      <c r="T195" s="576"/>
      <c r="U195" s="576"/>
      <c r="V195" s="576"/>
      <c r="W195" s="576"/>
      <c r="X195" s="576"/>
      <c r="Y195" s="576"/>
      <c r="Z195" s="576"/>
      <c r="AA195" s="576"/>
      <c r="AB195" s="576"/>
      <c r="AC195" s="576"/>
      <c r="AD195" s="576"/>
      <c r="AE195" s="576"/>
      <c r="AF195" s="576"/>
      <c r="AG195" s="576"/>
      <c r="AH195" s="576"/>
      <c r="AI195" s="576"/>
      <c r="AJ195" s="576"/>
      <c r="AK195" s="579"/>
      <c r="AM195" s="101"/>
      <c r="AN195" s="101"/>
    </row>
    <row r="196" spans="1:40" ht="14.5" x14ac:dyDescent="0.45">
      <c r="A196" s="157" t="s">
        <v>150</v>
      </c>
      <c r="B196" s="35"/>
      <c r="C196" s="35"/>
      <c r="D196" s="576">
        <f>D149</f>
        <v>0</v>
      </c>
      <c r="E196" s="576">
        <f>E149</f>
        <v>0</v>
      </c>
      <c r="F196" s="650"/>
      <c r="G196" s="650"/>
      <c r="H196" s="650"/>
      <c r="I196" s="576">
        <f t="shared" ref="I196:AH196" si="115">I149</f>
        <v>0</v>
      </c>
      <c r="J196" s="576">
        <f t="shared" si="115"/>
        <v>0</v>
      </c>
      <c r="K196" s="576">
        <f>K149</f>
        <v>0</v>
      </c>
      <c r="L196" s="576">
        <f t="shared" si="115"/>
        <v>60215752.567019694</v>
      </c>
      <c r="M196" s="576">
        <f t="shared" si="115"/>
        <v>0</v>
      </c>
      <c r="N196" s="576">
        <f t="shared" si="115"/>
        <v>0</v>
      </c>
      <c r="O196" s="576">
        <f t="shared" si="115"/>
        <v>0</v>
      </c>
      <c r="P196" s="576">
        <f t="shared" si="115"/>
        <v>0</v>
      </c>
      <c r="Q196" s="576">
        <f t="shared" si="115"/>
        <v>0</v>
      </c>
      <c r="R196" s="576">
        <f t="shared" si="115"/>
        <v>0</v>
      </c>
      <c r="S196" s="576">
        <f t="shared" si="115"/>
        <v>0</v>
      </c>
      <c r="T196" s="576">
        <f t="shared" si="115"/>
        <v>0</v>
      </c>
      <c r="U196" s="576">
        <f t="shared" si="115"/>
        <v>0</v>
      </c>
      <c r="V196" s="576">
        <f t="shared" si="115"/>
        <v>0</v>
      </c>
      <c r="W196" s="576">
        <f t="shared" si="115"/>
        <v>0</v>
      </c>
      <c r="X196" s="576">
        <f t="shared" si="115"/>
        <v>0</v>
      </c>
      <c r="Y196" s="576">
        <f t="shared" si="115"/>
        <v>0</v>
      </c>
      <c r="Z196" s="576">
        <f t="shared" si="115"/>
        <v>0</v>
      </c>
      <c r="AA196" s="576">
        <f t="shared" si="115"/>
        <v>0</v>
      </c>
      <c r="AB196" s="576">
        <f t="shared" si="115"/>
        <v>0</v>
      </c>
      <c r="AC196" s="576">
        <f t="shared" si="115"/>
        <v>0</v>
      </c>
      <c r="AD196" s="576">
        <f t="shared" si="115"/>
        <v>0</v>
      </c>
      <c r="AE196" s="576">
        <f t="shared" si="115"/>
        <v>0</v>
      </c>
      <c r="AF196" s="576">
        <f t="shared" si="115"/>
        <v>0</v>
      </c>
      <c r="AG196" s="576">
        <f t="shared" si="115"/>
        <v>0</v>
      </c>
      <c r="AH196" s="576">
        <f t="shared" si="115"/>
        <v>0</v>
      </c>
      <c r="AI196" s="576">
        <f t="shared" ref="AI196:AI199" si="116">SUM(E196,I196:K196,L196,N196:W196,Y196:Z196,AA196:AA196,AC196:AE196,AG196:AG196,AH196)</f>
        <v>60215752.567019694</v>
      </c>
      <c r="AJ196" s="576">
        <f>AJ149</f>
        <v>0</v>
      </c>
      <c r="AK196" s="579">
        <f>AI196+AJ196</f>
        <v>60215752.567019694</v>
      </c>
      <c r="AL196" s="129"/>
      <c r="AM196" s="101">
        <f>'9a. Summary Schedules'!C196</f>
        <v>60215752.567019694</v>
      </c>
      <c r="AN196" s="101">
        <f>AK196-AM196</f>
        <v>0</v>
      </c>
    </row>
    <row r="197" spans="1:40" x14ac:dyDescent="0.3">
      <c r="A197" s="157" t="s">
        <v>1027</v>
      </c>
      <c r="B197" s="35"/>
      <c r="C197" s="35"/>
      <c r="D197" s="567">
        <f>D196+D194+D192+D190+D186</f>
        <v>933587424.28758848</v>
      </c>
      <c r="E197" s="567">
        <f t="shared" ref="E197:AH197" si="117">E196+E194+E192+E190+E186</f>
        <v>487542594.07746184</v>
      </c>
      <c r="F197" s="649"/>
      <c r="G197" s="649"/>
      <c r="H197" s="649"/>
      <c r="I197" s="567">
        <f t="shared" si="117"/>
        <v>102261164.8906066</v>
      </c>
      <c r="J197" s="567">
        <f t="shared" si="117"/>
        <v>317042422.25951999</v>
      </c>
      <c r="K197" s="567">
        <f t="shared" si="117"/>
        <v>26741243.059999999</v>
      </c>
      <c r="L197" s="567">
        <f t="shared" si="117"/>
        <v>60215752.567019694</v>
      </c>
      <c r="M197" s="567">
        <f t="shared" si="117"/>
        <v>306571683.15367091</v>
      </c>
      <c r="N197" s="567">
        <f t="shared" si="117"/>
        <v>64248598.246094748</v>
      </c>
      <c r="O197" s="567">
        <f t="shared" si="117"/>
        <v>91712757.822424129</v>
      </c>
      <c r="P197" s="567">
        <f t="shared" si="117"/>
        <v>24880377.734551761</v>
      </c>
      <c r="Q197" s="567">
        <f t="shared" si="117"/>
        <v>15383132.077504255</v>
      </c>
      <c r="R197" s="567">
        <f t="shared" si="117"/>
        <v>52050253.446250968</v>
      </c>
      <c r="S197" s="567">
        <f t="shared" si="117"/>
        <v>14872930.325786091</v>
      </c>
      <c r="T197" s="567">
        <f t="shared" si="117"/>
        <v>16816040.61998209</v>
      </c>
      <c r="U197" s="567">
        <f t="shared" si="117"/>
        <v>9842221.7476964444</v>
      </c>
      <c r="V197" s="567">
        <f t="shared" si="117"/>
        <v>15103282.715972699</v>
      </c>
      <c r="W197" s="567">
        <f t="shared" si="117"/>
        <v>1662088.4174077148</v>
      </c>
      <c r="X197" s="567">
        <f t="shared" si="117"/>
        <v>57141943.475530781</v>
      </c>
      <c r="Y197" s="567">
        <f t="shared" si="117"/>
        <v>43879483.626738138</v>
      </c>
      <c r="Z197" s="567">
        <f t="shared" si="117"/>
        <v>13262459.848792642</v>
      </c>
      <c r="AA197" s="567">
        <f t="shared" si="117"/>
        <v>4946883.7908913726</v>
      </c>
      <c r="AB197" s="567">
        <f t="shared" si="117"/>
        <v>30113215.084155139</v>
      </c>
      <c r="AC197" s="567">
        <f t="shared" si="117"/>
        <v>29050716.560845975</v>
      </c>
      <c r="AD197" s="567">
        <f t="shared" si="117"/>
        <v>1062498.5233091614</v>
      </c>
      <c r="AE197" s="567">
        <f t="shared" si="117"/>
        <v>0</v>
      </c>
      <c r="AF197" s="567">
        <f t="shared" si="117"/>
        <v>17708467.3220018</v>
      </c>
      <c r="AG197" s="567">
        <f t="shared" si="117"/>
        <v>17708467.3220018</v>
      </c>
      <c r="AH197" s="567">
        <f t="shared" si="117"/>
        <v>-3312529.8087369516</v>
      </c>
      <c r="AI197" s="567">
        <f t="shared" si="116"/>
        <v>1406972839.8721206</v>
      </c>
      <c r="AJ197" s="567">
        <f>AJ196+AJ194+AJ192+AJ190+AJ186</f>
        <v>136781397.35617489</v>
      </c>
      <c r="AK197" s="569">
        <f t="shared" si="88"/>
        <v>1543754237.2282956</v>
      </c>
      <c r="AM197" s="101">
        <f>'9a. Summary Schedules'!C197</f>
        <v>2222649889.6882958</v>
      </c>
      <c r="AN197" s="101">
        <f>AK197-AM197</f>
        <v>-678895652.46000028</v>
      </c>
    </row>
    <row r="198" spans="1:40" ht="14.5" x14ac:dyDescent="0.45">
      <c r="A198" s="157" t="s">
        <v>1028</v>
      </c>
      <c r="B198" s="35"/>
      <c r="C198" s="35"/>
      <c r="D198" s="576">
        <f t="shared" ref="D198:AH198" si="118">D197/0.86*0.14</f>
        <v>151979348.13984001</v>
      </c>
      <c r="E198" s="576">
        <f t="shared" si="118"/>
        <v>79367399.035865888</v>
      </c>
      <c r="F198" s="650"/>
      <c r="G198" s="650"/>
      <c r="H198" s="650"/>
      <c r="I198" s="576">
        <f t="shared" si="118"/>
        <v>16647166.377540609</v>
      </c>
      <c r="J198" s="576">
        <f t="shared" si="118"/>
        <v>51611557.11201489</v>
      </c>
      <c r="K198" s="576">
        <f t="shared" si="118"/>
        <v>4353225.6144186044</v>
      </c>
      <c r="L198" s="576">
        <f t="shared" si="118"/>
        <v>9802564.3713753</v>
      </c>
      <c r="M198" s="576">
        <f t="shared" si="118"/>
        <v>49907018.187806897</v>
      </c>
      <c r="N198" s="576">
        <f t="shared" si="118"/>
        <v>10459074.133085193</v>
      </c>
      <c r="O198" s="576">
        <f t="shared" si="118"/>
        <v>14929983.831557419</v>
      </c>
      <c r="P198" s="576">
        <f t="shared" si="118"/>
        <v>4050294.0498107523</v>
      </c>
      <c r="Q198" s="576">
        <f t="shared" si="118"/>
        <v>2504230.8033146462</v>
      </c>
      <c r="R198" s="576">
        <f t="shared" si="118"/>
        <v>8473297.0726455078</v>
      </c>
      <c r="S198" s="576">
        <f t="shared" si="118"/>
        <v>2421174.704197736</v>
      </c>
      <c r="T198" s="576">
        <f t="shared" si="118"/>
        <v>2737494.9846482472</v>
      </c>
      <c r="U198" s="576">
        <f t="shared" si="118"/>
        <v>1602222.1449738401</v>
      </c>
      <c r="V198" s="576">
        <f t="shared" si="118"/>
        <v>2458673.9305071835</v>
      </c>
      <c r="W198" s="576">
        <f t="shared" si="118"/>
        <v>270572.53306637221</v>
      </c>
      <c r="X198" s="576">
        <f t="shared" si="118"/>
        <v>9302176.8448538482</v>
      </c>
      <c r="Y198" s="576">
        <f t="shared" si="118"/>
        <v>7143171.7531899298</v>
      </c>
      <c r="Z198" s="576">
        <f t="shared" si="118"/>
        <v>2159005.0916639189</v>
      </c>
      <c r="AA198" s="576">
        <f t="shared" si="118"/>
        <v>805306.66363347939</v>
      </c>
      <c r="AB198" s="576">
        <f t="shared" si="118"/>
        <v>4902151.2927694423</v>
      </c>
      <c r="AC198" s="576">
        <f>AC197/0.86*0.14</f>
        <v>4729186.4168819031</v>
      </c>
      <c r="AD198" s="576">
        <f>AD197/0.86*0.14</f>
        <v>172964.8758875379</v>
      </c>
      <c r="AE198" s="576">
        <f>AE197/0.86*0.14</f>
        <v>0</v>
      </c>
      <c r="AF198" s="576">
        <f t="shared" si="118"/>
        <v>2882773.7500933162</v>
      </c>
      <c r="AG198" s="576">
        <f t="shared" si="118"/>
        <v>2882773.7500933162</v>
      </c>
      <c r="AH198" s="576">
        <f t="shared" si="118"/>
        <v>-539249.03863159684</v>
      </c>
      <c r="AI198" s="576">
        <f t="shared" si="116"/>
        <v>229042090.21174064</v>
      </c>
      <c r="AJ198" s="576">
        <f>AJ197/0.86*0.14</f>
        <v>22266739.104493588</v>
      </c>
      <c r="AK198" s="579">
        <f t="shared" si="88"/>
        <v>251308829.31623423</v>
      </c>
      <c r="AM198" s="101">
        <f>'9a. Summary Schedules'!C198</f>
        <v>361826726.22832727</v>
      </c>
      <c r="AN198" s="101">
        <f>AK198-AM198</f>
        <v>-110517896.91209304</v>
      </c>
    </row>
    <row r="199" spans="1:40" x14ac:dyDescent="0.3">
      <c r="A199" s="157" t="s">
        <v>1043</v>
      </c>
      <c r="B199" s="35"/>
      <c r="C199" s="35"/>
      <c r="D199" s="567">
        <f t="shared" ref="D199:AH199" si="119">D197+D198</f>
        <v>1085566772.4274285</v>
      </c>
      <c r="E199" s="567">
        <f t="shared" si="119"/>
        <v>566909993.11332774</v>
      </c>
      <c r="F199" s="649"/>
      <c r="G199" s="649"/>
      <c r="H199" s="649"/>
      <c r="I199" s="567">
        <f t="shared" si="119"/>
        <v>118908331.2681472</v>
      </c>
      <c r="J199" s="567">
        <f t="shared" si="119"/>
        <v>368653979.37153488</v>
      </c>
      <c r="K199" s="567">
        <f t="shared" si="119"/>
        <v>31094468.674418602</v>
      </c>
      <c r="L199" s="567">
        <f t="shared" si="119"/>
        <v>70018316.938394994</v>
      </c>
      <c r="M199" s="567">
        <f t="shared" si="119"/>
        <v>356478701.34147781</v>
      </c>
      <c r="N199" s="567">
        <f t="shared" si="119"/>
        <v>74707672.37917994</v>
      </c>
      <c r="O199" s="567">
        <f t="shared" si="119"/>
        <v>106642741.65398155</v>
      </c>
      <c r="P199" s="567">
        <f t="shared" si="119"/>
        <v>28930671.784362514</v>
      </c>
      <c r="Q199" s="567">
        <f t="shared" si="119"/>
        <v>17887362.8808189</v>
      </c>
      <c r="R199" s="567">
        <f t="shared" si="119"/>
        <v>60523550.518896475</v>
      </c>
      <c r="S199" s="567">
        <f t="shared" si="119"/>
        <v>17294105.029983826</v>
      </c>
      <c r="T199" s="567">
        <f t="shared" si="119"/>
        <v>19553535.604630336</v>
      </c>
      <c r="U199" s="567">
        <f t="shared" si="119"/>
        <v>11444443.892670285</v>
      </c>
      <c r="V199" s="567">
        <f t="shared" si="119"/>
        <v>17561956.646479882</v>
      </c>
      <c r="W199" s="567">
        <f t="shared" si="119"/>
        <v>1932660.9504740869</v>
      </c>
      <c r="X199" s="567">
        <f t="shared" si="119"/>
        <v>66444120.320384629</v>
      </c>
      <c r="Y199" s="567">
        <f t="shared" si="119"/>
        <v>51022655.379928067</v>
      </c>
      <c r="Z199" s="567">
        <f t="shared" si="119"/>
        <v>15421464.940456562</v>
      </c>
      <c r="AA199" s="567">
        <f t="shared" si="119"/>
        <v>5752190.4545248523</v>
      </c>
      <c r="AB199" s="567">
        <f t="shared" si="119"/>
        <v>35015366.376924582</v>
      </c>
      <c r="AC199" s="567">
        <f>AC197+AC198</f>
        <v>33779902.977727875</v>
      </c>
      <c r="AD199" s="567">
        <f>AD197+AD198</f>
        <v>1235463.3991966993</v>
      </c>
      <c r="AE199" s="567">
        <f>AE197+AE198</f>
        <v>0</v>
      </c>
      <c r="AF199" s="567">
        <f t="shared" si="119"/>
        <v>20591241.072095115</v>
      </c>
      <c r="AG199" s="567">
        <f t="shared" si="119"/>
        <v>20591241.072095115</v>
      </c>
      <c r="AH199" s="567">
        <f t="shared" si="119"/>
        <v>-3851778.8473685486</v>
      </c>
      <c r="AI199" s="567">
        <f t="shared" si="116"/>
        <v>1636014930.0838618</v>
      </c>
      <c r="AJ199" s="567">
        <f>AJ197+AJ198</f>
        <v>159048136.46066847</v>
      </c>
      <c r="AK199" s="569">
        <f t="shared" si="88"/>
        <v>1795063066.5445304</v>
      </c>
      <c r="AM199" s="101">
        <f>'9a. Summary Schedules'!C199</f>
        <v>2584476615.9166226</v>
      </c>
      <c r="AN199" s="101">
        <f>AK199-AM199</f>
        <v>-789413549.37209225</v>
      </c>
    </row>
    <row r="200" spans="1:40" x14ac:dyDescent="0.3">
      <c r="A200" s="157"/>
      <c r="B200" s="35"/>
      <c r="C200" s="35"/>
      <c r="D200" s="567"/>
      <c r="E200" s="567"/>
      <c r="F200" s="649"/>
      <c r="G200" s="649"/>
      <c r="H200" s="649"/>
      <c r="I200" s="567"/>
      <c r="J200" s="567"/>
      <c r="K200" s="567"/>
      <c r="L200" s="567"/>
      <c r="M200" s="567"/>
      <c r="N200" s="567"/>
      <c r="O200" s="567"/>
      <c r="P200" s="567"/>
      <c r="Q200" s="567"/>
      <c r="R200" s="567"/>
      <c r="S200" s="567"/>
      <c r="T200" s="567"/>
      <c r="U200" s="567"/>
      <c r="V200" s="567"/>
      <c r="W200" s="567"/>
      <c r="X200" s="567"/>
      <c r="Y200" s="567"/>
      <c r="Z200" s="567"/>
      <c r="AA200" s="567"/>
      <c r="AB200" s="567"/>
      <c r="AC200" s="567"/>
      <c r="AD200" s="567"/>
      <c r="AE200" s="567"/>
      <c r="AF200" s="567"/>
      <c r="AG200" s="567"/>
      <c r="AH200" s="567"/>
      <c r="AI200" s="567"/>
      <c r="AJ200" s="567"/>
      <c r="AK200" s="569"/>
    </row>
    <row r="201" spans="1:40" x14ac:dyDescent="0.3">
      <c r="A201" s="157"/>
      <c r="B201" s="35"/>
      <c r="C201" s="35"/>
      <c r="D201" s="243"/>
      <c r="E201" s="243"/>
      <c r="F201" s="642"/>
      <c r="G201" s="642"/>
      <c r="H201" s="642"/>
      <c r="I201" s="243"/>
      <c r="J201" s="243"/>
      <c r="K201" s="243"/>
      <c r="L201" s="243"/>
      <c r="M201" s="243"/>
      <c r="N201" s="243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  <c r="AA201" s="243"/>
      <c r="AB201" s="243"/>
      <c r="AC201" s="243"/>
      <c r="AD201" s="243"/>
      <c r="AE201" s="243"/>
      <c r="AF201" s="243"/>
      <c r="AG201" s="243"/>
      <c r="AH201" s="243"/>
      <c r="AI201" s="243"/>
      <c r="AJ201" s="243"/>
      <c r="AK201" s="244"/>
    </row>
    <row r="202" spans="1:40" x14ac:dyDescent="0.3">
      <c r="A202" s="157"/>
      <c r="B202" s="35"/>
      <c r="C202" s="35"/>
      <c r="D202" s="243"/>
      <c r="E202" s="243"/>
      <c r="F202" s="642"/>
      <c r="G202" s="642"/>
      <c r="H202" s="642"/>
      <c r="I202" s="243"/>
      <c r="J202" s="243"/>
      <c r="K202" s="243"/>
      <c r="L202" s="243"/>
      <c r="M202" s="243"/>
      <c r="N202" s="243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  <c r="AA202" s="243"/>
      <c r="AB202" s="243"/>
      <c r="AC202" s="243"/>
      <c r="AD202" s="243"/>
      <c r="AE202" s="243"/>
      <c r="AF202" s="243"/>
      <c r="AG202" s="243"/>
      <c r="AH202" s="243"/>
      <c r="AI202" s="243"/>
      <c r="AJ202" s="243"/>
      <c r="AK202" s="244"/>
    </row>
    <row r="203" spans="1:40" x14ac:dyDescent="0.3">
      <c r="A203" s="157"/>
      <c r="B203" s="35"/>
      <c r="C203" s="35"/>
      <c r="D203" s="243"/>
      <c r="E203" s="243"/>
      <c r="F203" s="642"/>
      <c r="G203" s="642"/>
      <c r="H203" s="642"/>
      <c r="I203" s="243"/>
      <c r="J203" s="243"/>
      <c r="K203" s="243"/>
      <c r="L203" s="243"/>
      <c r="M203" s="243"/>
      <c r="N203" s="243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  <c r="AA203" s="243"/>
      <c r="AB203" s="243"/>
      <c r="AC203" s="243"/>
      <c r="AD203" s="243"/>
      <c r="AE203" s="243"/>
      <c r="AF203" s="243"/>
      <c r="AG203" s="243"/>
      <c r="AH203" s="243"/>
      <c r="AI203" s="243"/>
      <c r="AJ203" s="243"/>
      <c r="AK203" s="244"/>
    </row>
    <row r="204" spans="1:40" x14ac:dyDescent="0.3">
      <c r="A204" s="157" t="s">
        <v>1</v>
      </c>
      <c r="B204" s="35"/>
      <c r="C204" s="35"/>
      <c r="D204" s="567"/>
      <c r="E204" s="567"/>
      <c r="F204" s="649"/>
      <c r="G204" s="649"/>
      <c r="H204" s="649"/>
      <c r="I204" s="567"/>
      <c r="J204" s="567"/>
      <c r="K204" s="567"/>
      <c r="L204" s="567"/>
      <c r="M204" s="567"/>
      <c r="N204" s="567"/>
      <c r="O204" s="567"/>
      <c r="P204" s="567"/>
      <c r="Q204" s="567"/>
      <c r="R204" s="567"/>
      <c r="S204" s="567"/>
      <c r="T204" s="567"/>
      <c r="U204" s="567"/>
      <c r="V204" s="567"/>
      <c r="W204" s="567"/>
      <c r="X204" s="567"/>
      <c r="Y204" s="567"/>
      <c r="Z204" s="567"/>
      <c r="AA204" s="567"/>
      <c r="AB204" s="567"/>
      <c r="AC204" s="567"/>
      <c r="AD204" s="567"/>
      <c r="AE204" s="567"/>
      <c r="AF204" s="567"/>
      <c r="AG204" s="567"/>
      <c r="AH204" s="567"/>
      <c r="AI204" s="567"/>
      <c r="AJ204" s="567"/>
      <c r="AK204" s="244"/>
    </row>
    <row r="205" spans="1:40" x14ac:dyDescent="0.3">
      <c r="A205" s="157" t="s">
        <v>178</v>
      </c>
      <c r="B205" s="35"/>
      <c r="C205" s="35"/>
      <c r="D205" s="567">
        <f t="shared" ref="D205:E208" si="120">D154</f>
        <v>0</v>
      </c>
      <c r="E205" s="567">
        <f t="shared" si="120"/>
        <v>0</v>
      </c>
      <c r="F205" s="649"/>
      <c r="G205" s="649"/>
      <c r="H205" s="649"/>
      <c r="I205" s="567">
        <f t="shared" ref="I205:AH205" si="121">I154</f>
        <v>0</v>
      </c>
      <c r="J205" s="567">
        <f t="shared" si="121"/>
        <v>0</v>
      </c>
      <c r="K205" s="567">
        <f>K154</f>
        <v>0</v>
      </c>
      <c r="L205" s="567">
        <f t="shared" si="121"/>
        <v>0</v>
      </c>
      <c r="M205" s="567">
        <f t="shared" si="121"/>
        <v>0</v>
      </c>
      <c r="N205" s="567">
        <f t="shared" si="121"/>
        <v>0</v>
      </c>
      <c r="O205" s="567">
        <f t="shared" si="121"/>
        <v>0</v>
      </c>
      <c r="P205" s="567">
        <f t="shared" si="121"/>
        <v>0</v>
      </c>
      <c r="Q205" s="567">
        <f t="shared" si="121"/>
        <v>0</v>
      </c>
      <c r="R205" s="567">
        <f t="shared" si="121"/>
        <v>0</v>
      </c>
      <c r="S205" s="567">
        <f t="shared" si="121"/>
        <v>0</v>
      </c>
      <c r="T205" s="567">
        <f t="shared" si="121"/>
        <v>0</v>
      </c>
      <c r="U205" s="567">
        <f t="shared" si="121"/>
        <v>0</v>
      </c>
      <c r="V205" s="567">
        <f t="shared" si="121"/>
        <v>0</v>
      </c>
      <c r="W205" s="567">
        <f t="shared" si="121"/>
        <v>0</v>
      </c>
      <c r="X205" s="567">
        <f t="shared" si="121"/>
        <v>0</v>
      </c>
      <c r="Y205" s="567">
        <f t="shared" si="121"/>
        <v>0</v>
      </c>
      <c r="Z205" s="567">
        <f t="shared" si="121"/>
        <v>0</v>
      </c>
      <c r="AA205" s="567">
        <f t="shared" si="121"/>
        <v>0</v>
      </c>
      <c r="AB205" s="567">
        <f t="shared" si="121"/>
        <v>0</v>
      </c>
      <c r="AC205" s="567">
        <f t="shared" ref="AC205:AE208" si="122">AC154</f>
        <v>0</v>
      </c>
      <c r="AD205" s="567">
        <f t="shared" si="122"/>
        <v>0</v>
      </c>
      <c r="AE205" s="567">
        <f t="shared" si="122"/>
        <v>0</v>
      </c>
      <c r="AF205" s="567">
        <f t="shared" si="121"/>
        <v>0</v>
      </c>
      <c r="AG205" s="567">
        <f t="shared" si="121"/>
        <v>0</v>
      </c>
      <c r="AH205" s="567">
        <f t="shared" si="121"/>
        <v>-7174098.5199999996</v>
      </c>
      <c r="AI205" s="567">
        <f t="shared" ref="AI205:AI209" si="123">SUM(E205,I205:K205,L205,N205:W205,Y205:Z205,AA205:AA205,AC205:AE205,AG205:AG205,AH205)</f>
        <v>-7174098.5199999996</v>
      </c>
      <c r="AJ205" s="567">
        <f>AJ154</f>
        <v>-670903.62</v>
      </c>
      <c r="AK205" s="244">
        <f>AI205+AJ205</f>
        <v>-7845002.1399999997</v>
      </c>
      <c r="AM205" s="101">
        <f>'9a. Summary Schedules'!C205</f>
        <v>-7845002.1399999997</v>
      </c>
      <c r="AN205" s="101">
        <f>AK205-AM205</f>
        <v>0</v>
      </c>
    </row>
    <row r="206" spans="1:40" x14ac:dyDescent="0.3">
      <c r="A206" s="157" t="s">
        <v>1048</v>
      </c>
      <c r="B206" s="35"/>
      <c r="C206" s="35"/>
      <c r="D206" s="567">
        <f t="shared" si="120"/>
        <v>-3175736.6711724643</v>
      </c>
      <c r="E206" s="567">
        <f t="shared" si="120"/>
        <v>-988504.33250960952</v>
      </c>
      <c r="F206" s="649"/>
      <c r="G206" s="649"/>
      <c r="H206" s="649"/>
      <c r="I206" s="567">
        <f t="shared" ref="I206:AH206" si="124">I155</f>
        <v>-2187232.3386628544</v>
      </c>
      <c r="J206" s="567">
        <f t="shared" si="124"/>
        <v>0</v>
      </c>
      <c r="K206" s="567">
        <f>K155</f>
        <v>0</v>
      </c>
      <c r="L206" s="567">
        <f t="shared" si="124"/>
        <v>0</v>
      </c>
      <c r="M206" s="567">
        <f t="shared" si="124"/>
        <v>-7436415.7638784405</v>
      </c>
      <c r="N206" s="567">
        <f t="shared" si="124"/>
        <v>-209219.86994391639</v>
      </c>
      <c r="O206" s="567">
        <f t="shared" si="124"/>
        <v>-266573.8386527478</v>
      </c>
      <c r="P206" s="567">
        <f t="shared" si="124"/>
        <v>-57932.745435065473</v>
      </c>
      <c r="Q206" s="567">
        <f t="shared" si="124"/>
        <v>-21989.367079307111</v>
      </c>
      <c r="R206" s="567">
        <f t="shared" si="124"/>
        <v>-6782985.5569821028</v>
      </c>
      <c r="S206" s="567">
        <f t="shared" si="124"/>
        <v>-37655.744263635963</v>
      </c>
      <c r="T206" s="567">
        <f t="shared" si="124"/>
        <v>-24037.633438386056</v>
      </c>
      <c r="U206" s="567">
        <f t="shared" si="124"/>
        <v>-9584.0005951105049</v>
      </c>
      <c r="V206" s="567">
        <f t="shared" si="124"/>
        <v>-24596.971438306799</v>
      </c>
      <c r="W206" s="567">
        <f t="shared" si="124"/>
        <v>-1840.036049861596</v>
      </c>
      <c r="X206" s="567">
        <f t="shared" si="124"/>
        <v>-415139.35028303484</v>
      </c>
      <c r="Y206" s="567">
        <f t="shared" si="124"/>
        <v>-348725.44591267267</v>
      </c>
      <c r="Z206" s="567">
        <f t="shared" si="124"/>
        <v>-66413.904370362114</v>
      </c>
      <c r="AA206" s="567">
        <f t="shared" si="124"/>
        <v>-4208062.3516622186</v>
      </c>
      <c r="AB206" s="567">
        <f t="shared" si="124"/>
        <v>-223503.29004645935</v>
      </c>
      <c r="AC206" s="567">
        <f t="shared" si="122"/>
        <v>-202809.12224107143</v>
      </c>
      <c r="AD206" s="567">
        <f t="shared" si="122"/>
        <v>-20694.167805387904</v>
      </c>
      <c r="AE206" s="567">
        <f t="shared" si="122"/>
        <v>0</v>
      </c>
      <c r="AF206" s="567">
        <f t="shared" si="124"/>
        <v>-62293.171041331167</v>
      </c>
      <c r="AG206" s="567">
        <f t="shared" si="124"/>
        <v>-62293.171041331167</v>
      </c>
      <c r="AH206" s="567">
        <f t="shared" si="124"/>
        <v>-1379375.0499999989</v>
      </c>
      <c r="AI206" s="567">
        <f t="shared" si="123"/>
        <v>-16900525.648083948</v>
      </c>
      <c r="AJ206" s="567">
        <f>AJ155</f>
        <v>-5686333.8977229428</v>
      </c>
      <c r="AK206" s="244">
        <f t="shared" si="88"/>
        <v>-22586859.545806892</v>
      </c>
      <c r="AM206" s="101">
        <f>'9a. Summary Schedules'!C206</f>
        <v>-22586859.545806892</v>
      </c>
      <c r="AN206" s="101">
        <f>AK206-AM206</f>
        <v>0</v>
      </c>
    </row>
    <row r="207" spans="1:40" x14ac:dyDescent="0.3">
      <c r="A207" s="157" t="s">
        <v>1047</v>
      </c>
      <c r="B207" s="35"/>
      <c r="C207" s="35"/>
      <c r="D207" s="567">
        <f t="shared" si="120"/>
        <v>-6149759.370575917</v>
      </c>
      <c r="E207" s="567">
        <f t="shared" si="120"/>
        <v>-5948046.0163923278</v>
      </c>
      <c r="F207" s="649"/>
      <c r="G207" s="649"/>
      <c r="H207" s="649"/>
      <c r="I207" s="567">
        <f>I156</f>
        <v>-201713.35418358946</v>
      </c>
      <c r="J207" s="567">
        <f>J156</f>
        <v>0</v>
      </c>
      <c r="K207" s="567">
        <f>K156</f>
        <v>0</v>
      </c>
      <c r="L207" s="567">
        <f t="shared" ref="L207:AB207" si="125">L156</f>
        <v>0</v>
      </c>
      <c r="M207" s="567">
        <f t="shared" si="125"/>
        <v>-3904355.7512052124</v>
      </c>
      <c r="N207" s="567">
        <f t="shared" si="125"/>
        <v>-664921.01821430086</v>
      </c>
      <c r="O207" s="567">
        <f t="shared" si="125"/>
        <v>-1107532.6800220392</v>
      </c>
      <c r="P207" s="567">
        <f t="shared" si="125"/>
        <v>-296270.62897367764</v>
      </c>
      <c r="Q207" s="567">
        <f t="shared" si="125"/>
        <v>-308176.44226643414</v>
      </c>
      <c r="R207" s="567">
        <f t="shared" si="125"/>
        <v>-617275.01973020425</v>
      </c>
      <c r="S207" s="567">
        <f t="shared" si="125"/>
        <v>-152899.60445414591</v>
      </c>
      <c r="T207" s="567">
        <f t="shared" si="125"/>
        <v>-336882.47264367866</v>
      </c>
      <c r="U207" s="567">
        <f t="shared" si="125"/>
        <v>-225323.76121160766</v>
      </c>
      <c r="V207" s="567">
        <f t="shared" si="125"/>
        <v>-194158.51142555685</v>
      </c>
      <c r="W207" s="567">
        <f t="shared" si="125"/>
        <v>-915.61226356775524</v>
      </c>
      <c r="X207" s="567">
        <f t="shared" si="125"/>
        <v>-282406.6010557047</v>
      </c>
      <c r="Y207" s="567">
        <f t="shared" si="125"/>
        <v>-260821.2978619551</v>
      </c>
      <c r="Z207" s="567">
        <f t="shared" si="125"/>
        <v>-21585.303193749587</v>
      </c>
      <c r="AA207" s="567">
        <f t="shared" si="125"/>
        <v>-16480.23418976742</v>
      </c>
      <c r="AB207" s="567">
        <f t="shared" si="125"/>
        <v>-77284.368777903845</v>
      </c>
      <c r="AC207" s="567">
        <f t="shared" si="122"/>
        <v>-70429.032206784788</v>
      </c>
      <c r="AD207" s="567">
        <f t="shared" si="122"/>
        <v>-6855.3365711190418</v>
      </c>
      <c r="AE207" s="567">
        <f t="shared" si="122"/>
        <v>0</v>
      </c>
      <c r="AF207" s="567">
        <f>AF156</f>
        <v>-15372.495370829587</v>
      </c>
      <c r="AG207" s="567">
        <f>AG156</f>
        <v>-15372.495370829585</v>
      </c>
      <c r="AH207" s="567">
        <f>AH156</f>
        <v>59785.648869029399</v>
      </c>
      <c r="AI207" s="567">
        <f t="shared" si="123"/>
        <v>-10385873.172306307</v>
      </c>
      <c r="AJ207" s="567">
        <f>AJ156</f>
        <v>-1073192.0056876966</v>
      </c>
      <c r="AK207" s="244">
        <f>AI207+AJ207</f>
        <v>-11459065.177994004</v>
      </c>
      <c r="AM207" s="101">
        <f>'9a. Summary Schedules'!C207</f>
        <v>-11459065.177994002</v>
      </c>
      <c r="AN207" s="101">
        <f>AK207-AM207</f>
        <v>0</v>
      </c>
    </row>
    <row r="208" spans="1:40" ht="14.5" x14ac:dyDescent="0.45">
      <c r="A208" s="157" t="s">
        <v>1049</v>
      </c>
      <c r="B208" s="35"/>
      <c r="C208" s="35"/>
      <c r="D208" s="576">
        <f t="shared" si="120"/>
        <v>0</v>
      </c>
      <c r="E208" s="576">
        <f t="shared" si="120"/>
        <v>0</v>
      </c>
      <c r="F208" s="650"/>
      <c r="G208" s="650"/>
      <c r="H208" s="650"/>
      <c r="I208" s="576">
        <f t="shared" ref="I208:AH208" si="126">I157</f>
        <v>0</v>
      </c>
      <c r="J208" s="576">
        <f t="shared" si="126"/>
        <v>0</v>
      </c>
      <c r="K208" s="576">
        <f>K157</f>
        <v>0</v>
      </c>
      <c r="L208" s="576">
        <f t="shared" si="126"/>
        <v>0</v>
      </c>
      <c r="M208" s="576">
        <f t="shared" si="126"/>
        <v>0</v>
      </c>
      <c r="N208" s="576">
        <f t="shared" si="126"/>
        <v>0</v>
      </c>
      <c r="O208" s="576">
        <f t="shared" si="126"/>
        <v>0</v>
      </c>
      <c r="P208" s="576">
        <f t="shared" si="126"/>
        <v>0</v>
      </c>
      <c r="Q208" s="576">
        <f t="shared" si="126"/>
        <v>0</v>
      </c>
      <c r="R208" s="576">
        <f t="shared" si="126"/>
        <v>0</v>
      </c>
      <c r="S208" s="576">
        <f t="shared" si="126"/>
        <v>0</v>
      </c>
      <c r="T208" s="576">
        <f t="shared" si="126"/>
        <v>0</v>
      </c>
      <c r="U208" s="576">
        <f t="shared" si="126"/>
        <v>0</v>
      </c>
      <c r="V208" s="576">
        <f t="shared" si="126"/>
        <v>0</v>
      </c>
      <c r="W208" s="576">
        <f t="shared" si="126"/>
        <v>0</v>
      </c>
      <c r="X208" s="576">
        <f t="shared" si="126"/>
        <v>0</v>
      </c>
      <c r="Y208" s="576">
        <f t="shared" si="126"/>
        <v>0</v>
      </c>
      <c r="Z208" s="576">
        <f t="shared" si="126"/>
        <v>0</v>
      </c>
      <c r="AA208" s="576">
        <f t="shared" si="126"/>
        <v>0</v>
      </c>
      <c r="AB208" s="576">
        <f t="shared" si="126"/>
        <v>0</v>
      </c>
      <c r="AC208" s="576">
        <f t="shared" si="122"/>
        <v>0</v>
      </c>
      <c r="AD208" s="576">
        <f t="shared" si="122"/>
        <v>0</v>
      </c>
      <c r="AE208" s="576">
        <f t="shared" si="122"/>
        <v>0</v>
      </c>
      <c r="AF208" s="576">
        <f t="shared" si="126"/>
        <v>0</v>
      </c>
      <c r="AG208" s="576">
        <f t="shared" si="126"/>
        <v>0</v>
      </c>
      <c r="AH208" s="576">
        <f t="shared" si="126"/>
        <v>6893316.1699999999</v>
      </c>
      <c r="AI208" s="576">
        <f t="shared" si="123"/>
        <v>6893316.1699999999</v>
      </c>
      <c r="AJ208" s="580">
        <f>AJ157</f>
        <v>1235594.3999999999</v>
      </c>
      <c r="AK208" s="600">
        <f t="shared" si="88"/>
        <v>8128910.5700000003</v>
      </c>
      <c r="AM208" s="101">
        <f>'9a. Summary Schedules'!C208</f>
        <v>8128910.5700000003</v>
      </c>
      <c r="AN208" s="101">
        <f>AK208-AM208</f>
        <v>0</v>
      </c>
    </row>
    <row r="209" spans="1:40" x14ac:dyDescent="0.3">
      <c r="A209" s="157" t="s">
        <v>2</v>
      </c>
      <c r="B209" s="35"/>
      <c r="C209" s="35"/>
      <c r="D209" s="243">
        <f t="shared" ref="D209:AH209" si="127">SUM(D205:D208)</f>
        <v>-9325496.0417483822</v>
      </c>
      <c r="E209" s="243">
        <f t="shared" si="127"/>
        <v>-6936550.3489019377</v>
      </c>
      <c r="F209" s="642"/>
      <c r="G209" s="642"/>
      <c r="H209" s="642"/>
      <c r="I209" s="243">
        <f t="shared" si="127"/>
        <v>-2388945.692846444</v>
      </c>
      <c r="J209" s="567">
        <f t="shared" si="127"/>
        <v>0</v>
      </c>
      <c r="K209" s="567">
        <f t="shared" si="127"/>
        <v>0</v>
      </c>
      <c r="L209" s="567">
        <f t="shared" si="127"/>
        <v>0</v>
      </c>
      <c r="M209" s="243">
        <f t="shared" si="127"/>
        <v>-11340771.515083652</v>
      </c>
      <c r="N209" s="243">
        <f t="shared" si="127"/>
        <v>-874140.88815821731</v>
      </c>
      <c r="O209" s="243">
        <f t="shared" si="127"/>
        <v>-1374106.5186747871</v>
      </c>
      <c r="P209" s="243">
        <f t="shared" si="127"/>
        <v>-354203.37440874311</v>
      </c>
      <c r="Q209" s="243">
        <f t="shared" si="127"/>
        <v>-330165.80934574123</v>
      </c>
      <c r="R209" s="243">
        <f t="shared" si="127"/>
        <v>-7400260.5767123066</v>
      </c>
      <c r="S209" s="243">
        <f t="shared" si="127"/>
        <v>-190555.34871778189</v>
      </c>
      <c r="T209" s="243">
        <f t="shared" si="127"/>
        <v>-360920.10608206474</v>
      </c>
      <c r="U209" s="243">
        <f t="shared" si="127"/>
        <v>-234907.76180671816</v>
      </c>
      <c r="V209" s="243">
        <f t="shared" si="127"/>
        <v>-218755.48286386364</v>
      </c>
      <c r="W209" s="243">
        <f t="shared" si="127"/>
        <v>-2755.6483134293512</v>
      </c>
      <c r="X209" s="243">
        <f t="shared" si="127"/>
        <v>-697545.9513387396</v>
      </c>
      <c r="Y209" s="243">
        <f t="shared" si="127"/>
        <v>-609546.7437746278</v>
      </c>
      <c r="Z209" s="243">
        <f t="shared" si="127"/>
        <v>-87999.207564111697</v>
      </c>
      <c r="AA209" s="243">
        <f t="shared" si="127"/>
        <v>-4224542.585851986</v>
      </c>
      <c r="AB209" s="243">
        <f t="shared" si="127"/>
        <v>-300787.6588243632</v>
      </c>
      <c r="AC209" s="243">
        <f t="shared" si="127"/>
        <v>-273238.15444785624</v>
      </c>
      <c r="AD209" s="243">
        <f t="shared" si="127"/>
        <v>-27549.504376506946</v>
      </c>
      <c r="AE209" s="243">
        <f t="shared" si="127"/>
        <v>0</v>
      </c>
      <c r="AF209" s="243">
        <f t="shared" si="127"/>
        <v>-77665.666412160761</v>
      </c>
      <c r="AG209" s="243">
        <f t="shared" si="127"/>
        <v>-77665.666412160746</v>
      </c>
      <c r="AH209" s="243">
        <f t="shared" si="127"/>
        <v>-1600371.7511309683</v>
      </c>
      <c r="AI209" s="243">
        <f t="shared" si="123"/>
        <v>-27567181.170390248</v>
      </c>
      <c r="AJ209" s="243">
        <f>SUM(AJ205:AJ208)</f>
        <v>-6194835.1234106403</v>
      </c>
      <c r="AK209" s="244">
        <f t="shared" si="88"/>
        <v>-33762016.29380089</v>
      </c>
      <c r="AM209" s="101">
        <f>'9a. Summary Schedules'!C209</f>
        <v>-33762016.293800898</v>
      </c>
      <c r="AN209" s="101">
        <f>AK209-AM209</f>
        <v>0</v>
      </c>
    </row>
    <row r="210" spans="1:40" x14ac:dyDescent="0.3">
      <c r="A210" s="157"/>
      <c r="B210" s="35"/>
      <c r="C210" s="35"/>
      <c r="D210" s="243"/>
      <c r="E210" s="243"/>
      <c r="F210" s="642"/>
      <c r="G210" s="642"/>
      <c r="H210" s="642"/>
      <c r="I210" s="243"/>
      <c r="J210" s="243"/>
      <c r="K210" s="243"/>
      <c r="L210" s="243"/>
      <c r="M210" s="243"/>
      <c r="N210" s="243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  <c r="AA210" s="243"/>
      <c r="AB210" s="243"/>
      <c r="AC210" s="243"/>
      <c r="AD210" s="243"/>
      <c r="AE210" s="243"/>
      <c r="AF210" s="243"/>
      <c r="AG210" s="243"/>
      <c r="AH210" s="243"/>
      <c r="AI210" s="243"/>
      <c r="AJ210" s="243"/>
      <c r="AK210" s="244"/>
    </row>
    <row r="211" spans="1:40" x14ac:dyDescent="0.3">
      <c r="A211" s="157"/>
      <c r="B211" s="35"/>
      <c r="C211" s="35"/>
      <c r="D211" s="243"/>
      <c r="E211" s="243"/>
      <c r="F211" s="642"/>
      <c r="G211" s="642"/>
      <c r="H211" s="642"/>
      <c r="I211" s="243"/>
      <c r="J211" s="243"/>
      <c r="K211" s="243"/>
      <c r="L211" s="243"/>
      <c r="M211" s="243"/>
      <c r="N211" s="243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  <c r="AA211" s="243"/>
      <c r="AB211" s="243"/>
      <c r="AC211" s="243"/>
      <c r="AD211" s="243"/>
      <c r="AE211" s="243"/>
      <c r="AF211" s="243"/>
      <c r="AG211" s="243"/>
      <c r="AH211" s="243"/>
      <c r="AI211" s="243"/>
      <c r="AJ211" s="243"/>
      <c r="AK211" s="244"/>
    </row>
    <row r="212" spans="1:40" x14ac:dyDescent="0.3">
      <c r="A212" s="157" t="s">
        <v>3</v>
      </c>
      <c r="B212" s="35"/>
      <c r="C212" s="35"/>
      <c r="D212" s="243"/>
      <c r="E212" s="243"/>
      <c r="F212" s="642"/>
      <c r="G212" s="642"/>
      <c r="H212" s="642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  <c r="AA212" s="243"/>
      <c r="AB212" s="243"/>
      <c r="AC212" s="243"/>
      <c r="AD212" s="243"/>
      <c r="AE212" s="243"/>
      <c r="AF212" s="243"/>
      <c r="AG212" s="243"/>
      <c r="AH212" s="243"/>
      <c r="AI212" s="243"/>
      <c r="AJ212" s="243"/>
      <c r="AK212" s="244"/>
    </row>
    <row r="213" spans="1:40" x14ac:dyDescent="0.3">
      <c r="A213" s="157" t="s">
        <v>179</v>
      </c>
      <c r="B213" s="35"/>
      <c r="C213" s="35"/>
      <c r="D213" s="567">
        <f t="shared" ref="D213:E216" si="128">D205*0.86</f>
        <v>0</v>
      </c>
      <c r="E213" s="567">
        <f t="shared" si="128"/>
        <v>0</v>
      </c>
      <c r="F213" s="649"/>
      <c r="G213" s="649"/>
      <c r="H213" s="649"/>
      <c r="I213" s="567">
        <f t="shared" ref="I213:AH213" si="129">I205*0.86</f>
        <v>0</v>
      </c>
      <c r="J213" s="567">
        <f t="shared" si="129"/>
        <v>0</v>
      </c>
      <c r="K213" s="567">
        <f>K205*0.86</f>
        <v>0</v>
      </c>
      <c r="L213" s="567">
        <f t="shared" si="129"/>
        <v>0</v>
      </c>
      <c r="M213" s="567">
        <f t="shared" si="129"/>
        <v>0</v>
      </c>
      <c r="N213" s="567">
        <f t="shared" si="129"/>
        <v>0</v>
      </c>
      <c r="O213" s="567">
        <f t="shared" si="129"/>
        <v>0</v>
      </c>
      <c r="P213" s="567">
        <f t="shared" si="129"/>
        <v>0</v>
      </c>
      <c r="Q213" s="567">
        <f t="shared" si="129"/>
        <v>0</v>
      </c>
      <c r="R213" s="567">
        <f t="shared" si="129"/>
        <v>0</v>
      </c>
      <c r="S213" s="567">
        <f t="shared" si="129"/>
        <v>0</v>
      </c>
      <c r="T213" s="567">
        <f t="shared" si="129"/>
        <v>0</v>
      </c>
      <c r="U213" s="567">
        <f t="shared" si="129"/>
        <v>0</v>
      </c>
      <c r="V213" s="567">
        <f t="shared" si="129"/>
        <v>0</v>
      </c>
      <c r="W213" s="567">
        <f t="shared" si="129"/>
        <v>0</v>
      </c>
      <c r="X213" s="567">
        <f t="shared" si="129"/>
        <v>0</v>
      </c>
      <c r="Y213" s="567">
        <f t="shared" si="129"/>
        <v>0</v>
      </c>
      <c r="Z213" s="567">
        <f t="shared" si="129"/>
        <v>0</v>
      </c>
      <c r="AA213" s="567">
        <f t="shared" si="129"/>
        <v>0</v>
      </c>
      <c r="AB213" s="567">
        <f t="shared" si="129"/>
        <v>0</v>
      </c>
      <c r="AC213" s="567">
        <f t="shared" ref="AC213:AE216" si="130">AC205*0.86</f>
        <v>0</v>
      </c>
      <c r="AD213" s="567">
        <f t="shared" si="130"/>
        <v>0</v>
      </c>
      <c r="AE213" s="567">
        <f t="shared" si="130"/>
        <v>0</v>
      </c>
      <c r="AF213" s="567">
        <f t="shared" si="129"/>
        <v>0</v>
      </c>
      <c r="AG213" s="567">
        <f t="shared" si="129"/>
        <v>0</v>
      </c>
      <c r="AH213" s="567">
        <f t="shared" si="129"/>
        <v>-6169724.7271999996</v>
      </c>
      <c r="AI213" s="567">
        <f t="shared" ref="AI213:AI217" si="131">SUM(E213,I213:K213,L213,N213:W213,Y213:Z213,AA213:AA213,AC213:AE213,AG213:AG213,AH213)</f>
        <v>-6169724.7271999996</v>
      </c>
      <c r="AJ213" s="567">
        <f>AJ205*0.86</f>
        <v>-576977.11320000002</v>
      </c>
      <c r="AK213" s="244">
        <f>AI213+AJ213</f>
        <v>-6746701.8403999992</v>
      </c>
      <c r="AM213" s="101">
        <f>'9a. Summary Schedules'!C213</f>
        <v>-6746701.8403999992</v>
      </c>
      <c r="AN213" s="101">
        <f>AK213-AM213</f>
        <v>0</v>
      </c>
    </row>
    <row r="214" spans="1:40" x14ac:dyDescent="0.3">
      <c r="A214" s="157" t="s">
        <v>1051</v>
      </c>
      <c r="B214" s="35"/>
      <c r="C214" s="35"/>
      <c r="D214" s="567">
        <f t="shared" si="128"/>
        <v>-2731133.5372083192</v>
      </c>
      <c r="E214" s="567">
        <f t="shared" si="128"/>
        <v>-850113.7259582642</v>
      </c>
      <c r="F214" s="649"/>
      <c r="G214" s="649"/>
      <c r="H214" s="649"/>
      <c r="I214" s="567">
        <f t="shared" ref="I214:AH214" si="132">I206*0.86</f>
        <v>-1881019.8112500547</v>
      </c>
      <c r="J214" s="567">
        <f t="shared" si="132"/>
        <v>0</v>
      </c>
      <c r="K214" s="567">
        <f>K206*0.86</f>
        <v>0</v>
      </c>
      <c r="L214" s="567">
        <f t="shared" si="132"/>
        <v>0</v>
      </c>
      <c r="M214" s="567">
        <f t="shared" si="132"/>
        <v>-6395317.5569354584</v>
      </c>
      <c r="N214" s="567">
        <f t="shared" si="132"/>
        <v>-179929.08815176808</v>
      </c>
      <c r="O214" s="567">
        <f t="shared" si="132"/>
        <v>-229253.50124136309</v>
      </c>
      <c r="P214" s="567">
        <f t="shared" si="132"/>
        <v>-49822.161074156305</v>
      </c>
      <c r="Q214" s="567">
        <f t="shared" si="132"/>
        <v>-18910.855688204116</v>
      </c>
      <c r="R214" s="567">
        <f t="shared" si="132"/>
        <v>-5833367.5790046081</v>
      </c>
      <c r="S214" s="567">
        <f t="shared" si="132"/>
        <v>-32383.940066726929</v>
      </c>
      <c r="T214" s="567">
        <f t="shared" si="132"/>
        <v>-20672.364757012008</v>
      </c>
      <c r="U214" s="567">
        <f t="shared" si="132"/>
        <v>-8242.2405117950348</v>
      </c>
      <c r="V214" s="567">
        <f t="shared" si="132"/>
        <v>-21153.395436943847</v>
      </c>
      <c r="W214" s="567">
        <f t="shared" si="132"/>
        <v>-1582.4310028809725</v>
      </c>
      <c r="X214" s="567">
        <f t="shared" si="132"/>
        <v>-357019.84124340996</v>
      </c>
      <c r="Y214" s="567">
        <f t="shared" si="132"/>
        <v>-299903.88348489848</v>
      </c>
      <c r="Z214" s="567">
        <f t="shared" si="132"/>
        <v>-57115.957758511417</v>
      </c>
      <c r="AA214" s="567">
        <f t="shared" si="132"/>
        <v>-3618933.6224295078</v>
      </c>
      <c r="AB214" s="567">
        <f t="shared" si="132"/>
        <v>-192212.82943995504</v>
      </c>
      <c r="AC214" s="567">
        <f t="shared" si="130"/>
        <v>-174415.84512732143</v>
      </c>
      <c r="AD214" s="567">
        <f t="shared" si="130"/>
        <v>-17796.984312633598</v>
      </c>
      <c r="AE214" s="567">
        <f t="shared" si="130"/>
        <v>0</v>
      </c>
      <c r="AF214" s="567">
        <f t="shared" si="132"/>
        <v>-53572.127095544805</v>
      </c>
      <c r="AG214" s="567">
        <f t="shared" si="132"/>
        <v>-53572.127095544805</v>
      </c>
      <c r="AH214" s="567">
        <f t="shared" si="132"/>
        <v>-1186262.5429999991</v>
      </c>
      <c r="AI214" s="567">
        <f t="shared" si="131"/>
        <v>-14534452.057352198</v>
      </c>
      <c r="AJ214" s="567">
        <f>AJ206*0.86</f>
        <v>-4890247.1520417305</v>
      </c>
      <c r="AK214" s="244">
        <f t="shared" si="88"/>
        <v>-19424699.20939393</v>
      </c>
      <c r="AM214" s="101">
        <f>'9a. Summary Schedules'!C214</f>
        <v>-19424699.209393926</v>
      </c>
      <c r="AN214" s="101">
        <f>AK214-AM214</f>
        <v>0</v>
      </c>
    </row>
    <row r="215" spans="1:40" x14ac:dyDescent="0.3">
      <c r="A215" s="157" t="s">
        <v>1050</v>
      </c>
      <c r="B215" s="35"/>
      <c r="C215" s="35"/>
      <c r="D215" s="567">
        <f t="shared" si="128"/>
        <v>-5288793.0586952884</v>
      </c>
      <c r="E215" s="567">
        <f t="shared" si="128"/>
        <v>-5115319.5740974015</v>
      </c>
      <c r="F215" s="649"/>
      <c r="G215" s="649"/>
      <c r="H215" s="649"/>
      <c r="I215" s="567">
        <f>I207*0.86</f>
        <v>-173473.48459788694</v>
      </c>
      <c r="J215" s="567">
        <f>J207*0.86</f>
        <v>0</v>
      </c>
      <c r="K215" s="567">
        <f>K207*0.86</f>
        <v>0</v>
      </c>
      <c r="L215" s="567">
        <f t="shared" ref="L215:AB215" si="133">L207*0.86</f>
        <v>0</v>
      </c>
      <c r="M215" s="567">
        <f t="shared" si="133"/>
        <v>-3357745.9460364827</v>
      </c>
      <c r="N215" s="567">
        <f t="shared" si="133"/>
        <v>-571832.07566429873</v>
      </c>
      <c r="O215" s="567">
        <f t="shared" si="133"/>
        <v>-952478.10481895367</v>
      </c>
      <c r="P215" s="567">
        <f t="shared" si="133"/>
        <v>-254792.74091736277</v>
      </c>
      <c r="Q215" s="567">
        <f t="shared" si="133"/>
        <v>-265031.74034913338</v>
      </c>
      <c r="R215" s="567">
        <f t="shared" si="133"/>
        <v>-530856.51696797565</v>
      </c>
      <c r="S215" s="567">
        <f t="shared" si="133"/>
        <v>-131493.65983056548</v>
      </c>
      <c r="T215" s="567">
        <f t="shared" si="133"/>
        <v>-289718.92647356365</v>
      </c>
      <c r="U215" s="567">
        <f t="shared" si="133"/>
        <v>-193778.43464198257</v>
      </c>
      <c r="V215" s="567">
        <f t="shared" si="133"/>
        <v>-166976.31982597889</v>
      </c>
      <c r="W215" s="567">
        <f t="shared" si="133"/>
        <v>-787.42654666826945</v>
      </c>
      <c r="X215" s="567">
        <f t="shared" si="133"/>
        <v>-242869.67690790605</v>
      </c>
      <c r="Y215" s="567">
        <f t="shared" si="133"/>
        <v>-224306.31616128137</v>
      </c>
      <c r="Z215" s="567">
        <f t="shared" si="133"/>
        <v>-18563.360746624643</v>
      </c>
      <c r="AA215" s="567">
        <f t="shared" si="133"/>
        <v>-14173.00140319998</v>
      </c>
      <c r="AB215" s="567">
        <f t="shared" si="133"/>
        <v>-66464.557148997308</v>
      </c>
      <c r="AC215" s="567">
        <f t="shared" si="130"/>
        <v>-60568.967697834916</v>
      </c>
      <c r="AD215" s="567">
        <f t="shared" si="130"/>
        <v>-5895.5894511623756</v>
      </c>
      <c r="AE215" s="567">
        <f t="shared" si="130"/>
        <v>0</v>
      </c>
      <c r="AF215" s="567">
        <f>AF207*0.86</f>
        <v>-13220.346018913444</v>
      </c>
      <c r="AG215" s="567">
        <f>AG207*0.86</f>
        <v>-13220.346018913444</v>
      </c>
      <c r="AH215" s="567">
        <f>AH207*0.86</f>
        <v>51415.65802736528</v>
      </c>
      <c r="AI215" s="567">
        <f t="shared" si="131"/>
        <v>-8931850.9281834215</v>
      </c>
      <c r="AJ215" s="567">
        <f>AJ207*0.86</f>
        <v>-922945.12489141908</v>
      </c>
      <c r="AK215" s="244">
        <f>AI215+AJ215</f>
        <v>-9854796.0530748405</v>
      </c>
      <c r="AM215" s="101">
        <f>'9a. Summary Schedules'!C215</f>
        <v>-9854796.0530748405</v>
      </c>
      <c r="AN215" s="101">
        <f>AK215-AM215</f>
        <v>0</v>
      </c>
    </row>
    <row r="216" spans="1:40" ht="14.5" x14ac:dyDescent="0.45">
      <c r="A216" s="157" t="s">
        <v>0</v>
      </c>
      <c r="B216" s="35"/>
      <c r="C216" s="35"/>
      <c r="D216" s="576">
        <f t="shared" si="128"/>
        <v>0</v>
      </c>
      <c r="E216" s="576">
        <f t="shared" si="128"/>
        <v>0</v>
      </c>
      <c r="F216" s="650"/>
      <c r="G216" s="650"/>
      <c r="H216" s="650"/>
      <c r="I216" s="576">
        <f t="shared" ref="I216:AH216" si="134">I208*0.86</f>
        <v>0</v>
      </c>
      <c r="J216" s="576">
        <f t="shared" si="134"/>
        <v>0</v>
      </c>
      <c r="K216" s="576">
        <f>K208*0.86</f>
        <v>0</v>
      </c>
      <c r="L216" s="576">
        <f t="shared" si="134"/>
        <v>0</v>
      </c>
      <c r="M216" s="576">
        <f t="shared" si="134"/>
        <v>0</v>
      </c>
      <c r="N216" s="576">
        <f t="shared" si="134"/>
        <v>0</v>
      </c>
      <c r="O216" s="576">
        <f t="shared" si="134"/>
        <v>0</v>
      </c>
      <c r="P216" s="576">
        <f t="shared" si="134"/>
        <v>0</v>
      </c>
      <c r="Q216" s="576">
        <f t="shared" si="134"/>
        <v>0</v>
      </c>
      <c r="R216" s="576">
        <f t="shared" si="134"/>
        <v>0</v>
      </c>
      <c r="S216" s="576">
        <f t="shared" si="134"/>
        <v>0</v>
      </c>
      <c r="T216" s="576">
        <f t="shared" si="134"/>
        <v>0</v>
      </c>
      <c r="U216" s="576">
        <f t="shared" si="134"/>
        <v>0</v>
      </c>
      <c r="V216" s="576">
        <f t="shared" si="134"/>
        <v>0</v>
      </c>
      <c r="W216" s="576">
        <f t="shared" si="134"/>
        <v>0</v>
      </c>
      <c r="X216" s="576">
        <f t="shared" si="134"/>
        <v>0</v>
      </c>
      <c r="Y216" s="576">
        <f t="shared" si="134"/>
        <v>0</v>
      </c>
      <c r="Z216" s="576">
        <f t="shared" si="134"/>
        <v>0</v>
      </c>
      <c r="AA216" s="576">
        <f t="shared" si="134"/>
        <v>0</v>
      </c>
      <c r="AB216" s="576">
        <f t="shared" si="134"/>
        <v>0</v>
      </c>
      <c r="AC216" s="576">
        <f t="shared" si="130"/>
        <v>0</v>
      </c>
      <c r="AD216" s="576">
        <f t="shared" si="130"/>
        <v>0</v>
      </c>
      <c r="AE216" s="576">
        <f t="shared" si="130"/>
        <v>0</v>
      </c>
      <c r="AF216" s="576">
        <f t="shared" si="134"/>
        <v>0</v>
      </c>
      <c r="AG216" s="576">
        <f t="shared" si="134"/>
        <v>0</v>
      </c>
      <c r="AH216" s="576">
        <f t="shared" si="134"/>
        <v>5928251.9062000001</v>
      </c>
      <c r="AI216" s="576">
        <f t="shared" si="131"/>
        <v>5928251.9062000001</v>
      </c>
      <c r="AJ216" s="576">
        <f>AJ208*0.86</f>
        <v>1062611.1839999999</v>
      </c>
      <c r="AK216" s="600">
        <f t="shared" si="88"/>
        <v>6990863.0901999995</v>
      </c>
      <c r="AM216" s="101">
        <f>'9a. Summary Schedules'!C216</f>
        <v>6990863.0902000004</v>
      </c>
      <c r="AN216" s="101">
        <f>AK216-AM216</f>
        <v>0</v>
      </c>
    </row>
    <row r="217" spans="1:40" x14ac:dyDescent="0.3">
      <c r="A217" s="157" t="s">
        <v>4</v>
      </c>
      <c r="B217" s="35"/>
      <c r="C217" s="35"/>
      <c r="D217" s="243">
        <f t="shared" ref="D217:AH217" si="135">SUM(D213:D216)</f>
        <v>-8019926.5959036071</v>
      </c>
      <c r="E217" s="243">
        <f t="shared" si="135"/>
        <v>-5965433.3000556659</v>
      </c>
      <c r="F217" s="642"/>
      <c r="G217" s="642"/>
      <c r="H217" s="642"/>
      <c r="I217" s="243">
        <f t="shared" si="135"/>
        <v>-2054493.2958479417</v>
      </c>
      <c r="J217" s="567">
        <f t="shared" si="135"/>
        <v>0</v>
      </c>
      <c r="K217" s="567">
        <f t="shared" si="135"/>
        <v>0</v>
      </c>
      <c r="L217" s="567">
        <f t="shared" si="135"/>
        <v>0</v>
      </c>
      <c r="M217" s="243">
        <f t="shared" si="135"/>
        <v>-9753063.5029719416</v>
      </c>
      <c r="N217" s="243">
        <f t="shared" si="135"/>
        <v>-751761.16381606681</v>
      </c>
      <c r="O217" s="243">
        <f t="shared" si="135"/>
        <v>-1181731.6060603168</v>
      </c>
      <c r="P217" s="243">
        <f t="shared" si="135"/>
        <v>-304614.90199151909</v>
      </c>
      <c r="Q217" s="243">
        <f t="shared" si="135"/>
        <v>-283942.5960373375</v>
      </c>
      <c r="R217" s="243">
        <f t="shared" si="135"/>
        <v>-6364224.0959725836</v>
      </c>
      <c r="S217" s="243">
        <f t="shared" si="135"/>
        <v>-163877.59989729241</v>
      </c>
      <c r="T217" s="243">
        <f t="shared" si="135"/>
        <v>-310391.29123057565</v>
      </c>
      <c r="U217" s="243">
        <f t="shared" si="135"/>
        <v>-202020.67515377761</v>
      </c>
      <c r="V217" s="243">
        <f t="shared" si="135"/>
        <v>-188129.71526292275</v>
      </c>
      <c r="W217" s="243">
        <f t="shared" si="135"/>
        <v>-2369.8575495492419</v>
      </c>
      <c r="X217" s="243">
        <f t="shared" si="135"/>
        <v>-599889.51815131598</v>
      </c>
      <c r="Y217" s="243">
        <f t="shared" si="135"/>
        <v>-524210.19964617986</v>
      </c>
      <c r="Z217" s="243">
        <f t="shared" si="135"/>
        <v>-75679.318505136063</v>
      </c>
      <c r="AA217" s="243">
        <f t="shared" si="135"/>
        <v>-3633106.6238327078</v>
      </c>
      <c r="AB217" s="243">
        <f t="shared" si="135"/>
        <v>-258677.38658895233</v>
      </c>
      <c r="AC217" s="243">
        <f t="shared" si="135"/>
        <v>-234984.81282515635</v>
      </c>
      <c r="AD217" s="243">
        <f t="shared" si="135"/>
        <v>-23692.573763795976</v>
      </c>
      <c r="AE217" s="243">
        <f t="shared" si="135"/>
        <v>0</v>
      </c>
      <c r="AF217" s="243">
        <f t="shared" si="135"/>
        <v>-66792.473114458247</v>
      </c>
      <c r="AG217" s="243">
        <f t="shared" si="135"/>
        <v>-66792.473114458247</v>
      </c>
      <c r="AH217" s="243">
        <f t="shared" si="135"/>
        <v>-1376319.7059726343</v>
      </c>
      <c r="AI217" s="243">
        <f t="shared" si="131"/>
        <v>-23707775.806535605</v>
      </c>
      <c r="AJ217" s="243">
        <f>SUM(AJ213:AJ216)</f>
        <v>-5327558.2061331496</v>
      </c>
      <c r="AK217" s="244">
        <f t="shared" si="88"/>
        <v>-29035334.012668755</v>
      </c>
      <c r="AM217" s="101">
        <f>'9a. Summary Schedules'!C217</f>
        <v>-29035334.012668766</v>
      </c>
      <c r="AN217" s="101">
        <f>AK217-AM217</f>
        <v>0</v>
      </c>
    </row>
    <row r="218" spans="1:40" x14ac:dyDescent="0.3">
      <c r="A218" s="157"/>
      <c r="B218" s="35"/>
      <c r="C218" s="35"/>
      <c r="D218" s="243"/>
      <c r="E218" s="243"/>
      <c r="F218" s="642"/>
      <c r="G218" s="642"/>
      <c r="H218" s="642"/>
      <c r="I218" s="243"/>
      <c r="J218" s="243"/>
      <c r="K218" s="243"/>
      <c r="L218" s="243"/>
      <c r="M218" s="243"/>
      <c r="N218" s="243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  <c r="AA218" s="243"/>
      <c r="AB218" s="243"/>
      <c r="AC218" s="243"/>
      <c r="AD218" s="243"/>
      <c r="AE218" s="243"/>
      <c r="AF218" s="243"/>
      <c r="AG218" s="243"/>
      <c r="AH218" s="243"/>
      <c r="AI218" s="243"/>
      <c r="AJ218" s="243"/>
      <c r="AK218" s="244"/>
    </row>
    <row r="219" spans="1:40" x14ac:dyDescent="0.3">
      <c r="A219" s="157"/>
      <c r="B219" s="35"/>
      <c r="C219" s="35"/>
      <c r="D219" s="243"/>
      <c r="E219" s="243"/>
      <c r="F219" s="642"/>
      <c r="G219" s="642"/>
      <c r="H219" s="642"/>
      <c r="I219" s="243"/>
      <c r="J219" s="243"/>
      <c r="K219" s="243"/>
      <c r="L219" s="243"/>
      <c r="M219" s="243"/>
      <c r="N219" s="243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  <c r="AA219" s="243"/>
      <c r="AB219" s="243"/>
      <c r="AC219" s="243"/>
      <c r="AD219" s="243"/>
      <c r="AE219" s="243"/>
      <c r="AF219" s="243"/>
      <c r="AG219" s="243"/>
      <c r="AH219" s="243"/>
      <c r="AI219" s="243"/>
      <c r="AJ219" s="243"/>
      <c r="AK219" s="244"/>
    </row>
    <row r="220" spans="1:40" x14ac:dyDescent="0.3">
      <c r="A220" s="157" t="s">
        <v>7</v>
      </c>
      <c r="B220" s="35"/>
      <c r="C220" s="35"/>
      <c r="D220" s="567">
        <f>D147</f>
        <v>83781010.040029466</v>
      </c>
      <c r="E220" s="567">
        <f>E147</f>
        <v>81032975.924593717</v>
      </c>
      <c r="F220" s="649"/>
      <c r="G220" s="649"/>
      <c r="H220" s="649"/>
      <c r="I220" s="567">
        <f t="shared" ref="I220:AH220" si="136">I147</f>
        <v>2748034.1154357539</v>
      </c>
      <c r="J220" s="567">
        <f t="shared" si="136"/>
        <v>0</v>
      </c>
      <c r="K220" s="567">
        <f>K147</f>
        <v>0</v>
      </c>
      <c r="L220" s="567">
        <f t="shared" si="136"/>
        <v>0</v>
      </c>
      <c r="M220" s="567">
        <f t="shared" si="136"/>
        <v>39556513.133117981</v>
      </c>
      <c r="N220" s="567">
        <f t="shared" si="136"/>
        <v>6736567.7375482954</v>
      </c>
      <c r="O220" s="567">
        <f t="shared" si="136"/>
        <v>11220834.830208711</v>
      </c>
      <c r="P220" s="567">
        <f t="shared" si="136"/>
        <v>3001630.4283585846</v>
      </c>
      <c r="Q220" s="567">
        <f t="shared" si="136"/>
        <v>3122252.7511912305</v>
      </c>
      <c r="R220" s="567">
        <f t="shared" si="136"/>
        <v>6253848.0047998372</v>
      </c>
      <c r="S220" s="567">
        <f t="shared" si="136"/>
        <v>1549084.0479308248</v>
      </c>
      <c r="T220" s="567">
        <f t="shared" si="136"/>
        <v>3413084.4632519567</v>
      </c>
      <c r="U220" s="567">
        <f t="shared" si="136"/>
        <v>2282840.72649353</v>
      </c>
      <c r="V220" s="567">
        <f t="shared" si="136"/>
        <v>1967093.7272406367</v>
      </c>
      <c r="W220" s="567">
        <f t="shared" si="136"/>
        <v>9276.416094379143</v>
      </c>
      <c r="X220" s="567">
        <f t="shared" si="136"/>
        <v>24357903.798237972</v>
      </c>
      <c r="Y220" s="567">
        <f t="shared" si="136"/>
        <v>22496145.834069695</v>
      </c>
      <c r="Z220" s="567">
        <f t="shared" si="136"/>
        <v>1861757.9641682764</v>
      </c>
      <c r="AA220" s="567">
        <f t="shared" si="136"/>
        <v>1128816.6600074177</v>
      </c>
      <c r="AB220" s="567">
        <f t="shared" si="136"/>
        <v>5765239.3589558424</v>
      </c>
      <c r="AC220" s="567">
        <f>AC147</f>
        <v>5253846.7339829542</v>
      </c>
      <c r="AD220" s="567">
        <f>AD147</f>
        <v>511392.6249728871</v>
      </c>
      <c r="AE220" s="567">
        <f>AE147</f>
        <v>0</v>
      </c>
      <c r="AF220" s="567">
        <f t="shared" si="136"/>
        <v>2128006.7634274056</v>
      </c>
      <c r="AG220" s="567">
        <f t="shared" si="136"/>
        <v>2128006.7634274056</v>
      </c>
      <c r="AH220" s="567">
        <f t="shared" si="136"/>
        <v>0</v>
      </c>
      <c r="AI220" s="243">
        <f t="shared" ref="AI220:AI222" si="137">SUM(E220,I220:K220,L220,N220:W220,Y220:Z220,AA220:AA220,AC220:AE220,AG220:AG220,AH220)</f>
        <v>156717489.7537761</v>
      </c>
      <c r="AJ220" s="243">
        <f>AJ147</f>
        <v>25225409.230132557</v>
      </c>
      <c r="AK220" s="244">
        <f t="shared" si="88"/>
        <v>181942898.98390865</v>
      </c>
      <c r="AM220" s="101">
        <f>'9a. Summary Schedules'!C220</f>
        <v>181942898.98390862</v>
      </c>
      <c r="AN220" s="101">
        <f>AK220-AM220</f>
        <v>0</v>
      </c>
    </row>
    <row r="221" spans="1:40" ht="14.5" x14ac:dyDescent="0.45">
      <c r="A221" s="157" t="s">
        <v>5</v>
      </c>
      <c r="B221" s="35"/>
      <c r="C221" s="35"/>
      <c r="D221" s="576">
        <f>D217</f>
        <v>-8019926.5959036071</v>
      </c>
      <c r="E221" s="576">
        <f>E217</f>
        <v>-5965433.3000556659</v>
      </c>
      <c r="F221" s="650"/>
      <c r="G221" s="650"/>
      <c r="H221" s="650"/>
      <c r="I221" s="576">
        <f t="shared" ref="I221:AH221" si="138">I217</f>
        <v>-2054493.2958479417</v>
      </c>
      <c r="J221" s="576">
        <f t="shared" si="138"/>
        <v>0</v>
      </c>
      <c r="K221" s="576">
        <f>K217</f>
        <v>0</v>
      </c>
      <c r="L221" s="576">
        <f t="shared" si="138"/>
        <v>0</v>
      </c>
      <c r="M221" s="576">
        <f t="shared" si="138"/>
        <v>-9753063.5029719416</v>
      </c>
      <c r="N221" s="576">
        <f t="shared" si="138"/>
        <v>-751761.16381606681</v>
      </c>
      <c r="O221" s="576">
        <f t="shared" si="138"/>
        <v>-1181731.6060603168</v>
      </c>
      <c r="P221" s="576">
        <f t="shared" si="138"/>
        <v>-304614.90199151909</v>
      </c>
      <c r="Q221" s="576">
        <f t="shared" si="138"/>
        <v>-283942.5960373375</v>
      </c>
      <c r="R221" s="576">
        <f t="shared" si="138"/>
        <v>-6364224.0959725836</v>
      </c>
      <c r="S221" s="576">
        <f t="shared" si="138"/>
        <v>-163877.59989729241</v>
      </c>
      <c r="T221" s="576">
        <f t="shared" si="138"/>
        <v>-310391.29123057565</v>
      </c>
      <c r="U221" s="576">
        <f t="shared" si="138"/>
        <v>-202020.67515377761</v>
      </c>
      <c r="V221" s="576">
        <f t="shared" si="138"/>
        <v>-188129.71526292275</v>
      </c>
      <c r="W221" s="576">
        <f t="shared" si="138"/>
        <v>-2369.8575495492419</v>
      </c>
      <c r="X221" s="576">
        <f t="shared" si="138"/>
        <v>-599889.51815131598</v>
      </c>
      <c r="Y221" s="576">
        <f t="shared" si="138"/>
        <v>-524210.19964617986</v>
      </c>
      <c r="Z221" s="576">
        <f t="shared" si="138"/>
        <v>-75679.318505136063</v>
      </c>
      <c r="AA221" s="576">
        <f t="shared" si="138"/>
        <v>-3633106.6238327078</v>
      </c>
      <c r="AB221" s="576">
        <f t="shared" si="138"/>
        <v>-258677.38658895233</v>
      </c>
      <c r="AC221" s="576">
        <f>AC217</f>
        <v>-234984.81282515635</v>
      </c>
      <c r="AD221" s="576">
        <f>AD217</f>
        <v>-23692.573763795976</v>
      </c>
      <c r="AE221" s="576">
        <f>AE217</f>
        <v>0</v>
      </c>
      <c r="AF221" s="576">
        <f t="shared" si="138"/>
        <v>-66792.473114458247</v>
      </c>
      <c r="AG221" s="576">
        <f t="shared" si="138"/>
        <v>-66792.473114458247</v>
      </c>
      <c r="AH221" s="576">
        <f t="shared" si="138"/>
        <v>-1376319.7059726343</v>
      </c>
      <c r="AI221" s="580">
        <f t="shared" si="137"/>
        <v>-23707775.806535605</v>
      </c>
      <c r="AJ221" s="580">
        <f>AJ217</f>
        <v>-5327558.2061331496</v>
      </c>
      <c r="AK221" s="600">
        <f t="shared" si="88"/>
        <v>-29035334.012668755</v>
      </c>
      <c r="AM221" s="101">
        <f>'9a. Summary Schedules'!C221</f>
        <v>-29035334.012668766</v>
      </c>
      <c r="AN221" s="101">
        <f>AK221-AM221</f>
        <v>0</v>
      </c>
    </row>
    <row r="222" spans="1:40" x14ac:dyDescent="0.3">
      <c r="A222" s="157" t="s">
        <v>6</v>
      </c>
      <c r="B222" s="35"/>
      <c r="C222" s="35"/>
      <c r="D222" s="243">
        <f t="shared" ref="D222:AH222" si="139">D220+D221</f>
        <v>75761083.444125861</v>
      </c>
      <c r="E222" s="243">
        <f t="shared" si="139"/>
        <v>75067542.624538049</v>
      </c>
      <c r="F222" s="642"/>
      <c r="G222" s="642"/>
      <c r="H222" s="642"/>
      <c r="I222" s="243">
        <f t="shared" si="139"/>
        <v>693540.81958781229</v>
      </c>
      <c r="J222" s="567">
        <f t="shared" si="139"/>
        <v>0</v>
      </c>
      <c r="K222" s="567">
        <f t="shared" si="139"/>
        <v>0</v>
      </c>
      <c r="L222" s="567">
        <f t="shared" si="139"/>
        <v>0</v>
      </c>
      <c r="M222" s="243">
        <f t="shared" si="139"/>
        <v>29803449.630146042</v>
      </c>
      <c r="N222" s="243">
        <f t="shared" si="139"/>
        <v>5984806.5737322289</v>
      </c>
      <c r="O222" s="243">
        <f t="shared" si="139"/>
        <v>10039103.224148395</v>
      </c>
      <c r="P222" s="243">
        <f t="shared" si="139"/>
        <v>2697015.5263670655</v>
      </c>
      <c r="Q222" s="243">
        <f t="shared" si="139"/>
        <v>2838310.1551538929</v>
      </c>
      <c r="R222" s="243">
        <f t="shared" si="139"/>
        <v>-110376.09117274638</v>
      </c>
      <c r="S222" s="243">
        <f t="shared" si="139"/>
        <v>1385206.4480335324</v>
      </c>
      <c r="T222" s="243">
        <f t="shared" si="139"/>
        <v>3102693.1720213811</v>
      </c>
      <c r="U222" s="243">
        <f t="shared" si="139"/>
        <v>2080820.0513397523</v>
      </c>
      <c r="V222" s="243">
        <f t="shared" si="139"/>
        <v>1778964.011977714</v>
      </c>
      <c r="W222" s="243">
        <f t="shared" si="139"/>
        <v>6906.5585448299007</v>
      </c>
      <c r="X222" s="243">
        <f t="shared" si="139"/>
        <v>23758014.280086655</v>
      </c>
      <c r="Y222" s="243">
        <f t="shared" si="139"/>
        <v>21971935.634423517</v>
      </c>
      <c r="Z222" s="243">
        <f t="shared" si="139"/>
        <v>1786078.6456631403</v>
      </c>
      <c r="AA222" s="243">
        <f t="shared" si="139"/>
        <v>-2504289.9638252901</v>
      </c>
      <c r="AB222" s="243">
        <f t="shared" si="139"/>
        <v>5506561.9723668899</v>
      </c>
      <c r="AC222" s="243">
        <f>AC220+AC221</f>
        <v>5018861.9211577978</v>
      </c>
      <c r="AD222" s="243">
        <f>AD220+AD221</f>
        <v>487700.05120909115</v>
      </c>
      <c r="AE222" s="243">
        <f>AE220+AE221</f>
        <v>0</v>
      </c>
      <c r="AF222" s="243">
        <f t="shared" si="139"/>
        <v>2061214.2903129475</v>
      </c>
      <c r="AG222" s="243">
        <f t="shared" si="139"/>
        <v>2061214.2903129475</v>
      </c>
      <c r="AH222" s="243">
        <f t="shared" si="139"/>
        <v>-1376319.7059726343</v>
      </c>
      <c r="AI222" s="243">
        <f t="shared" si="137"/>
        <v>133009713.94724047</v>
      </c>
      <c r="AJ222" s="243">
        <f>AJ220+AJ221</f>
        <v>19897851.023999408</v>
      </c>
      <c r="AK222" s="244">
        <f t="shared" si="88"/>
        <v>152907564.97123986</v>
      </c>
      <c r="AM222" s="101">
        <f>'9a. Summary Schedules'!C222</f>
        <v>152907564.97123986</v>
      </c>
      <c r="AN222" s="101">
        <f>AK222-AM222</f>
        <v>0</v>
      </c>
    </row>
    <row r="223" spans="1:40" ht="13.5" thickBot="1" x14ac:dyDescent="0.35">
      <c r="A223" s="33"/>
      <c r="B223" s="34"/>
      <c r="C223" s="34"/>
      <c r="D223" s="588"/>
      <c r="E223" s="601"/>
      <c r="F223" s="659"/>
      <c r="G223" s="659"/>
      <c r="H223" s="659"/>
      <c r="I223" s="601"/>
      <c r="J223" s="601"/>
      <c r="K223" s="601"/>
      <c r="L223" s="601"/>
      <c r="M223" s="601"/>
      <c r="N223" s="601"/>
      <c r="O223" s="601"/>
      <c r="P223" s="601"/>
      <c r="Q223" s="601"/>
      <c r="R223" s="601"/>
      <c r="S223" s="601"/>
      <c r="T223" s="601"/>
      <c r="U223" s="601"/>
      <c r="V223" s="601"/>
      <c r="W223" s="601"/>
      <c r="X223" s="601"/>
      <c r="Y223" s="601"/>
      <c r="Z223" s="601"/>
      <c r="AA223" s="601"/>
      <c r="AB223" s="601"/>
      <c r="AC223" s="601"/>
      <c r="AD223" s="601"/>
      <c r="AE223" s="601"/>
      <c r="AF223" s="601"/>
      <c r="AG223" s="601"/>
      <c r="AH223" s="601"/>
      <c r="AI223" s="601"/>
      <c r="AJ223" s="601"/>
      <c r="AK223" s="602"/>
    </row>
    <row r="224" spans="1:40" x14ac:dyDescent="0.3"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6"/>
      <c r="AM224" s="100"/>
      <c r="AN224" s="100"/>
    </row>
  </sheetData>
  <customSheetViews>
    <customSheetView guid="{121E4431-22F3-11D5-8242-00600818425F}" scale="75" showRuler="0">
      <pane xSplit="2" ySplit="7" topLeftCell="C410" activePane="bottomRight" state="frozen"/>
      <selection pane="bottomRight" activeCell="I410" sqref="I410"/>
      <rowBreaks count="9" manualBreakCount="9">
        <brk id="30" max="16383" man="1"/>
        <brk id="93" max="16383" man="1"/>
        <brk id="136" max="16383" man="1"/>
        <brk id="191" max="16383" man="1"/>
        <brk id="217" max="16383" man="1"/>
        <brk id="261" max="16383" man="1"/>
        <brk id="316" max="16383" man="1"/>
        <brk id="342" max="16383" man="1"/>
        <brk id="386" max="16383" man="1"/>
      </rowBreaks>
      <colBreaks count="4" manualBreakCount="4">
        <brk id="6" max="1048575" man="1"/>
        <brk id="18" max="1048575" man="1"/>
        <brk id="24" max="1048575" man="1"/>
        <brk id="35" max="1048575" man="1"/>
      </colBreaks>
      <pageMargins left="0" right="0" top="0.5" bottom="0.4" header="0.2" footer="0"/>
      <printOptions horizontalCentered="1" gridLines="1"/>
      <pageSetup scale="65" pageOrder="overThenDown" orientation="landscape" horizontalDpi="300" vertic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showRuler="0">
      <pane xSplit="2" ySplit="7" topLeftCell="C410" activePane="bottomRight" state="frozen"/>
      <selection pane="bottomRight" activeCell="I410" sqref="I410"/>
      <rowBreaks count="10" manualBreakCount="10">
        <brk id="30" max="16383" man="1"/>
        <brk id="93" max="16383" man="1"/>
        <brk id="136" max="16383" man="1"/>
        <brk id="191" max="16383" man="1"/>
        <brk id="217" max="16383" man="1"/>
        <brk id="261" max="16383" man="1"/>
        <brk id="316" max="16383" man="1"/>
        <brk id="342" max="16383" man="1"/>
        <brk id="386" max="16383" man="1"/>
        <brk id="449" max="16383" man="1"/>
      </rowBreaks>
      <colBreaks count="4" manualBreakCount="4">
        <brk id="6" max="1048575" man="1"/>
        <brk id="18" max="1048575" man="1"/>
        <brk id="24" max="1048575" man="1"/>
        <brk id="35" max="1048575" man="1"/>
      </colBreaks>
      <pageMargins left="0" right="0" top="0.5" bottom="0.4" header="0.2" footer="0"/>
      <printOptions horizontalCentered="1" gridLines="1"/>
      <pageSetup scale="65" pageOrder="overThenDown" orientation="landscape" horizontalDpi="300" vertic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showRuler="0">
      <pane xSplit="2" ySplit="7" topLeftCell="C410" activePane="bottomRight" state="frozen"/>
      <selection pane="bottomRight" activeCell="I410" sqref="I410"/>
      <rowBreaks count="10" manualBreakCount="10">
        <brk id="30" max="16383" man="1"/>
        <brk id="93" max="16383" man="1"/>
        <brk id="136" max="16383" man="1"/>
        <brk id="191" max="16383" man="1"/>
        <brk id="217" max="16383" man="1"/>
        <brk id="261" max="16383" man="1"/>
        <brk id="316" max="16383" man="1"/>
        <brk id="342" max="16383" man="1"/>
        <brk id="386" max="16383" man="1"/>
        <brk id="449" max="16383" man="1"/>
      </rowBreaks>
      <colBreaks count="4" manualBreakCount="4">
        <brk id="6" max="1048575" man="1"/>
        <brk id="18" max="1048575" man="1"/>
        <brk id="24" max="1048575" man="1"/>
        <brk id="35" max="1048575" man="1"/>
      </colBreaks>
      <pageMargins left="0" right="0" top="0.5" bottom="0.4" header="0.2" footer="0"/>
      <printOptions horizontalCentered="1" gridLines="1"/>
      <pageSetup scale="65" pageOrder="overThenDown" orientation="landscape" horizontalDpi="300" verticalDpi="30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"/>
  <pageSetup scale="56" pageOrder="overThenDown" orientation="landscape" horizontalDpi="300" verticalDpi="300" r:id="rId4"/>
  <headerFooter alignWithMargins="0">
    <oddFooter>&amp;L&amp;8&amp;F&amp;C&amp;8&amp;A
page &amp;P&amp;R&amp;8&amp;D
&amp;T</oddFooter>
  </headerFooter>
  <rowBreaks count="4" manualBreakCount="4">
    <brk id="30" max="16383" man="1"/>
    <brk id="92" max="16383" man="1"/>
    <brk id="118" max="16383" man="1"/>
    <brk id="165" max="16383" man="1"/>
  </rowBreaks>
  <colBreaks count="3" manualBreakCount="3">
    <brk id="12" max="222" man="1"/>
    <brk id="23" max="1048575" man="1"/>
    <brk id="3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71"/>
  <sheetViews>
    <sheetView zoomScale="75" zoomScaleNormal="75" workbookViewId="0">
      <pane xSplit="4" ySplit="6" topLeftCell="E7" activePane="bottomRight" state="frozen"/>
      <selection activeCell="B49" sqref="A1:XFD1048576"/>
      <selection pane="topRight" activeCell="B49" sqref="A1:XFD1048576"/>
      <selection pane="bottomLeft" activeCell="B49" sqref="A1:XFD1048576"/>
      <selection pane="bottomRight" activeCell="E7" sqref="E7"/>
    </sheetView>
  </sheetViews>
  <sheetFormatPr defaultColWidth="9.1796875" defaultRowHeight="13" x14ac:dyDescent="0.3"/>
  <cols>
    <col min="1" max="1" width="20.54296875" style="32" customWidth="1"/>
    <col min="2" max="2" width="32.1796875" style="32" customWidth="1"/>
    <col min="3" max="3" width="12.81640625" style="32" hidden="1" customWidth="1"/>
    <col min="4" max="4" width="11.453125" style="32" hidden="1" customWidth="1"/>
    <col min="5" max="8" width="15" style="32" customWidth="1"/>
    <col min="9" max="15" width="12.54296875" style="32" customWidth="1"/>
    <col min="16" max="16" width="15.1796875" style="32" bestFit="1" customWidth="1"/>
    <col min="17" max="17" width="12.453125" style="32" customWidth="1"/>
    <col min="18" max="18" width="13.81640625" style="32" customWidth="1"/>
    <col min="19" max="20" width="9.1796875" style="32"/>
    <col min="21" max="21" width="11.453125" style="32" bestFit="1" customWidth="1"/>
    <col min="22" max="22" width="8.54296875" style="32" bestFit="1" customWidth="1"/>
    <col min="23" max="16384" width="9.1796875" style="32"/>
  </cols>
  <sheetData>
    <row r="1" spans="1:54" ht="15.5" x14ac:dyDescent="0.35">
      <c r="A1" s="290" t="str">
        <f>'1. RB-i'!$A$1</f>
        <v>CPS Energy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2"/>
      <c r="O1" s="42"/>
      <c r="P1" s="42"/>
      <c r="S1" s="1"/>
      <c r="T1" s="1"/>
    </row>
    <row r="2" spans="1:54" ht="15.5" x14ac:dyDescent="0.35">
      <c r="A2" s="293" t="s">
        <v>1250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5"/>
      <c r="O2" s="35"/>
      <c r="P2" s="35"/>
    </row>
    <row r="3" spans="1:54" ht="15.5" x14ac:dyDescent="0.35">
      <c r="A3" s="296" t="s">
        <v>1258</v>
      </c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5"/>
      <c r="O3" s="31"/>
      <c r="P3" s="31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</row>
    <row r="4" spans="1:54" s="5" customFormat="1" x14ac:dyDescent="0.3">
      <c r="A4" s="297"/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98"/>
    </row>
    <row r="5" spans="1:54" s="5" customFormat="1" x14ac:dyDescent="0.3">
      <c r="A5" s="713"/>
      <c r="B5" s="714"/>
      <c r="C5" s="714"/>
      <c r="D5" s="714"/>
      <c r="E5" s="714"/>
      <c r="F5" s="714"/>
      <c r="G5" s="714"/>
      <c r="H5" s="714"/>
      <c r="I5" s="714"/>
      <c r="J5" s="714"/>
      <c r="K5" s="714"/>
      <c r="L5" s="714"/>
      <c r="M5" s="714"/>
      <c r="N5" s="715"/>
      <c r="P5" s="5" t="s">
        <v>832</v>
      </c>
    </row>
    <row r="6" spans="1:54" s="5" customFormat="1" ht="13.5" thickBot="1" x14ac:dyDescent="0.35">
      <c r="A6" s="299"/>
      <c r="B6" s="282"/>
      <c r="C6" s="282" t="s">
        <v>359</v>
      </c>
      <c r="D6" s="282"/>
      <c r="E6" s="282" t="s">
        <v>355</v>
      </c>
      <c r="F6" s="282" t="s">
        <v>961</v>
      </c>
      <c r="G6" s="282" t="s">
        <v>962</v>
      </c>
      <c r="H6" s="282" t="s">
        <v>963</v>
      </c>
      <c r="I6" s="282" t="s">
        <v>964</v>
      </c>
      <c r="J6" s="282" t="s">
        <v>965</v>
      </c>
      <c r="K6" s="282" t="s">
        <v>966</v>
      </c>
      <c r="L6" s="282" t="s">
        <v>967</v>
      </c>
      <c r="M6" s="282" t="s">
        <v>968</v>
      </c>
      <c r="N6" s="300" t="s">
        <v>932</v>
      </c>
      <c r="P6" s="5" t="s">
        <v>833</v>
      </c>
      <c r="Q6" s="5" t="s">
        <v>824</v>
      </c>
    </row>
    <row r="7" spans="1:54" s="5" customFormat="1" x14ac:dyDescent="0.3">
      <c r="A7" s="163"/>
      <c r="B7" s="179"/>
      <c r="C7" s="179"/>
      <c r="D7" s="179"/>
      <c r="E7" s="179" t="s">
        <v>546</v>
      </c>
      <c r="F7" s="179" t="s">
        <v>546</v>
      </c>
      <c r="G7" s="179" t="s">
        <v>546</v>
      </c>
      <c r="H7" s="179" t="s">
        <v>546</v>
      </c>
      <c r="I7" s="179" t="s">
        <v>546</v>
      </c>
      <c r="J7" s="179" t="s">
        <v>546</v>
      </c>
      <c r="K7" s="179" t="s">
        <v>546</v>
      </c>
      <c r="L7" s="179" t="s">
        <v>546</v>
      </c>
      <c r="M7" s="179" t="s">
        <v>546</v>
      </c>
      <c r="N7" s="164" t="s">
        <v>546</v>
      </c>
    </row>
    <row r="8" spans="1:54" x14ac:dyDescent="0.3">
      <c r="A8" s="157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158"/>
      <c r="O8" s="35"/>
      <c r="P8" s="35"/>
    </row>
    <row r="9" spans="1:54" x14ac:dyDescent="0.3">
      <c r="A9" s="157" t="s">
        <v>544</v>
      </c>
      <c r="B9" s="35"/>
      <c r="C9" s="35"/>
      <c r="D9" s="35"/>
      <c r="E9" s="243"/>
      <c r="F9" s="243"/>
      <c r="G9" s="243"/>
      <c r="H9" s="243"/>
      <c r="I9" s="243"/>
      <c r="J9" s="243"/>
      <c r="K9" s="243"/>
      <c r="L9" s="243"/>
      <c r="M9" s="243"/>
      <c r="N9" s="244"/>
    </row>
    <row r="10" spans="1:54" x14ac:dyDescent="0.3">
      <c r="A10" s="157"/>
      <c r="B10" s="35" t="s">
        <v>969</v>
      </c>
      <c r="C10" s="35" t="s">
        <v>333</v>
      </c>
      <c r="D10" s="35"/>
      <c r="E10" s="243">
        <f>'9b. Summary Schedules-sf'!E$113</f>
        <v>3768542652.8006306</v>
      </c>
      <c r="F10" s="243">
        <f>$E10*'11a. AF by class'!F$10/'11a. AF by class'!$E$10</f>
        <v>1500189757.2922685</v>
      </c>
      <c r="G10" s="243">
        <f>$E10*'11a. AF by class'!G10/'11a. AF by class'!$E10</f>
        <v>444804888.69317883</v>
      </c>
      <c r="H10" s="243">
        <f>$E10*'11a. AF by class'!H10/'11a. AF by class'!$E10</f>
        <v>787807068.18277752</v>
      </c>
      <c r="I10" s="243">
        <f>$E10*'11a. AF by class'!I10/'11a. AF by class'!$E10</f>
        <v>462207593.97772014</v>
      </c>
      <c r="J10" s="243">
        <f>$E10*'11a. AF by class'!J10/'11a. AF by class'!$E10</f>
        <v>194265148.07745981</v>
      </c>
      <c r="K10" s="243">
        <f>$E10*'11a. AF by class'!K10/'11a. AF by class'!$E10</f>
        <v>287809828.70414436</v>
      </c>
      <c r="L10" s="243">
        <f>$E10*'11a. AF by class'!L10/'11a. AF by class'!$E10</f>
        <v>74919740.205981761</v>
      </c>
      <c r="M10" s="243">
        <f>$E10*'11a. AF by class'!M10/'11a. AF by class'!$E10</f>
        <v>402771.23200541158</v>
      </c>
      <c r="N10" s="244">
        <f>$E10*'11a. AF by class'!N10/'11a. AF by class'!$E10</f>
        <v>16135856.435094539</v>
      </c>
      <c r="P10" s="32">
        <f>SUM(F10:O10)</f>
        <v>3768542652.800631</v>
      </c>
      <c r="Q10" s="32">
        <f>E10-P10</f>
        <v>0</v>
      </c>
    </row>
    <row r="11" spans="1:54" x14ac:dyDescent="0.3">
      <c r="A11" s="157"/>
      <c r="B11" s="35" t="s">
        <v>1140</v>
      </c>
      <c r="C11" s="35"/>
      <c r="D11" s="35"/>
      <c r="E11" s="642"/>
      <c r="F11" s="642"/>
      <c r="G11" s="642"/>
      <c r="H11" s="642"/>
      <c r="I11" s="642"/>
      <c r="J11" s="642"/>
      <c r="K11" s="642"/>
      <c r="L11" s="642"/>
      <c r="M11" s="642"/>
      <c r="N11" s="643"/>
      <c r="O11" s="641"/>
      <c r="P11" s="641"/>
      <c r="Q11" s="641"/>
    </row>
    <row r="12" spans="1:54" x14ac:dyDescent="0.3">
      <c r="A12" s="157"/>
      <c r="B12" s="35" t="s">
        <v>1139</v>
      </c>
      <c r="C12" s="35"/>
      <c r="D12" s="35"/>
      <c r="E12" s="642"/>
      <c r="F12" s="642"/>
      <c r="G12" s="642"/>
      <c r="H12" s="642"/>
      <c r="I12" s="642"/>
      <c r="J12" s="642"/>
      <c r="K12" s="642"/>
      <c r="L12" s="642"/>
      <c r="M12" s="642"/>
      <c r="N12" s="643"/>
      <c r="O12" s="641"/>
      <c r="P12" s="641"/>
      <c r="Q12" s="641"/>
    </row>
    <row r="13" spans="1:54" x14ac:dyDescent="0.3">
      <c r="A13" s="157"/>
      <c r="B13" s="35" t="s">
        <v>947</v>
      </c>
      <c r="C13" s="35"/>
      <c r="D13" s="35"/>
      <c r="E13" s="642"/>
      <c r="F13" s="642"/>
      <c r="G13" s="642"/>
      <c r="H13" s="642"/>
      <c r="I13" s="642"/>
      <c r="J13" s="642"/>
      <c r="K13" s="642"/>
      <c r="L13" s="642"/>
      <c r="M13" s="642"/>
      <c r="N13" s="643"/>
      <c r="O13" s="641"/>
      <c r="P13" s="641"/>
      <c r="Q13" s="641"/>
    </row>
    <row r="14" spans="1:54" x14ac:dyDescent="0.3">
      <c r="A14" s="157"/>
      <c r="B14" s="35"/>
      <c r="C14" s="35"/>
      <c r="D14" s="35"/>
      <c r="E14" s="243"/>
      <c r="F14" s="243"/>
      <c r="G14" s="243"/>
      <c r="H14" s="243"/>
      <c r="I14" s="243"/>
      <c r="J14" s="243"/>
      <c r="K14" s="243"/>
      <c r="L14" s="243"/>
      <c r="M14" s="243"/>
      <c r="N14" s="244"/>
    </row>
    <row r="15" spans="1:54" x14ac:dyDescent="0.3">
      <c r="A15" s="157"/>
      <c r="B15" s="35" t="s">
        <v>970</v>
      </c>
      <c r="C15" s="35" t="s">
        <v>334</v>
      </c>
      <c r="D15" s="35"/>
      <c r="E15" s="243">
        <f>'9b. Summary Schedules-sf'!I113</f>
        <v>127800857.08573601</v>
      </c>
      <c r="F15" s="243">
        <f>$E15*'11a. AF by class'!F11/'11a. AF by class'!$E11</f>
        <v>43477311.364941031</v>
      </c>
      <c r="G15" s="243">
        <f>$E15*'11a. AF by class'!G11/'11a. AF by class'!$E11</f>
        <v>11666693.203634633</v>
      </c>
      <c r="H15" s="243">
        <f>$E15*'11a. AF by class'!H11/'11a. AF by class'!$E11</f>
        <v>28357071.149867471</v>
      </c>
      <c r="I15" s="243">
        <f>$E15*'11a. AF by class'!I11/'11a. AF by class'!$E11</f>
        <v>18401004.380388681</v>
      </c>
      <c r="J15" s="243">
        <f>$E15*'11a. AF by class'!J11/'11a. AF by class'!$E11</f>
        <v>8875915.9648821428</v>
      </c>
      <c r="K15" s="243">
        <f>$E15*'11a. AF by class'!K11/'11a. AF by class'!$E11</f>
        <v>13922625.005075378</v>
      </c>
      <c r="L15" s="243">
        <f>$E15*'11a. AF by class'!L11/'11a. AF by class'!$E11</f>
        <v>2551167.1058257166</v>
      </c>
      <c r="M15" s="243">
        <f>$E15*'11a. AF by class'!M11/'11a. AF by class'!$E11</f>
        <v>25011.268263609643</v>
      </c>
      <c r="N15" s="244">
        <f>$E15*'11a. AF by class'!N11/'11a. AF by class'!$E11</f>
        <v>524057.64285734389</v>
      </c>
      <c r="P15" s="32">
        <f>SUM(F15:O15)</f>
        <v>127800857.08573602</v>
      </c>
      <c r="Q15" s="32">
        <f>E15-P15</f>
        <v>0</v>
      </c>
    </row>
    <row r="16" spans="1:54" x14ac:dyDescent="0.3">
      <c r="A16" s="157"/>
      <c r="B16" s="35" t="s">
        <v>971</v>
      </c>
      <c r="C16" s="35"/>
      <c r="D16" s="35"/>
      <c r="E16" s="35">
        <f>E10+E15</f>
        <v>3896343509.8863664</v>
      </c>
      <c r="F16" s="35">
        <f t="shared" ref="F16:P16" si="0">F10+F15</f>
        <v>1543667068.6572096</v>
      </c>
      <c r="G16" s="35">
        <f t="shared" si="0"/>
        <v>456471581.89681345</v>
      </c>
      <c r="H16" s="35">
        <f t="shared" si="0"/>
        <v>816164139.33264494</v>
      </c>
      <c r="I16" s="35">
        <f t="shared" si="0"/>
        <v>480608598.35810882</v>
      </c>
      <c r="J16" s="35">
        <f t="shared" si="0"/>
        <v>203141064.04234195</v>
      </c>
      <c r="K16" s="35">
        <f t="shared" si="0"/>
        <v>301732453.70921975</v>
      </c>
      <c r="L16" s="35">
        <f t="shared" si="0"/>
        <v>77470907.311807483</v>
      </c>
      <c r="M16" s="35">
        <f t="shared" si="0"/>
        <v>427782.50026902126</v>
      </c>
      <c r="N16" s="158">
        <f t="shared" si="0"/>
        <v>16659914.077951882</v>
      </c>
      <c r="O16" s="35"/>
      <c r="P16" s="35">
        <f t="shared" si="0"/>
        <v>3896343509.8863668</v>
      </c>
      <c r="Q16" s="32">
        <f>E16-P16</f>
        <v>0</v>
      </c>
    </row>
    <row r="17" spans="1:17" x14ac:dyDescent="0.3">
      <c r="A17" s="157"/>
      <c r="B17" s="35" t="s">
        <v>617</v>
      </c>
      <c r="C17" s="35" t="s">
        <v>334</v>
      </c>
      <c r="D17" s="35"/>
      <c r="E17" s="243">
        <f>'9b. Summary Schedules-sf'!J113</f>
        <v>106348340.82000001</v>
      </c>
      <c r="F17" s="243">
        <f>$E17*'11a. AF by class'!F13/'11a. AF by class'!$E13</f>
        <v>36033414.571259618</v>
      </c>
      <c r="G17" s="243">
        <f>$E17*'11a. AF by class'!G13/'11a. AF by class'!$E13</f>
        <v>9669199.3981315009</v>
      </c>
      <c r="H17" s="243">
        <f>$E17*'11a. AF by class'!H13/'11a. AF by class'!$E13</f>
        <v>23501961.567794524</v>
      </c>
      <c r="I17" s="243">
        <f>$E17*'11a. AF by class'!I13/'11a. AF by class'!$E13</f>
        <v>15261519.85302511</v>
      </c>
      <c r="J17" s="243">
        <f>$E17*'11a. AF by class'!J13/'11a. AF by class'!$E13</f>
        <v>7386204.6406274056</v>
      </c>
      <c r="K17" s="243">
        <f>$E17*'11a. AF by class'!K13/'11a. AF by class'!$E13</f>
        <v>11827210.012919124</v>
      </c>
      <c r="L17" s="243">
        <f>$E17*'11a. AF by class'!L13/'11a. AF by class'!$E13</f>
        <v>2213769.8011851641</v>
      </c>
      <c r="M17" s="243">
        <f>$E17*'11a. AF by class'!M13/'11a. AF by class'!$E13</f>
        <v>20729.004853376751</v>
      </c>
      <c r="N17" s="244">
        <f>$E17*'11a. AF by class'!N13/'11a. AF by class'!$E13</f>
        <v>434331.97020418826</v>
      </c>
      <c r="P17" s="32">
        <f>SUM(F17:O17)</f>
        <v>106348340.82000001</v>
      </c>
      <c r="Q17" s="32">
        <f>E17-P17</f>
        <v>0</v>
      </c>
    </row>
    <row r="18" spans="1:17" x14ac:dyDescent="0.3">
      <c r="A18" s="157"/>
      <c r="B18" s="35" t="s">
        <v>972</v>
      </c>
      <c r="C18" s="35"/>
      <c r="D18" s="35"/>
      <c r="E18" s="243">
        <f t="shared" ref="E18:N18" si="1">SUM(E16:E17)</f>
        <v>4002691850.7063665</v>
      </c>
      <c r="F18" s="243">
        <f t="shared" si="1"/>
        <v>1579700483.2284694</v>
      </c>
      <c r="G18" s="243">
        <f t="shared" si="1"/>
        <v>466140781.29494494</v>
      </c>
      <c r="H18" s="243">
        <f t="shared" si="1"/>
        <v>839666100.9004395</v>
      </c>
      <c r="I18" s="243">
        <f t="shared" si="1"/>
        <v>495870118.21113396</v>
      </c>
      <c r="J18" s="243">
        <f t="shared" si="1"/>
        <v>210527268.68296936</v>
      </c>
      <c r="K18" s="243">
        <f t="shared" si="1"/>
        <v>313559663.72213888</v>
      </c>
      <c r="L18" s="243">
        <f t="shared" si="1"/>
        <v>79684677.112992644</v>
      </c>
      <c r="M18" s="243">
        <f t="shared" si="1"/>
        <v>448511.50512239803</v>
      </c>
      <c r="N18" s="244">
        <f t="shared" si="1"/>
        <v>17094246.048156071</v>
      </c>
      <c r="P18" s="32">
        <f>SUM(F18:O18)</f>
        <v>4002691850.7063675</v>
      </c>
      <c r="Q18" s="32">
        <f>E18-P18</f>
        <v>0</v>
      </c>
    </row>
    <row r="19" spans="1:17" x14ac:dyDescent="0.3">
      <c r="A19" s="157"/>
      <c r="B19" s="35"/>
      <c r="C19" s="35"/>
      <c r="D19" s="35"/>
      <c r="E19" s="243"/>
      <c r="F19" s="243"/>
      <c r="G19" s="243"/>
      <c r="H19" s="243"/>
      <c r="I19" s="243"/>
      <c r="J19" s="243"/>
      <c r="K19" s="243"/>
      <c r="L19" s="243"/>
      <c r="M19" s="243"/>
      <c r="N19" s="244"/>
    </row>
    <row r="20" spans="1:17" x14ac:dyDescent="0.3">
      <c r="A20" s="157" t="s">
        <v>984</v>
      </c>
      <c r="B20" s="35"/>
      <c r="C20" s="35"/>
      <c r="D20" s="35"/>
      <c r="E20" s="243">
        <f>'9b. Summary Schedules-sf'!K113</f>
        <v>0</v>
      </c>
      <c r="F20" s="243">
        <f>$E20*'11a. AF by class'!F16/'11a. AF by class'!$E16</f>
        <v>0</v>
      </c>
      <c r="G20" s="243">
        <f>$E20*'11a. AF by class'!G16/'11a. AF by class'!$E16</f>
        <v>0</v>
      </c>
      <c r="H20" s="243">
        <f>$E20*'11a. AF by class'!H16/'11a. AF by class'!$E16</f>
        <v>0</v>
      </c>
      <c r="I20" s="243">
        <f>$E20*'11a. AF by class'!I16/'11a. AF by class'!$E16</f>
        <v>0</v>
      </c>
      <c r="J20" s="243">
        <f>$E20*'11a. AF by class'!J16/'11a. AF by class'!$E16</f>
        <v>0</v>
      </c>
      <c r="K20" s="243">
        <f>$E20*'11a. AF by class'!K16/'11a. AF by class'!$E16</f>
        <v>0</v>
      </c>
      <c r="L20" s="243">
        <f>$E20*'11a. AF by class'!L16/'11a. AF by class'!$E16</f>
        <v>0</v>
      </c>
      <c r="M20" s="243">
        <f>$E20*'11a. AF by class'!M16/'11a. AF by class'!$E16</f>
        <v>0</v>
      </c>
      <c r="N20" s="244">
        <f>$E20*'11a. AF by class'!N16/'11a. AF by class'!$E16</f>
        <v>0</v>
      </c>
      <c r="P20" s="32">
        <f>SUM(F20:O20)</f>
        <v>0</v>
      </c>
      <c r="Q20" s="32">
        <f>E20-P20</f>
        <v>0</v>
      </c>
    </row>
    <row r="21" spans="1:17" x14ac:dyDescent="0.3">
      <c r="A21" s="157"/>
      <c r="B21" s="35"/>
      <c r="C21" s="35"/>
      <c r="D21" s="35"/>
      <c r="E21" s="243"/>
      <c r="F21" s="243"/>
      <c r="G21" s="243"/>
      <c r="H21" s="243"/>
      <c r="I21" s="243"/>
      <c r="J21" s="243"/>
      <c r="K21" s="243"/>
      <c r="L21" s="243"/>
      <c r="M21" s="243"/>
      <c r="N21" s="244"/>
    </row>
    <row r="22" spans="1:17" x14ac:dyDescent="0.3">
      <c r="A22" s="157" t="s">
        <v>366</v>
      </c>
      <c r="B22" s="35"/>
      <c r="C22" s="35" t="s">
        <v>333</v>
      </c>
      <c r="D22" s="35"/>
      <c r="E22" s="243">
        <f>'9b. Summary Schedules-sf'!L113</f>
        <v>0</v>
      </c>
      <c r="F22" s="243">
        <f>$E22*'11a. AF by class'!F18/'11a. AF by class'!$E18</f>
        <v>0</v>
      </c>
      <c r="G22" s="243">
        <f>$E22*'11a. AF by class'!G18/'11a. AF by class'!$E18</f>
        <v>0</v>
      </c>
      <c r="H22" s="243">
        <f>$E22*'11a. AF by class'!H18/'11a. AF by class'!$E18</f>
        <v>0</v>
      </c>
      <c r="I22" s="243">
        <f>$E22*'11a. AF by class'!I18/'11a. AF by class'!$E18</f>
        <v>0</v>
      </c>
      <c r="J22" s="243">
        <f>$E22*'11a. AF by class'!J18/'11a. AF by class'!$E18</f>
        <v>0</v>
      </c>
      <c r="K22" s="243">
        <f>$E22*'11a. AF by class'!K18/'11a. AF by class'!$E18</f>
        <v>0</v>
      </c>
      <c r="L22" s="243">
        <f>$E22*'11a. AF by class'!L18/'11a. AF by class'!$E18</f>
        <v>0</v>
      </c>
      <c r="M22" s="243">
        <f>$E22*'11a. AF by class'!M18/'11a. AF by class'!$E18</f>
        <v>0</v>
      </c>
      <c r="N22" s="244">
        <f>$E22*'11a. AF by class'!N18/'11a. AF by class'!$E18</f>
        <v>0</v>
      </c>
      <c r="P22" s="32">
        <f>SUM(F22:O22)</f>
        <v>0</v>
      </c>
      <c r="Q22" s="32">
        <f>E22-P22</f>
        <v>0</v>
      </c>
    </row>
    <row r="23" spans="1:17" x14ac:dyDescent="0.3">
      <c r="A23" s="157"/>
      <c r="B23" s="35"/>
      <c r="C23" s="35"/>
      <c r="D23" s="35"/>
      <c r="E23" s="243"/>
      <c r="F23" s="243"/>
      <c r="G23" s="243"/>
      <c r="H23" s="243"/>
      <c r="I23" s="243"/>
      <c r="J23" s="243"/>
      <c r="K23" s="243"/>
      <c r="L23" s="243"/>
      <c r="M23" s="243"/>
      <c r="N23" s="244"/>
    </row>
    <row r="24" spans="1:17" x14ac:dyDescent="0.3">
      <c r="A24" s="157" t="s">
        <v>367</v>
      </c>
      <c r="B24" s="35"/>
      <c r="C24" s="35"/>
      <c r="D24" s="35"/>
      <c r="E24" s="243"/>
      <c r="F24" s="243"/>
      <c r="G24" s="243"/>
      <c r="H24" s="243"/>
      <c r="I24" s="243"/>
      <c r="J24" s="243"/>
      <c r="K24" s="243"/>
      <c r="L24" s="243"/>
      <c r="M24" s="243"/>
      <c r="N24" s="244"/>
    </row>
    <row r="25" spans="1:17" x14ac:dyDescent="0.3">
      <c r="A25" s="157"/>
      <c r="B25" s="35" t="s">
        <v>973</v>
      </c>
      <c r="C25" s="35"/>
      <c r="D25" s="35"/>
      <c r="E25" s="243"/>
      <c r="F25" s="243"/>
      <c r="G25" s="243"/>
      <c r="H25" s="243"/>
      <c r="I25" s="243"/>
      <c r="J25" s="243"/>
      <c r="K25" s="243"/>
      <c r="L25" s="243"/>
      <c r="M25" s="243"/>
      <c r="N25" s="244"/>
    </row>
    <row r="26" spans="1:17" x14ac:dyDescent="0.3">
      <c r="A26" s="157"/>
      <c r="B26" s="35" t="s">
        <v>974</v>
      </c>
      <c r="C26" s="35"/>
      <c r="D26" s="35"/>
      <c r="E26" s="243">
        <f>'9b. Summary Schedules-sf'!N113</f>
        <v>421278384.69616479</v>
      </c>
      <c r="F26" s="243">
        <f>$E26*'11a. AF by class'!F22/'11a. AF by class'!$E22</f>
        <v>169877550.76464635</v>
      </c>
      <c r="G26" s="243">
        <f>$E26*'11a. AF by class'!G22/'11a. AF by class'!$E22</f>
        <v>50690266.913706407</v>
      </c>
      <c r="H26" s="243">
        <f>$E26*'11a. AF by class'!H22/'11a. AF by class'!$E22</f>
        <v>87757134.813382506</v>
      </c>
      <c r="I26" s="243">
        <f>$E26*'11a. AF by class'!I22/'11a. AF by class'!$E22</f>
        <v>51023631.706867978</v>
      </c>
      <c r="J26" s="243">
        <f>$E26*'11a. AF by class'!J22/'11a. AF by class'!$E22</f>
        <v>21145063.662534878</v>
      </c>
      <c r="K26" s="243">
        <f>$E26*'11a. AF by class'!K22/'11a. AF by class'!$E22</f>
        <v>31124000.870849472</v>
      </c>
      <c r="L26" s="243">
        <f>$E26*'11a. AF by class'!L22/'11a. AF by class'!$E22</f>
        <v>7806350.5612091431</v>
      </c>
      <c r="M26" s="243">
        <f>$E26*'11a. AF by class'!M22/'11a. AF by class'!$E22</f>
        <v>42069.128318266587</v>
      </c>
      <c r="N26" s="244">
        <f>$E26*'11a. AF by class'!N22/'11a. AF by class'!$E22</f>
        <v>1812316.2746497616</v>
      </c>
      <c r="P26" s="32">
        <f>SUM(F26:O26)</f>
        <v>421278384.69616479</v>
      </c>
      <c r="Q26" s="32">
        <f>E26-P26</f>
        <v>0</v>
      </c>
    </row>
    <row r="27" spans="1:17" x14ac:dyDescent="0.3">
      <c r="A27" s="157"/>
      <c r="B27" s="35" t="s">
        <v>975</v>
      </c>
      <c r="C27" s="35"/>
      <c r="D27" s="35"/>
      <c r="E27" s="243">
        <f>'9b. Summary Schedules-sf'!O113</f>
        <v>701706767.65630937</v>
      </c>
      <c r="F27" s="243">
        <f>$E27*'11a. AF by class'!F23/'11a. AF by class'!$E23</f>
        <v>287898443.58832753</v>
      </c>
      <c r="G27" s="243">
        <f>$E27*'11a. AF by class'!G23/'11a. AF by class'!$E23</f>
        <v>85906871.648693964</v>
      </c>
      <c r="H27" s="243">
        <f>$E27*'11a. AF by class'!H23/'11a. AF by class'!$E23</f>
        <v>148725610.96402296</v>
      </c>
      <c r="I27" s="243">
        <f>$E27*'11a. AF by class'!I23/'11a. AF by class'!$E23</f>
        <v>86471838.618528187</v>
      </c>
      <c r="J27" s="243">
        <f>$E27*'11a. AF by class'!J23/'11a. AF by class'!$E23</f>
        <v>35835405.50601583</v>
      </c>
      <c r="K27" s="243">
        <f>$E27*'11a. AF by class'!K23/'11a. AF by class'!$E23</f>
        <v>52747119.137439996</v>
      </c>
      <c r="L27" s="243">
        <f>$E27*'11a. AF by class'!L23/'11a. AF by class'!$E23</f>
        <v>978775.29390219774</v>
      </c>
      <c r="M27" s="243">
        <f>$E27*'11a. AF by class'!M23/'11a. AF by class'!$E23</f>
        <v>71296.274942922988</v>
      </c>
      <c r="N27" s="244">
        <f>$E27*'11a. AF by class'!N23/'11a. AF by class'!$E23</f>
        <v>3071406.6244357913</v>
      </c>
      <c r="P27" s="32">
        <f>SUM(F27:O27)</f>
        <v>701706767.65630925</v>
      </c>
      <c r="Q27" s="32">
        <f>E27-P27</f>
        <v>0</v>
      </c>
    </row>
    <row r="28" spans="1:17" x14ac:dyDescent="0.3">
      <c r="A28" s="157"/>
      <c r="B28" s="35" t="s">
        <v>976</v>
      </c>
      <c r="C28" s="35"/>
      <c r="D28" s="35"/>
      <c r="E28" s="243">
        <f>'9b. Summary Schedules-sf'!P113</f>
        <v>187710131.86218944</v>
      </c>
      <c r="F28" s="243">
        <f>$E28*'11a. AF by class'!F24/'11a. AF by class'!$E24</f>
        <v>95362728.059548169</v>
      </c>
      <c r="G28" s="243">
        <f>$E28*'11a. AF by class'!G24/'11a. AF by class'!$E24</f>
        <v>35066332.141434938</v>
      </c>
      <c r="H28" s="243">
        <f>$E28*'11a. AF by class'!H24/'11a. AF by class'!$E24</f>
        <v>32493936.411580577</v>
      </c>
      <c r="I28" s="243">
        <f>$E28*'11a. AF by class'!I24/'11a. AF by class'!$E24</f>
        <v>16707692.070158955</v>
      </c>
      <c r="J28" s="243">
        <f>$E28*'11a. AF by class'!J24/'11a. AF by class'!$E24</f>
        <v>5679984.5147687625</v>
      </c>
      <c r="K28" s="243">
        <f>$E28*'11a. AF by class'!K24/'11a. AF by class'!$E24</f>
        <v>1896569.4399438885</v>
      </c>
      <c r="L28" s="243">
        <f>$E28*'11a. AF by class'!L24/'11a. AF by class'!$E24</f>
        <v>0</v>
      </c>
      <c r="M28" s="243">
        <f>$E28*'11a. AF by class'!M24/'11a. AF by class'!$E24</f>
        <v>11408.691684152973</v>
      </c>
      <c r="N28" s="244">
        <f>$E28*'11a. AF by class'!N24/'11a. AF by class'!$E24</f>
        <v>491480.53306999849</v>
      </c>
      <c r="P28" s="32">
        <f>SUM(F28:O28)</f>
        <v>187710131.86218941</v>
      </c>
      <c r="Q28" s="32">
        <f>E28-P28</f>
        <v>0</v>
      </c>
    </row>
    <row r="29" spans="1:17" x14ac:dyDescent="0.3">
      <c r="A29" s="157"/>
      <c r="B29" s="35" t="s">
        <v>931</v>
      </c>
      <c r="C29" s="35"/>
      <c r="D29" s="35"/>
      <c r="E29" s="580">
        <f>'9b. Summary Schedules-sf'!Q113</f>
        <v>195253376.33043703</v>
      </c>
      <c r="F29" s="580">
        <f>$E29*'11a. AF by class'!F25/'11a. AF by class'!$E25</f>
        <v>94564845.988143414</v>
      </c>
      <c r="G29" s="580">
        <f>$E29*'11a. AF by class'!G25/'11a. AF by class'!$E25</f>
        <v>32637611.853626546</v>
      </c>
      <c r="H29" s="580">
        <f>$E29*'11a. AF by class'!H25/'11a. AF by class'!$E25</f>
        <v>37638755.844782218</v>
      </c>
      <c r="I29" s="580">
        <f>$E29*'11a. AF by class'!I25/'11a. AF by class'!$E25</f>
        <v>20188813.291267172</v>
      </c>
      <c r="J29" s="580">
        <f>$E29*'11a. AF by class'!J25/'11a. AF by class'!$E25</f>
        <v>7134440.4724465134</v>
      </c>
      <c r="K29" s="580">
        <f>$E29*'11a. AF by class'!K25/'11a. AF by class'!$E25</f>
        <v>2416419.6261778423</v>
      </c>
      <c r="L29" s="580">
        <f>$E29*'11a. AF by class'!L25/'11a. AF by class'!$E25</f>
        <v>0</v>
      </c>
      <c r="M29" s="580">
        <f>$E29*'11a. AF by class'!M25/'11a. AF by class'!$E25</f>
        <v>15256.287432817075</v>
      </c>
      <c r="N29" s="600">
        <f>$E29*'11a. AF by class'!N25/'11a. AF by class'!$E25</f>
        <v>657232.96656050778</v>
      </c>
      <c r="P29" s="32">
        <f>SUM(F29:O29)</f>
        <v>195253376.330437</v>
      </c>
      <c r="Q29" s="32">
        <f>E29-P29</f>
        <v>0</v>
      </c>
    </row>
    <row r="30" spans="1:17" x14ac:dyDescent="0.3">
      <c r="A30" s="157"/>
      <c r="B30" s="35" t="s">
        <v>977</v>
      </c>
      <c r="C30" s="35" t="s">
        <v>333</v>
      </c>
      <c r="D30" s="35"/>
      <c r="E30" s="243">
        <f t="shared" ref="E30:N30" si="2">SUM(E26:E29)</f>
        <v>1505948660.5451007</v>
      </c>
      <c r="F30" s="243">
        <f t="shared" si="2"/>
        <v>647703568.40066552</v>
      </c>
      <c r="G30" s="243">
        <f t="shared" si="2"/>
        <v>204301082.55746186</v>
      </c>
      <c r="H30" s="243">
        <f t="shared" si="2"/>
        <v>306615438.0337683</v>
      </c>
      <c r="I30" s="243">
        <f t="shared" si="2"/>
        <v>174391975.6868223</v>
      </c>
      <c r="J30" s="243">
        <f t="shared" si="2"/>
        <v>69794894.15576598</v>
      </c>
      <c r="K30" s="243">
        <f t="shared" si="2"/>
        <v>88184109.074411213</v>
      </c>
      <c r="L30" s="243">
        <f t="shared" si="2"/>
        <v>8785125.8551113401</v>
      </c>
      <c r="M30" s="243">
        <f t="shared" si="2"/>
        <v>140030.38237815964</v>
      </c>
      <c r="N30" s="244">
        <f t="shared" si="2"/>
        <v>6032436.3987160595</v>
      </c>
      <c r="P30" s="32">
        <f>SUM(F30:O30)</f>
        <v>1505948660.5451007</v>
      </c>
      <c r="Q30" s="32">
        <f>E30-P30</f>
        <v>0</v>
      </c>
    </row>
    <row r="31" spans="1:17" x14ac:dyDescent="0.3">
      <c r="A31" s="157"/>
      <c r="B31" s="35"/>
      <c r="C31" s="35"/>
      <c r="D31" s="35"/>
      <c r="E31" s="243"/>
      <c r="F31" s="243"/>
      <c r="G31" s="243"/>
      <c r="H31" s="243"/>
      <c r="I31" s="243"/>
      <c r="J31" s="243"/>
      <c r="K31" s="243"/>
      <c r="L31" s="243"/>
      <c r="M31" s="243"/>
      <c r="N31" s="244"/>
    </row>
    <row r="32" spans="1:17" x14ac:dyDescent="0.3">
      <c r="A32" s="157"/>
      <c r="B32" s="35" t="s">
        <v>978</v>
      </c>
      <c r="C32" s="35"/>
      <c r="D32" s="35"/>
      <c r="E32" s="243"/>
      <c r="F32" s="243"/>
      <c r="G32" s="243"/>
      <c r="H32" s="243"/>
      <c r="I32" s="243"/>
      <c r="J32" s="243"/>
      <c r="K32" s="243"/>
      <c r="L32" s="243"/>
      <c r="M32" s="243"/>
      <c r="N32" s="244"/>
    </row>
    <row r="33" spans="1:17" x14ac:dyDescent="0.3">
      <c r="A33" s="157"/>
      <c r="B33" s="35" t="s">
        <v>975</v>
      </c>
      <c r="C33" s="35"/>
      <c r="D33" s="35"/>
      <c r="E33" s="243">
        <f>'9b. Summary Schedules-sf'!R113</f>
        <v>391090995.9255079</v>
      </c>
      <c r="F33" s="243">
        <f>$E33*'11a. AF by class'!F29/'11a. AF by class'!$E29</f>
        <v>280494238.1589191</v>
      </c>
      <c r="G33" s="243">
        <f>$E33*'11a. AF by class'!G29/'11a. AF by class'!$E29</f>
        <v>68982783.640351862</v>
      </c>
      <c r="H33" s="243">
        <f>$E33*'11a. AF by class'!H29/'11a. AF by class'!$E29</f>
        <v>36757980.210725732</v>
      </c>
      <c r="I33" s="243">
        <f>$E33*'11a. AF by class'!I29/'11a. AF by class'!$E29</f>
        <v>1000340.6338378858</v>
      </c>
      <c r="J33" s="243">
        <f>$E33*'11a. AF by class'!J29/'11a. AF by class'!$E29</f>
        <v>88308.638592849165</v>
      </c>
      <c r="K33" s="243">
        <f>$E33*'11a. AF by class'!K29/'11a. AF by class'!$E29</f>
        <v>19133.538361783987</v>
      </c>
      <c r="L33" s="243">
        <f>$E33*'11a. AF by class'!L29/'11a. AF by class'!$E29</f>
        <v>981.20709547610193</v>
      </c>
      <c r="M33" s="243">
        <f>$E33*'11a. AF by class'!M29/'11a. AF by class'!$E29</f>
        <v>888483.02495361026</v>
      </c>
      <c r="N33" s="244">
        <f>$E33*'11a. AF by class'!N29/'11a. AF by class'!$E29</f>
        <v>2858746.8726696228</v>
      </c>
      <c r="P33" s="32">
        <f t="shared" ref="P33:P39" si="3">SUM(F33:O33)</f>
        <v>391090995.92550796</v>
      </c>
      <c r="Q33" s="32">
        <f t="shared" ref="Q33:Q39" si="4">E33-P33</f>
        <v>0</v>
      </c>
    </row>
    <row r="34" spans="1:17" x14ac:dyDescent="0.3">
      <c r="A34" s="157"/>
      <c r="B34" s="35" t="s">
        <v>976</v>
      </c>
      <c r="C34" s="35"/>
      <c r="D34" s="35"/>
      <c r="E34" s="243">
        <f>'9b. Summary Schedules-sf'!S113</f>
        <v>96873608.474751219</v>
      </c>
      <c r="F34" s="243">
        <f>$E34*'11a. AF by class'!F30/'11a. AF by class'!$E30</f>
        <v>69486270.81243813</v>
      </c>
      <c r="G34" s="243">
        <f>$E34*'11a. AF by class'!G30/'11a. AF by class'!$E30</f>
        <v>17088965.594771165</v>
      </c>
      <c r="H34" s="243">
        <f>$E34*'11a. AF by class'!H30/'11a. AF by class'!$E30</f>
        <v>9105980.1591846459</v>
      </c>
      <c r="I34" s="243">
        <f>$E34*'11a. AF by class'!I30/'11a. AF by class'!$E30</f>
        <v>242950.9147697681</v>
      </c>
      <c r="J34" s="243">
        <f>$E34*'11a. AF by class'!J30/'11a. AF by class'!$E30</f>
        <v>19810.40475611416</v>
      </c>
      <c r="K34" s="243">
        <f>$E34*'11a. AF by class'!K30/'11a. AF by class'!$E30</f>
        <v>1336.8984804739616</v>
      </c>
      <c r="L34" s="243">
        <f>$E34*'11a. AF by class'!L30/'11a. AF by class'!$E30</f>
        <v>0</v>
      </c>
      <c r="M34" s="243">
        <f>$E34*'11a. AF by class'!M30/'11a. AF by class'!$E30</f>
        <v>220102.1043762131</v>
      </c>
      <c r="N34" s="244">
        <f>$E34*'11a. AF by class'!N30/'11a. AF by class'!$E30</f>
        <v>708191.5859747068</v>
      </c>
      <c r="P34" s="32">
        <f t="shared" si="3"/>
        <v>96873608.474751219</v>
      </c>
      <c r="Q34" s="32">
        <f t="shared" si="4"/>
        <v>0</v>
      </c>
    </row>
    <row r="35" spans="1:17" x14ac:dyDescent="0.3">
      <c r="A35" s="157"/>
      <c r="B35" s="35" t="s">
        <v>931</v>
      </c>
      <c r="C35" s="35"/>
      <c r="D35" s="35"/>
      <c r="E35" s="243">
        <f>'9b. Summary Schedules-sf'!T113</f>
        <v>213440844.88247943</v>
      </c>
      <c r="F35" s="243">
        <f>$E35*'11a. AF by class'!F31/'11a. AF by class'!$E31</f>
        <v>153098543.38506567</v>
      </c>
      <c r="G35" s="243">
        <f>$E35*'11a. AF by class'!G31/'11a. AF by class'!$E31</f>
        <v>37651980.886685424</v>
      </c>
      <c r="H35" s="243">
        <f>$E35*'11a. AF by class'!H31/'11a. AF by class'!$E31</f>
        <v>20063133.078871887</v>
      </c>
      <c r="I35" s="243">
        <f>$E35*'11a. AF by class'!I31/'11a. AF by class'!$E31</f>
        <v>535291.80268892343</v>
      </c>
      <c r="J35" s="243">
        <f>$E35*'11a. AF by class'!J31/'11a. AF by class'!$E31</f>
        <v>43648.105972133329</v>
      </c>
      <c r="K35" s="243">
        <f>$E35*'11a. AF by class'!K31/'11a. AF by class'!$E31</f>
        <v>2945.5777036408995</v>
      </c>
      <c r="L35" s="243">
        <f>$E35*'11a. AF by class'!L31/'11a. AF by class'!$E31</f>
        <v>0</v>
      </c>
      <c r="M35" s="243">
        <f>$E35*'11a. AF by class'!M31/'11a. AF by class'!$E31</f>
        <v>484949.20193578809</v>
      </c>
      <c r="N35" s="244">
        <f>$E35*'11a. AF by class'!N31/'11a. AF by class'!$E31</f>
        <v>1560352.8435559564</v>
      </c>
      <c r="P35" s="32">
        <f t="shared" si="3"/>
        <v>213440844.88247946</v>
      </c>
      <c r="Q35" s="32">
        <f t="shared" si="4"/>
        <v>0</v>
      </c>
    </row>
    <row r="36" spans="1:17" x14ac:dyDescent="0.3">
      <c r="A36" s="157"/>
      <c r="B36" s="35" t="s">
        <v>456</v>
      </c>
      <c r="C36" s="35"/>
      <c r="D36" s="35"/>
      <c r="E36" s="243">
        <f>'9b. Summary Schedules-sf'!U113</f>
        <v>142759858.02316278</v>
      </c>
      <c r="F36" s="243">
        <f>$E36*'11a. AF by class'!F32/'11a. AF by class'!$E32</f>
        <v>77934057.826908275</v>
      </c>
      <c r="G36" s="243">
        <f>$E36*'11a. AF by class'!G32/'11a. AF by class'!$E32</f>
        <v>19166555.022931889</v>
      </c>
      <c r="H36" s="243">
        <f>$E36*'11a. AF by class'!H32/'11a. AF by class'!$E32</f>
        <v>30639116.59090839</v>
      </c>
      <c r="I36" s="243">
        <f>$E36*'11a. AF by class'!I32/'11a. AF by class'!$E32</f>
        <v>13624382.499872286</v>
      </c>
      <c r="J36" s="243">
        <f>$E36*'11a. AF by class'!J32/'11a. AF by class'!$E32</f>
        <v>1110942.6450621223</v>
      </c>
      <c r="K36" s="243">
        <f>$E36*'11a. AF by class'!K32/'11a. AF by class'!$E32</f>
        <v>74971.589544069619</v>
      </c>
      <c r="L36" s="243">
        <f>$E36*'11a. AF by class'!L32/'11a. AF by class'!$E32</f>
        <v>0</v>
      </c>
      <c r="M36" s="243">
        <f>$E36*'11a. AF by class'!M32/'11a. AF by class'!$E32</f>
        <v>209831.84793575192</v>
      </c>
      <c r="N36" s="244">
        <f>$E36*'11a. AF by class'!N32/'11a. AF by class'!$E32</f>
        <v>0</v>
      </c>
      <c r="P36" s="32">
        <f t="shared" si="3"/>
        <v>142759858.02316278</v>
      </c>
      <c r="Q36" s="32">
        <f t="shared" si="4"/>
        <v>0</v>
      </c>
    </row>
    <row r="37" spans="1:17" x14ac:dyDescent="0.3">
      <c r="A37" s="157"/>
      <c r="B37" s="35" t="s">
        <v>932</v>
      </c>
      <c r="C37" s="35"/>
      <c r="D37" s="35"/>
      <c r="E37" s="243">
        <f>'9b. Summary Schedules-sf'!V113</f>
        <v>123014285.6485977</v>
      </c>
      <c r="F37" s="243">
        <f>$E37*'11a. AF by class'!F33/'11a. AF by class'!$E33</f>
        <v>0</v>
      </c>
      <c r="G37" s="243">
        <f>$E37*'11a. AF by class'!G33/'11a. AF by class'!$E33</f>
        <v>0</v>
      </c>
      <c r="H37" s="243">
        <f>$E37*'11a. AF by class'!H33/'11a. AF by class'!$E33</f>
        <v>0</v>
      </c>
      <c r="I37" s="243">
        <f>$E37*'11a. AF by class'!I33/'11a. AF by class'!$E33</f>
        <v>0</v>
      </c>
      <c r="J37" s="243">
        <f>$E37*'11a. AF by class'!J33/'11a. AF by class'!$E33</f>
        <v>0</v>
      </c>
      <c r="K37" s="243">
        <f>$E37*'11a. AF by class'!K33/'11a. AF by class'!$E33</f>
        <v>0</v>
      </c>
      <c r="L37" s="243">
        <f>$E37*'11a. AF by class'!L33/'11a. AF by class'!$E33</f>
        <v>0</v>
      </c>
      <c r="M37" s="243">
        <f>$E37*'11a. AF by class'!M33/'11a. AF by class'!$E33</f>
        <v>0</v>
      </c>
      <c r="N37" s="244">
        <f>$E37*'11a. AF by class'!N33/'11a. AF by class'!$E33</f>
        <v>123014285.6485977</v>
      </c>
      <c r="P37" s="32">
        <f t="shared" si="3"/>
        <v>123014285.6485977</v>
      </c>
      <c r="Q37" s="32">
        <f t="shared" si="4"/>
        <v>0</v>
      </c>
    </row>
    <row r="38" spans="1:17" s="16" customFormat="1" x14ac:dyDescent="0.3">
      <c r="A38" s="153"/>
      <c r="B38" s="53" t="s">
        <v>1012</v>
      </c>
      <c r="C38" s="53"/>
      <c r="D38" s="35"/>
      <c r="E38" s="580">
        <f>'9b. Summary Schedules-sf'!W113</f>
        <v>580110.48656534555</v>
      </c>
      <c r="F38" s="580">
        <f>$E38*'11a. AF by class'!F34/'11a. AF by class'!$E34</f>
        <v>202257.56723822415</v>
      </c>
      <c r="G38" s="580">
        <f>$E38*'11a. AF by class'!G34/'11a. AF by class'!$E34</f>
        <v>54273.755920073898</v>
      </c>
      <c r="H38" s="580">
        <f>$E38*'11a. AF by class'!H34/'11a. AF by class'!$E34</f>
        <v>131917.82207117637</v>
      </c>
      <c r="I38" s="580">
        <f>$E38*'11a. AF by class'!I34/'11a. AF by class'!$E34</f>
        <v>85601.944183660729</v>
      </c>
      <c r="J38" s="580">
        <f>$E38*'11a. AF by class'!J34/'11a. AF by class'!$E34</f>
        <v>41290.988649210653</v>
      </c>
      <c r="K38" s="580">
        <f>$E38*'11a. AF by class'!K34/'11a. AF by class'!$E34</f>
        <v>64768.408502999744</v>
      </c>
      <c r="L38" s="580">
        <f>$E38*'11a. AF by class'!L34/'11a. AF by class'!$E34</f>
        <v>0</v>
      </c>
      <c r="M38" s="580">
        <f>$E38*'11a. AF by class'!M34/'11a. AF by class'!$E34</f>
        <v>0</v>
      </c>
      <c r="N38" s="600">
        <f>$E38*'11a. AF by class'!N34/'11a. AF by class'!$E34</f>
        <v>0</v>
      </c>
      <c r="O38" s="51"/>
      <c r="P38" s="16">
        <f>SUM(F38:O38)</f>
        <v>580110.48656534555</v>
      </c>
      <c r="Q38" s="16">
        <f>E38-P38</f>
        <v>0</v>
      </c>
    </row>
    <row r="39" spans="1:17" x14ac:dyDescent="0.3">
      <c r="A39" s="157"/>
      <c r="B39" s="35" t="s">
        <v>979</v>
      </c>
      <c r="C39" s="35" t="s">
        <v>335</v>
      </c>
      <c r="D39" s="35"/>
      <c r="E39" s="243">
        <f t="shared" ref="E39:N39" si="5">SUM(E33:E38)</f>
        <v>967759703.44106436</v>
      </c>
      <c r="F39" s="243">
        <f t="shared" si="5"/>
        <v>581215367.75056934</v>
      </c>
      <c r="G39" s="243">
        <f t="shared" si="5"/>
        <v>142944558.90066043</v>
      </c>
      <c r="H39" s="243">
        <f t="shared" si="5"/>
        <v>96698127.861761838</v>
      </c>
      <c r="I39" s="243">
        <f t="shared" si="5"/>
        <v>15488567.795352524</v>
      </c>
      <c r="J39" s="243">
        <f t="shared" si="5"/>
        <v>1304000.7830324296</v>
      </c>
      <c r="K39" s="243">
        <f t="shared" si="5"/>
        <v>163156.01259296821</v>
      </c>
      <c r="L39" s="243">
        <f t="shared" si="5"/>
        <v>981.20709547610193</v>
      </c>
      <c r="M39" s="243">
        <f t="shared" si="5"/>
        <v>1803366.1792013636</v>
      </c>
      <c r="N39" s="244">
        <f t="shared" si="5"/>
        <v>128141576.95079799</v>
      </c>
      <c r="P39" s="32">
        <f t="shared" si="3"/>
        <v>967759703.44106436</v>
      </c>
      <c r="Q39" s="32">
        <f t="shared" si="4"/>
        <v>0</v>
      </c>
    </row>
    <row r="40" spans="1:17" x14ac:dyDescent="0.3">
      <c r="A40" s="157"/>
      <c r="B40" s="35"/>
      <c r="C40" s="35"/>
      <c r="D40" s="35"/>
      <c r="E40" s="243"/>
      <c r="F40" s="243"/>
      <c r="G40" s="243"/>
      <c r="H40" s="243"/>
      <c r="I40" s="243"/>
      <c r="J40" s="243"/>
      <c r="K40" s="243"/>
      <c r="L40" s="243"/>
      <c r="M40" s="243"/>
      <c r="N40" s="244"/>
    </row>
    <row r="41" spans="1:17" x14ac:dyDescent="0.3">
      <c r="A41" s="157"/>
      <c r="B41" s="35" t="s">
        <v>543</v>
      </c>
      <c r="C41" s="35"/>
      <c r="D41" s="35"/>
      <c r="E41" s="243">
        <f t="shared" ref="E41:N41" si="6">SUM(E30,E39)</f>
        <v>2473708363.986165</v>
      </c>
      <c r="F41" s="243">
        <f t="shared" si="6"/>
        <v>1228918936.1512349</v>
      </c>
      <c r="G41" s="243">
        <f t="shared" si="6"/>
        <v>347245641.45812225</v>
      </c>
      <c r="H41" s="243">
        <f t="shared" si="6"/>
        <v>403313565.8955301</v>
      </c>
      <c r="I41" s="243">
        <f t="shared" si="6"/>
        <v>189880543.48217481</v>
      </c>
      <c r="J41" s="243">
        <f t="shared" si="6"/>
        <v>71098894.938798413</v>
      </c>
      <c r="K41" s="243">
        <f t="shared" si="6"/>
        <v>88347265.087004185</v>
      </c>
      <c r="L41" s="243">
        <f t="shared" si="6"/>
        <v>8786107.0622068159</v>
      </c>
      <c r="M41" s="243">
        <f t="shared" si="6"/>
        <v>1943396.5615795231</v>
      </c>
      <c r="N41" s="244">
        <f t="shared" si="6"/>
        <v>134174013.34951405</v>
      </c>
      <c r="P41" s="32">
        <f>SUM(F41:O41)</f>
        <v>2473708363.986165</v>
      </c>
      <c r="Q41" s="32">
        <f>E41-P41</f>
        <v>0</v>
      </c>
    </row>
    <row r="42" spans="1:17" x14ac:dyDescent="0.3">
      <c r="A42" s="157"/>
      <c r="B42" s="35"/>
      <c r="C42" s="35"/>
      <c r="D42" s="35"/>
      <c r="E42" s="243"/>
      <c r="F42" s="243"/>
      <c r="G42" s="243"/>
      <c r="H42" s="243"/>
      <c r="I42" s="243"/>
      <c r="J42" s="243"/>
      <c r="K42" s="243"/>
      <c r="L42" s="243"/>
      <c r="M42" s="243"/>
      <c r="N42" s="244"/>
    </row>
    <row r="43" spans="1:17" x14ac:dyDescent="0.3">
      <c r="A43" s="157" t="s">
        <v>907</v>
      </c>
      <c r="B43" s="35"/>
      <c r="C43" s="35"/>
      <c r="D43" s="35"/>
      <c r="E43" s="243"/>
      <c r="F43" s="243"/>
      <c r="G43" s="243"/>
      <c r="H43" s="243"/>
      <c r="I43" s="243"/>
      <c r="J43" s="243"/>
      <c r="K43" s="243"/>
      <c r="L43" s="243"/>
      <c r="M43" s="243"/>
      <c r="N43" s="244"/>
    </row>
    <row r="44" spans="1:17" x14ac:dyDescent="0.3">
      <c r="A44" s="157"/>
      <c r="B44" s="35" t="s">
        <v>907</v>
      </c>
      <c r="C44" s="35"/>
      <c r="D44" s="35"/>
      <c r="E44" s="243">
        <f>'9b. Summary Schedules-sf'!Y$113</f>
        <v>165250265.89282584</v>
      </c>
      <c r="F44" s="243">
        <f>$E44*'11a. AF by class'!F40/'11a. AF by class'!$E40</f>
        <v>87790170.662837148</v>
      </c>
      <c r="G44" s="243">
        <f>$E44*'11a. AF by class'!G40/'11a. AF by class'!$E40</f>
        <v>21279218.856818285</v>
      </c>
      <c r="H44" s="243">
        <f>$E44*'11a. AF by class'!H40/'11a. AF by class'!$E40</f>
        <v>46203029.686748251</v>
      </c>
      <c r="I44" s="243">
        <f>$E44*'11a. AF by class'!I40/'11a. AF by class'!$E40</f>
        <v>7238006.8212264804</v>
      </c>
      <c r="J44" s="243">
        <f>$E44*'11a. AF by class'!J40/'11a. AF by class'!$E40</f>
        <v>643388.25955429079</v>
      </c>
      <c r="K44" s="243">
        <f>$E44*'11a. AF by class'!K40/'11a. AF by class'!$E40</f>
        <v>1607390.813378663</v>
      </c>
      <c r="L44" s="243">
        <f>$E44*'11a. AF by class'!L40/'11a. AF by class'!$E40</f>
        <v>194879.96396568755</v>
      </c>
      <c r="M44" s="243">
        <f>$E44*'11a. AF by class'!M40/'11a. AF by class'!$E40</f>
        <v>294180.82829703263</v>
      </c>
      <c r="N44" s="244">
        <f>$E44*'11a. AF by class'!N40/'11a. AF by class'!$E40</f>
        <v>0</v>
      </c>
      <c r="P44" s="32">
        <f>SUM(F44:O44)</f>
        <v>165250265.89282581</v>
      </c>
      <c r="Q44" s="32">
        <f>E44-P44</f>
        <v>0</v>
      </c>
    </row>
    <row r="45" spans="1:17" x14ac:dyDescent="0.3">
      <c r="A45" s="157"/>
      <c r="B45" s="35" t="s">
        <v>996</v>
      </c>
      <c r="C45" s="35"/>
      <c r="D45" s="35"/>
      <c r="E45" s="580">
        <f>'9b. Summary Schedules-sf'!Z$113</f>
        <v>13675942.575948212</v>
      </c>
      <c r="F45" s="580">
        <f>$E45*'11a. AF by class'!F41/'11a. AF by class'!$E41</f>
        <v>8821623.8963992894</v>
      </c>
      <c r="G45" s="580">
        <f>$E45*'11a. AF by class'!G41/'11a. AF by class'!$E41</f>
        <v>2169528.2462703944</v>
      </c>
      <c r="H45" s="580">
        <f>$E45*'11a. AF by class'!H41/'11a. AF by class'!$E41</f>
        <v>2312097.9506651545</v>
      </c>
      <c r="I45" s="580">
        <f>$E45*'11a. AF by class'!I41/'11a. AF by class'!$E41</f>
        <v>314609.9862131126</v>
      </c>
      <c r="J45" s="580">
        <f>$E45*'11a. AF by class'!J41/'11a. AF by class'!$E41</f>
        <v>27773.319037940302</v>
      </c>
      <c r="K45" s="580">
        <f>$E45*'11a. AF by class'!K41/'11a. AF by class'!$E41</f>
        <v>6017.552458220398</v>
      </c>
      <c r="L45" s="580">
        <f>$E45*'11a. AF by class'!L41/'11a. AF by class'!$E41</f>
        <v>540.0367590710614</v>
      </c>
      <c r="M45" s="580">
        <f>$E45*'11a. AF by class'!M41/'11a. AF by class'!$E41</f>
        <v>23751.588145029669</v>
      </c>
      <c r="N45" s="600">
        <f>$E45*'11a. AF by class'!N41/'11a. AF by class'!$E41</f>
        <v>0</v>
      </c>
      <c r="P45" s="32">
        <f>SUM(F45:O45)</f>
        <v>13675942.575948212</v>
      </c>
      <c r="Q45" s="32">
        <f>E45-P45</f>
        <v>0</v>
      </c>
    </row>
    <row r="46" spans="1:17" x14ac:dyDescent="0.3">
      <c r="A46" s="157"/>
      <c r="B46" s="35" t="s">
        <v>997</v>
      </c>
      <c r="C46" s="35" t="s">
        <v>335</v>
      </c>
      <c r="D46" s="35"/>
      <c r="E46" s="243">
        <f>E44+E45</f>
        <v>178926208.46877405</v>
      </c>
      <c r="F46" s="243">
        <f t="shared" ref="F46:N46" si="7">F44+F45</f>
        <v>96611794.559236437</v>
      </c>
      <c r="G46" s="243">
        <f t="shared" si="7"/>
        <v>23448747.103088681</v>
      </c>
      <c r="H46" s="243">
        <f t="shared" si="7"/>
        <v>48515127.637413405</v>
      </c>
      <c r="I46" s="243">
        <f t="shared" si="7"/>
        <v>7552616.8074395927</v>
      </c>
      <c r="J46" s="243">
        <f t="shared" si="7"/>
        <v>671161.57859223115</v>
      </c>
      <c r="K46" s="243">
        <f t="shared" si="7"/>
        <v>1613408.3658368834</v>
      </c>
      <c r="L46" s="243">
        <f t="shared" si="7"/>
        <v>195420.0007247586</v>
      </c>
      <c r="M46" s="243">
        <f t="shared" si="7"/>
        <v>317932.4164420623</v>
      </c>
      <c r="N46" s="244">
        <f t="shared" si="7"/>
        <v>0</v>
      </c>
      <c r="P46" s="32">
        <f>SUM(F46:O46)</f>
        <v>178926208.46877408</v>
      </c>
      <c r="Q46" s="32">
        <f>E46-P46</f>
        <v>0</v>
      </c>
    </row>
    <row r="47" spans="1:17" x14ac:dyDescent="0.3">
      <c r="A47" s="157"/>
      <c r="B47" s="35"/>
      <c r="C47" s="35"/>
      <c r="D47" s="35"/>
      <c r="E47" s="243"/>
      <c r="F47" s="243"/>
      <c r="G47" s="243"/>
      <c r="H47" s="243"/>
      <c r="I47" s="243"/>
      <c r="J47" s="243"/>
      <c r="K47" s="243"/>
      <c r="L47" s="243"/>
      <c r="M47" s="243"/>
      <c r="N47" s="244"/>
    </row>
    <row r="48" spans="1:17" x14ac:dyDescent="0.3">
      <c r="A48" s="157" t="s">
        <v>84</v>
      </c>
      <c r="B48" s="35"/>
      <c r="C48" s="35" t="s">
        <v>335</v>
      </c>
      <c r="D48" s="35"/>
      <c r="E48" s="243">
        <f>'9b. Summary Schedules-sf'!AA113</f>
        <v>10441490.41569642</v>
      </c>
      <c r="F48" s="243">
        <f>$E48*'11a. AF by class'!F44/'11a. AF by class'!$E44</f>
        <v>6264877.7032934688</v>
      </c>
      <c r="G48" s="243">
        <f>$E48*'11a. AF by class'!G44/'11a. AF by class'!$E44</f>
        <v>1540740.037927998</v>
      </c>
      <c r="H48" s="243">
        <f>$E48*'11a. AF by class'!H44/'11a. AF by class'!$E44</f>
        <v>2462983.7548727808</v>
      </c>
      <c r="I48" s="243">
        <f>$E48*'11a. AF by class'!I44/'11a. AF by class'!$E44</f>
        <v>111713.73383218549</v>
      </c>
      <c r="J48" s="243">
        <f>$E48*'11a. AF by class'!J44/'11a. AF by class'!$E44</f>
        <v>9861.9284403106376</v>
      </c>
      <c r="K48" s="243">
        <f>$E48*'11a. AF by class'!K44/'11a. AF by class'!$E44</f>
        <v>2136.7511620673049</v>
      </c>
      <c r="L48" s="243">
        <f>$E48*'11a. AF by class'!L44/'11a. AF by class'!$E44</f>
        <v>383.51943934541373</v>
      </c>
      <c r="M48" s="243">
        <f>$E48*'11a. AF by class'!M44/'11a. AF by class'!$E44</f>
        <v>16867.732827324642</v>
      </c>
      <c r="N48" s="244">
        <f>$E48*'11a. AF by class'!N44/'11a. AF by class'!$E44</f>
        <v>31925.253900938937</v>
      </c>
      <c r="P48" s="32">
        <f>SUM(F48:O48)</f>
        <v>10441490.41569642</v>
      </c>
      <c r="Q48" s="32">
        <f>E48-P48</f>
        <v>0</v>
      </c>
    </row>
    <row r="49" spans="1:17" x14ac:dyDescent="0.3">
      <c r="A49" s="157"/>
      <c r="B49" s="35"/>
      <c r="C49" s="35"/>
      <c r="D49" s="35"/>
      <c r="E49" s="243"/>
      <c r="F49" s="243"/>
      <c r="G49" s="243"/>
      <c r="H49" s="243"/>
      <c r="I49" s="243"/>
      <c r="J49" s="243"/>
      <c r="K49" s="243"/>
      <c r="L49" s="243"/>
      <c r="M49" s="243"/>
      <c r="N49" s="244"/>
    </row>
    <row r="50" spans="1:17" x14ac:dyDescent="0.3">
      <c r="A50" s="157" t="s">
        <v>272</v>
      </c>
      <c r="B50" s="35"/>
      <c r="C50" s="35"/>
      <c r="D50" s="35"/>
      <c r="E50" s="243"/>
      <c r="F50" s="243"/>
      <c r="G50" s="243"/>
      <c r="H50" s="243"/>
      <c r="I50" s="243"/>
      <c r="J50" s="243"/>
      <c r="K50" s="243"/>
      <c r="L50" s="243"/>
      <c r="M50" s="243"/>
      <c r="N50" s="244"/>
    </row>
    <row r="51" spans="1:17" x14ac:dyDescent="0.3">
      <c r="A51" s="157"/>
      <c r="B51" s="35" t="s">
        <v>81</v>
      </c>
      <c r="C51" s="35"/>
      <c r="D51" s="35"/>
      <c r="E51" s="243">
        <f>'9b. Summary Schedules-sf'!AC113</f>
        <v>44622185.358902119</v>
      </c>
      <c r="F51" s="243">
        <f>$E51*'11a. AF by class'!F47/'11a. AF by class'!$E47</f>
        <v>32120656.416553114</v>
      </c>
      <c r="G51" s="243">
        <f>$E51*'11a. AF by class'!G47/'11a. AF by class'!$E47</f>
        <v>7899528.7265536534</v>
      </c>
      <c r="H51" s="243">
        <f>$E51*'11a. AF by class'!H47/'11a. AF by class'!$E47</f>
        <v>4209321.5912914341</v>
      </c>
      <c r="I51" s="243">
        <f>$E51*'11a. AF by class'!I47/'11a. AF by class'!$E47</f>
        <v>114553.50387917402</v>
      </c>
      <c r="J51" s="243">
        <f>$E51*'11a. AF by class'!J47/'11a. AF by class'!$E47</f>
        <v>10112.619273296383</v>
      </c>
      <c r="K51" s="243">
        <f>$E51*'11a. AF by class'!K47/'11a. AF by class'!$E47</f>
        <v>2191.067509214216</v>
      </c>
      <c r="L51" s="243">
        <f>$E51*'11a. AF by class'!L47/'11a. AF by class'!$E47</f>
        <v>393.26852729485933</v>
      </c>
      <c r="M51" s="243">
        <f>$E51*'11a. AF by class'!M47/'11a. AF by class'!$E47</f>
        <v>101744.1861329986</v>
      </c>
      <c r="N51" s="244">
        <f>$E51*'11a. AF by class'!N47/'11a. AF by class'!$E47</f>
        <v>163683.97918193895</v>
      </c>
      <c r="P51" s="32">
        <f>SUM(F51:O51)</f>
        <v>44622185.358902112</v>
      </c>
      <c r="Q51" s="32">
        <f>E51-P51</f>
        <v>0</v>
      </c>
    </row>
    <row r="52" spans="1:17" x14ac:dyDescent="0.3">
      <c r="A52" s="157"/>
      <c r="B52" s="35" t="s">
        <v>1007</v>
      </c>
      <c r="C52" s="35"/>
      <c r="D52" s="35"/>
      <c r="E52" s="243">
        <f>'9b. Summary Schedules-sf'!AD113</f>
        <v>4343380.6995386407</v>
      </c>
      <c r="F52" s="243">
        <f>$E52*'11a. AF by class'!F48/'11a. AF by class'!$E48</f>
        <v>1507696.4667984892</v>
      </c>
      <c r="G52" s="243">
        <f>$E52*'11a. AF by class'!G48/'11a. AF by class'!$E48</f>
        <v>404574.97416746576</v>
      </c>
      <c r="H52" s="243">
        <f>$E52*'11a. AF by class'!H48/'11a. AF by class'!$E48</f>
        <v>983360.16278789833</v>
      </c>
      <c r="I52" s="243">
        <f>$E52*'11a. AF by class'!I48/'11a. AF by class'!$E48</f>
        <v>638105.9090104379</v>
      </c>
      <c r="J52" s="243">
        <f>$E52*'11a. AF by class'!J48/'11a. AF by class'!$E48</f>
        <v>307797.02607471164</v>
      </c>
      <c r="K52" s="243">
        <f>$E52*'11a. AF by class'!K48/'11a. AF by class'!$E48</f>
        <v>482805.67196340277</v>
      </c>
      <c r="L52" s="243">
        <f>$E52*'11a. AF by class'!L48/'11a. AF by class'!$E48</f>
        <v>0</v>
      </c>
      <c r="M52" s="243">
        <f>$E52*'11a. AF by class'!M48/'11a. AF by class'!$E48</f>
        <v>867.33515958857834</v>
      </c>
      <c r="N52" s="244">
        <f>$E52*'11a. AF by class'!N48/'11a. AF by class'!$E48</f>
        <v>18173.153576646735</v>
      </c>
      <c r="P52" s="32">
        <f>SUM(F52:O52)</f>
        <v>4343380.6995386407</v>
      </c>
      <c r="Q52" s="32">
        <f>E52-P52</f>
        <v>0</v>
      </c>
    </row>
    <row r="53" spans="1:17" x14ac:dyDescent="0.3">
      <c r="A53" s="157"/>
      <c r="B53" s="35" t="s">
        <v>1008</v>
      </c>
      <c r="C53" s="35"/>
      <c r="D53" s="35"/>
      <c r="E53" s="580">
        <f>'9b. Summary Schedules-sf'!AE113</f>
        <v>0</v>
      </c>
      <c r="F53" s="580">
        <f>$E53*'11a. AF by class'!F49/'11a. AF by class'!$E49</f>
        <v>0</v>
      </c>
      <c r="G53" s="580">
        <f>$E53*'11a. AF by class'!G49/'11a. AF by class'!$E49</f>
        <v>0</v>
      </c>
      <c r="H53" s="580">
        <f>$E53*'11a. AF by class'!H49/'11a. AF by class'!$E49</f>
        <v>0</v>
      </c>
      <c r="I53" s="580">
        <f>$E53*'11a. AF by class'!I49/'11a. AF by class'!$E49</f>
        <v>0</v>
      </c>
      <c r="J53" s="580">
        <f>$E53*'11a. AF by class'!J49/'11a. AF by class'!$E49</f>
        <v>0</v>
      </c>
      <c r="K53" s="580">
        <f>$E53*'11a. AF by class'!K49/'11a. AF by class'!$E49</f>
        <v>0</v>
      </c>
      <c r="L53" s="580">
        <f>$E53*'11a. AF by class'!L49/'11a. AF by class'!$E49</f>
        <v>0</v>
      </c>
      <c r="M53" s="580">
        <f>$E53*'11a. AF by class'!M49/'11a. AF by class'!$E49</f>
        <v>0</v>
      </c>
      <c r="N53" s="600">
        <f>$E53*'11a. AF by class'!N49/'11a. AF by class'!$E49</f>
        <v>0</v>
      </c>
      <c r="P53" s="32">
        <f>SUM(F53:O53)</f>
        <v>0</v>
      </c>
      <c r="Q53" s="32">
        <f>E53-P53</f>
        <v>0</v>
      </c>
    </row>
    <row r="54" spans="1:17" x14ac:dyDescent="0.3">
      <c r="A54" s="157"/>
      <c r="B54" s="35" t="s">
        <v>273</v>
      </c>
      <c r="C54" s="35" t="s">
        <v>335</v>
      </c>
      <c r="D54" s="35"/>
      <c r="E54" s="243">
        <f t="shared" ref="E54:N54" si="8">SUM(E51:E53)</f>
        <v>48965566.05844076</v>
      </c>
      <c r="F54" s="243">
        <f t="shared" si="8"/>
        <v>33628352.883351602</v>
      </c>
      <c r="G54" s="243">
        <f t="shared" si="8"/>
        <v>8304103.7007211195</v>
      </c>
      <c r="H54" s="243">
        <f t="shared" si="8"/>
        <v>5192681.7540793326</v>
      </c>
      <c r="I54" s="243">
        <f t="shared" si="8"/>
        <v>752659.41288961191</v>
      </c>
      <c r="J54" s="243">
        <f t="shared" si="8"/>
        <v>317909.64534800802</v>
      </c>
      <c r="K54" s="243">
        <f t="shared" si="8"/>
        <v>484996.73947261699</v>
      </c>
      <c r="L54" s="243">
        <f t="shared" si="8"/>
        <v>393.26852729485933</v>
      </c>
      <c r="M54" s="243">
        <f t="shared" si="8"/>
        <v>102611.52129258717</v>
      </c>
      <c r="N54" s="244">
        <f t="shared" si="8"/>
        <v>181857.13275858568</v>
      </c>
      <c r="P54" s="32">
        <f>SUM(F54:O54)</f>
        <v>48965566.058440767</v>
      </c>
      <c r="Q54" s="32">
        <f>E54-P54</f>
        <v>0</v>
      </c>
    </row>
    <row r="55" spans="1:17" x14ac:dyDescent="0.3">
      <c r="A55" s="157"/>
      <c r="B55" s="35"/>
      <c r="C55" s="35"/>
      <c r="D55" s="35"/>
      <c r="E55" s="243"/>
      <c r="F55" s="243"/>
      <c r="G55" s="243"/>
      <c r="H55" s="243"/>
      <c r="I55" s="243"/>
      <c r="J55" s="243"/>
      <c r="K55" s="243"/>
      <c r="L55" s="243"/>
      <c r="M55" s="243"/>
      <c r="N55" s="244"/>
    </row>
    <row r="56" spans="1:17" x14ac:dyDescent="0.3">
      <c r="A56" s="157" t="s">
        <v>274</v>
      </c>
      <c r="B56" s="35"/>
      <c r="C56" s="35"/>
      <c r="D56" s="35"/>
      <c r="E56" s="243"/>
      <c r="F56" s="243"/>
      <c r="G56" s="243"/>
      <c r="H56" s="243"/>
      <c r="I56" s="243"/>
      <c r="J56" s="243"/>
      <c r="K56" s="243"/>
      <c r="L56" s="243"/>
      <c r="M56" s="243"/>
      <c r="N56" s="244"/>
    </row>
    <row r="57" spans="1:17" x14ac:dyDescent="0.3">
      <c r="A57" s="157"/>
      <c r="B57" s="35" t="s">
        <v>1006</v>
      </c>
      <c r="C57" s="35"/>
      <c r="D57" s="35"/>
      <c r="E57" s="580">
        <f>'9b. Summary Schedules-sf'!AG$113</f>
        <v>9739653.0432508364</v>
      </c>
      <c r="F57" s="580">
        <f>$E57*'11a. AF by class'!F53/'11a. AF by class'!$E53</f>
        <v>3380878.0525990361</v>
      </c>
      <c r="G57" s="580">
        <f>$E57*'11a. AF by class'!G53/'11a. AF by class'!$E53</f>
        <v>907224.15347838204</v>
      </c>
      <c r="H57" s="580">
        <f>$E57*'11a. AF by class'!H53/'11a. AF by class'!$E53</f>
        <v>2205099.5444921819</v>
      </c>
      <c r="I57" s="580">
        <f>$E57*'11a. AF by class'!I53/'11a. AF by class'!$E53</f>
        <v>1430896.9414700419</v>
      </c>
      <c r="J57" s="580">
        <f>$E57*'11a. AF by class'!J53/'11a. AF by class'!$E53</f>
        <v>690208.03127631801</v>
      </c>
      <c r="K57" s="580">
        <f>$E57*'11a. AF by class'!K53/'11a. AF by class'!$E53</f>
        <v>1082649.6817874175</v>
      </c>
      <c r="L57" s="580">
        <f>$E57*'11a. AF by class'!L53/'11a. AF by class'!$E53</f>
        <v>0</v>
      </c>
      <c r="M57" s="580">
        <f>$E57*'11a. AF by class'!M53/'11a. AF by class'!$E53</f>
        <v>1944.9235770427988</v>
      </c>
      <c r="N57" s="600">
        <f>$E57*'11a. AF by class'!N53/'11a. AF by class'!$E53</f>
        <v>40751.714570415941</v>
      </c>
      <c r="P57" s="32">
        <f>SUM(F57:O57)</f>
        <v>9739653.0432508364</v>
      </c>
      <c r="Q57" s="32">
        <f>E57-P57</f>
        <v>0</v>
      </c>
    </row>
    <row r="58" spans="1:17" x14ac:dyDescent="0.3">
      <c r="A58" s="157"/>
      <c r="B58" s="35" t="s">
        <v>275</v>
      </c>
      <c r="C58" s="35" t="s">
        <v>335</v>
      </c>
      <c r="D58" s="35"/>
      <c r="E58" s="243">
        <f t="shared" ref="E58:N58" si="9">SUM(E57:E57)</f>
        <v>9739653.0432508364</v>
      </c>
      <c r="F58" s="243">
        <f t="shared" si="9"/>
        <v>3380878.0525990361</v>
      </c>
      <c r="G58" s="243">
        <f t="shared" si="9"/>
        <v>907224.15347838204</v>
      </c>
      <c r="H58" s="243">
        <f t="shared" si="9"/>
        <v>2205099.5444921819</v>
      </c>
      <c r="I58" s="243">
        <f t="shared" si="9"/>
        <v>1430896.9414700419</v>
      </c>
      <c r="J58" s="243">
        <f t="shared" si="9"/>
        <v>690208.03127631801</v>
      </c>
      <c r="K58" s="243">
        <f t="shared" si="9"/>
        <v>1082649.6817874175</v>
      </c>
      <c r="L58" s="243">
        <f t="shared" si="9"/>
        <v>0</v>
      </c>
      <c r="M58" s="243">
        <f t="shared" si="9"/>
        <v>1944.9235770427988</v>
      </c>
      <c r="N58" s="244">
        <f t="shared" si="9"/>
        <v>40751.714570415941</v>
      </c>
      <c r="P58" s="32">
        <f>SUM(F58:O58)</f>
        <v>9739653.0432508364</v>
      </c>
      <c r="Q58" s="32">
        <f>E58-P58</f>
        <v>0</v>
      </c>
    </row>
    <row r="59" spans="1:17" x14ac:dyDescent="0.3">
      <c r="A59" s="157"/>
      <c r="B59" s="35"/>
      <c r="C59" s="35"/>
      <c r="D59" s="35"/>
      <c r="E59" s="243"/>
      <c r="F59" s="243"/>
      <c r="G59" s="243"/>
      <c r="H59" s="243"/>
      <c r="I59" s="243"/>
      <c r="J59" s="243"/>
      <c r="K59" s="243"/>
      <c r="L59" s="243"/>
      <c r="M59" s="243"/>
      <c r="N59" s="244"/>
    </row>
    <row r="60" spans="1:17" x14ac:dyDescent="0.3">
      <c r="A60" s="157" t="s">
        <v>638</v>
      </c>
      <c r="B60" s="35"/>
      <c r="C60" s="35" t="s">
        <v>335</v>
      </c>
      <c r="D60" s="35"/>
      <c r="E60" s="243">
        <f>'9b. Summary Schedules-sf'!AH$113</f>
        <v>-37878786.944044746</v>
      </c>
      <c r="F60" s="243">
        <f>$E60*'11a. AF by class'!F56/'11a. AF by class'!$E56</f>
        <v>-15065340.127245091</v>
      </c>
      <c r="G60" s="243">
        <f>$E60*'11a. AF by class'!G56/'11a. AF by class'!$E56</f>
        <v>-3862023.5548660918</v>
      </c>
      <c r="H60" s="243">
        <f>$E60*'11a. AF by class'!H56/'11a. AF by class'!$E56</f>
        <v>-8881360.0475966316</v>
      </c>
      <c r="I60" s="243">
        <f>$E60*'11a. AF by class'!I56/'11a. AF by class'!$E56</f>
        <v>-4994814.9284779858</v>
      </c>
      <c r="J60" s="243">
        <f>$E60*'11a. AF by class'!J56/'11a. AF by class'!$E56</f>
        <v>-2166469.1255043815</v>
      </c>
      <c r="K60" s="243">
        <f>$E60*'11a. AF by class'!K56/'11a. AF by class'!$E56</f>
        <v>-2908708.5120797972</v>
      </c>
      <c r="L60" s="243">
        <f>$E60*'11a. AF by class'!L56/'11a. AF by class'!$E56</f>
        <v>0</v>
      </c>
      <c r="M60" s="243">
        <f>$E60*'11a. AF by class'!M56/'11a. AF by class'!$E56</f>
        <v>0</v>
      </c>
      <c r="N60" s="244">
        <f>$E60*'11a. AF by class'!N56/'11a. AF by class'!$E56</f>
        <v>-70.648274765631641</v>
      </c>
      <c r="P60" s="32">
        <f>SUM(F60:O60)</f>
        <v>-37878786.944044746</v>
      </c>
      <c r="Q60" s="32">
        <f>E60-P60</f>
        <v>0</v>
      </c>
    </row>
    <row r="61" spans="1:17" x14ac:dyDescent="0.3">
      <c r="A61" s="157"/>
      <c r="B61" s="35"/>
      <c r="C61" s="35"/>
      <c r="D61" s="35"/>
      <c r="E61" s="243"/>
      <c r="F61" s="243"/>
      <c r="G61" s="243"/>
      <c r="H61" s="243"/>
      <c r="I61" s="243"/>
      <c r="J61" s="243"/>
      <c r="K61" s="243"/>
      <c r="L61" s="243"/>
      <c r="M61" s="243"/>
      <c r="N61" s="244"/>
    </row>
    <row r="62" spans="1:17" x14ac:dyDescent="0.3">
      <c r="A62" s="157" t="s">
        <v>953</v>
      </c>
      <c r="B62" s="35"/>
      <c r="C62" s="35"/>
      <c r="D62" s="35"/>
      <c r="E62" s="243">
        <f>SUM(E18,E20,E22,E41,E46,E48,E54,E58,E60)</f>
        <v>6686594345.7346487</v>
      </c>
      <c r="F62" s="243">
        <f t="shared" ref="F62:N62" si="10">SUM(F18,F20,F22,F41,F46,F48,F54,F58,F60)</f>
        <v>2933439982.4509401</v>
      </c>
      <c r="G62" s="243">
        <f t="shared" si="10"/>
        <v>843725214.19341743</v>
      </c>
      <c r="H62" s="243">
        <f t="shared" si="10"/>
        <v>1292474199.4392307</v>
      </c>
      <c r="I62" s="243">
        <f t="shared" si="10"/>
        <v>690603733.66046226</v>
      </c>
      <c r="J62" s="243">
        <f t="shared" si="10"/>
        <v>281148835.67992032</v>
      </c>
      <c r="K62" s="243">
        <f t="shared" si="10"/>
        <v>402181411.83532226</v>
      </c>
      <c r="L62" s="243">
        <f t="shared" si="10"/>
        <v>88666980.963890865</v>
      </c>
      <c r="M62" s="243">
        <f t="shared" si="10"/>
        <v>2831264.6608409379</v>
      </c>
      <c r="N62" s="244">
        <f t="shared" si="10"/>
        <v>151522722.85062528</v>
      </c>
      <c r="P62" s="32">
        <f>SUM(F62:O62)</f>
        <v>6686594345.7346506</v>
      </c>
      <c r="Q62" s="32">
        <f>E62-P62</f>
        <v>0</v>
      </c>
    </row>
    <row r="63" spans="1:17" x14ac:dyDescent="0.3">
      <c r="A63" s="157"/>
      <c r="B63" s="35"/>
      <c r="C63" s="35"/>
      <c r="D63" s="35"/>
      <c r="E63" s="243"/>
      <c r="F63" s="243"/>
      <c r="G63" s="243"/>
      <c r="H63" s="243"/>
      <c r="I63" s="243"/>
      <c r="J63" s="243"/>
      <c r="K63" s="243"/>
      <c r="L63" s="243"/>
      <c r="M63" s="243"/>
      <c r="N63" s="244"/>
    </row>
    <row r="64" spans="1:17" x14ac:dyDescent="0.3">
      <c r="A64" s="157"/>
      <c r="B64" s="35"/>
      <c r="C64" s="35"/>
      <c r="D64" s="35"/>
      <c r="E64" s="243"/>
      <c r="F64" s="243"/>
      <c r="G64" s="243"/>
      <c r="H64" s="243"/>
      <c r="I64" s="243"/>
      <c r="J64" s="243"/>
      <c r="K64" s="243"/>
      <c r="L64" s="243"/>
      <c r="M64" s="243"/>
      <c r="N64" s="244"/>
    </row>
    <row r="65" spans="1:18" x14ac:dyDescent="0.3">
      <c r="A65" s="157" t="s">
        <v>1010</v>
      </c>
      <c r="B65" s="35"/>
      <c r="C65" s="35"/>
      <c r="D65" s="35"/>
      <c r="E65" s="243">
        <f>SUMIF($C$10:$C$60,"=C",E$10:E$60)</f>
        <v>1177953834.4831815</v>
      </c>
      <c r="F65" s="243">
        <f t="shared" ref="F65:N65" si="11">SUMIF($C$10:$C$60,"=C",F$10:F$60)</f>
        <v>706035930.82180476</v>
      </c>
      <c r="G65" s="243">
        <f t="shared" si="11"/>
        <v>173283350.34101048</v>
      </c>
      <c r="H65" s="243">
        <f t="shared" si="11"/>
        <v>146192660.50502291</v>
      </c>
      <c r="I65" s="243">
        <f t="shared" si="11"/>
        <v>20341639.762505971</v>
      </c>
      <c r="J65" s="243">
        <f t="shared" si="11"/>
        <v>826672.84118491644</v>
      </c>
      <c r="K65" s="243">
        <f t="shared" si="11"/>
        <v>437639.038772156</v>
      </c>
      <c r="L65" s="243">
        <f t="shared" si="11"/>
        <v>197177.99578687496</v>
      </c>
      <c r="M65" s="243">
        <f t="shared" si="11"/>
        <v>2242722.7733403803</v>
      </c>
      <c r="N65" s="244">
        <f t="shared" si="11"/>
        <v>128396040.40375318</v>
      </c>
      <c r="P65" s="32">
        <f>SUM(F65:O65)</f>
        <v>1177953834.4831817</v>
      </c>
      <c r="Q65" s="32">
        <f>E65-P65</f>
        <v>0</v>
      </c>
    </row>
    <row r="66" spans="1:18" x14ac:dyDescent="0.3">
      <c r="A66" s="157" t="s">
        <v>336</v>
      </c>
      <c r="B66" s="35"/>
      <c r="C66" s="35"/>
      <c r="D66" s="35"/>
      <c r="E66" s="243">
        <f>SUMIF($C$10:$C$60,"=D",E$10:E$60)</f>
        <v>5274491313.3457317</v>
      </c>
      <c r="F66" s="243">
        <f t="shared" ref="F66:N66" si="12">SUMIF($C$10:$C$60,"=D",F$10:F$60)</f>
        <v>2147893325.692934</v>
      </c>
      <c r="G66" s="243">
        <f t="shared" si="12"/>
        <v>649105971.25064063</v>
      </c>
      <c r="H66" s="243">
        <f t="shared" si="12"/>
        <v>1094422506.2165458</v>
      </c>
      <c r="I66" s="243">
        <f t="shared" si="12"/>
        <v>636599569.66454244</v>
      </c>
      <c r="J66" s="243">
        <f t="shared" si="12"/>
        <v>264060042.23322579</v>
      </c>
      <c r="K66" s="243">
        <f t="shared" si="12"/>
        <v>375993937.77855557</v>
      </c>
      <c r="L66" s="243">
        <f t="shared" si="12"/>
        <v>83704866.061093107</v>
      </c>
      <c r="M66" s="243">
        <f t="shared" si="12"/>
        <v>542801.6143835712</v>
      </c>
      <c r="N66" s="244">
        <f t="shared" si="12"/>
        <v>22168292.833810598</v>
      </c>
      <c r="P66" s="32">
        <f>SUM(F66:O66)</f>
        <v>5274491313.3457327</v>
      </c>
      <c r="Q66" s="32">
        <f>E66-P66</f>
        <v>0</v>
      </c>
    </row>
    <row r="67" spans="1:18" x14ac:dyDescent="0.3">
      <c r="A67" s="157" t="s">
        <v>927</v>
      </c>
      <c r="B67" s="35"/>
      <c r="C67" s="35"/>
      <c r="D67" s="35"/>
      <c r="E67" s="243">
        <f>SUMIF($C$10:$C$60,"=e",E$10:E$60)</f>
        <v>234149197.90573603</v>
      </c>
      <c r="F67" s="243">
        <f t="shared" ref="F67:N67" si="13">SUMIF($C$10:$C$60,"=e",F$10:F$60)</f>
        <v>79510725.936200649</v>
      </c>
      <c r="G67" s="243">
        <f t="shared" si="13"/>
        <v>21335892.601766132</v>
      </c>
      <c r="H67" s="243">
        <f t="shared" si="13"/>
        <v>51859032.717661992</v>
      </c>
      <c r="I67" s="243">
        <f t="shared" si="13"/>
        <v>33662524.233413793</v>
      </c>
      <c r="J67" s="243">
        <f t="shared" si="13"/>
        <v>16262120.605509549</v>
      </c>
      <c r="K67" s="243">
        <f t="shared" si="13"/>
        <v>25749835.017994501</v>
      </c>
      <c r="L67" s="243">
        <f t="shared" si="13"/>
        <v>4764936.9070108812</v>
      </c>
      <c r="M67" s="243">
        <f t="shared" si="13"/>
        <v>45740.273116986398</v>
      </c>
      <c r="N67" s="244">
        <f t="shared" si="13"/>
        <v>958389.61306153215</v>
      </c>
      <c r="P67" s="32">
        <f>SUM(F67:O67)</f>
        <v>234149197.90573597</v>
      </c>
      <c r="Q67" s="32">
        <f>E67-P67</f>
        <v>0</v>
      </c>
    </row>
    <row r="68" spans="1:18" x14ac:dyDescent="0.3">
      <c r="A68" s="157"/>
      <c r="B68" s="35"/>
      <c r="C68" s="35"/>
      <c r="D68" s="35"/>
      <c r="E68" s="243"/>
      <c r="F68" s="243"/>
      <c r="G68" s="243"/>
      <c r="H68" s="243"/>
      <c r="I68" s="243"/>
      <c r="J68" s="243"/>
      <c r="K68" s="243"/>
      <c r="L68" s="243"/>
      <c r="M68" s="243"/>
      <c r="N68" s="244"/>
    </row>
    <row r="69" spans="1:18" x14ac:dyDescent="0.3">
      <c r="A69" s="157" t="s">
        <v>953</v>
      </c>
      <c r="B69" s="35"/>
      <c r="C69" s="35"/>
      <c r="D69" s="35"/>
      <c r="E69" s="243">
        <f>SUM(E65:E67)</f>
        <v>6686594345.7346487</v>
      </c>
      <c r="F69" s="243">
        <f t="shared" ref="F69:N69" si="14">SUM(F65:F67)</f>
        <v>2933439982.4509397</v>
      </c>
      <c r="G69" s="243">
        <f t="shared" si="14"/>
        <v>843725214.19341719</v>
      </c>
      <c r="H69" s="243">
        <f t="shared" si="14"/>
        <v>1292474199.4392309</v>
      </c>
      <c r="I69" s="243">
        <f t="shared" si="14"/>
        <v>690603733.66046226</v>
      </c>
      <c r="J69" s="243">
        <f t="shared" si="14"/>
        <v>281148835.67992026</v>
      </c>
      <c r="K69" s="243">
        <f t="shared" si="14"/>
        <v>402181411.83532226</v>
      </c>
      <c r="L69" s="243">
        <f t="shared" si="14"/>
        <v>88666980.963890865</v>
      </c>
      <c r="M69" s="243">
        <f t="shared" si="14"/>
        <v>2831264.6608409379</v>
      </c>
      <c r="N69" s="244">
        <f t="shared" si="14"/>
        <v>151522722.85062531</v>
      </c>
      <c r="P69" s="32">
        <f>SUM(F69:O69)</f>
        <v>6686594345.7346497</v>
      </c>
      <c r="Q69" s="32">
        <f>E69-P69</f>
        <v>0</v>
      </c>
    </row>
    <row r="70" spans="1:18" ht="13.5" thickBot="1" x14ac:dyDescent="0.35">
      <c r="A70" s="33"/>
      <c r="B70" s="34"/>
      <c r="C70" s="34"/>
      <c r="D70" s="34"/>
      <c r="E70" s="588"/>
      <c r="F70" s="588"/>
      <c r="G70" s="588"/>
      <c r="H70" s="588"/>
      <c r="I70" s="588"/>
      <c r="J70" s="588"/>
      <c r="K70" s="588"/>
      <c r="L70" s="588"/>
      <c r="M70" s="588"/>
      <c r="N70" s="599"/>
      <c r="R70" s="32" t="s">
        <v>339</v>
      </c>
    </row>
    <row r="71" spans="1:18" x14ac:dyDescent="0.3">
      <c r="E71" s="121"/>
      <c r="F71" s="121"/>
      <c r="G71" s="121"/>
      <c r="H71" s="121"/>
      <c r="I71" s="121"/>
      <c r="J71" s="121"/>
      <c r="K71" s="121"/>
      <c r="L71" s="121"/>
      <c r="M71" s="121"/>
      <c r="N71" s="121"/>
    </row>
  </sheetData>
  <customSheetViews>
    <customSheetView guid="{121E4431-22F3-11D5-8242-00600818425F}" scale="75" showRuler="0">
      <pane xSplit="2" ySplit="7" topLeftCell="C20" activePane="bottomRight" state="frozen"/>
      <selection pane="bottomRight" activeCell="E22" sqref="E22"/>
      <pageMargins left="0" right="0" top="0.5" bottom="0.4" header="0.2" footer="0.2"/>
      <printOptions horizontalCentered="1" gridLines="1"/>
      <pageSetup scale="65" orientation="landscape" horizontalDpi="300" vertic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showRuler="0">
      <pane xSplit="2" ySplit="7" topLeftCell="C20" activePane="bottomRight" state="frozen"/>
      <selection pane="bottomRight" activeCell="E22" sqref="E22"/>
      <pageMargins left="0" right="0" top="0.5" bottom="0.4" header="0.2" footer="0.2"/>
      <printOptions horizontalCentered="1" gridLines="1"/>
      <pageSetup scale="65" orientation="landscape" horizontalDpi="300" vertic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showRuler="0">
      <pane xSplit="2" ySplit="7" topLeftCell="C20" activePane="bottomRight" state="frozen"/>
      <selection pane="bottomRight" activeCell="E22" sqref="E22"/>
      <pageMargins left="0" right="0" top="0.5" bottom="0.4" header="0.2" footer="0.2"/>
      <printOptions horizontalCentered="1" gridLines="1"/>
      <pageSetup scale="65" orientation="landscape" horizontalDpi="300" verticalDpi="300" r:id="rId3"/>
      <headerFooter alignWithMargins="0">
        <oddFooter>&amp;L&amp;8&amp;F&amp;C&amp;8&amp;A
page &amp;P&amp;R&amp;8&amp;D
&amp;T</oddFooter>
      </headerFooter>
    </customSheetView>
  </customSheetViews>
  <mergeCells count="1">
    <mergeCell ref="A5:N5"/>
  </mergeCells>
  <phoneticPr fontId="0" type="noConversion"/>
  <printOptions horizontalCentered="1" gridLines="1" gridLinesSet="0"/>
  <pageMargins left="0" right="0" top="0.5" bottom="0.4" header="0.2" footer="0.2"/>
  <pageSetup scale="60" orientation="landscape" horizontalDpi="300" verticalDpi="300" r:id="rId4"/>
  <headerFooter alignWithMargins="0">
    <oddFooter>&amp;L&amp;F&amp;C&amp;A
&amp;P&amp;R&amp;D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Z131"/>
  <sheetViews>
    <sheetView zoomScale="75" zoomScaleNormal="75" workbookViewId="0">
      <pane xSplit="2" ySplit="7" topLeftCell="F8" activePane="bottomRight" state="frozen"/>
      <selection activeCell="B49" sqref="A1:XFD1048576"/>
      <selection pane="topRight" activeCell="B49" sqref="A1:XFD1048576"/>
      <selection pane="bottomLeft" activeCell="B49" sqref="A1:XFD1048576"/>
      <selection pane="bottomRight" activeCell="O16" sqref="O16"/>
    </sheetView>
  </sheetViews>
  <sheetFormatPr defaultColWidth="9.1796875" defaultRowHeight="13" x14ac:dyDescent="0.3"/>
  <cols>
    <col min="1" max="1" width="4.54296875" style="32" customWidth="1"/>
    <col min="2" max="2" width="32.1796875" style="32" customWidth="1"/>
    <col min="3" max="3" width="12.81640625" style="32" customWidth="1"/>
    <col min="4" max="4" width="11.453125" style="32" customWidth="1"/>
    <col min="5" max="8" width="15" style="32" customWidth="1"/>
    <col min="9" max="14" width="12.54296875" style="32" customWidth="1"/>
    <col min="15" max="15" width="12.453125" style="32" customWidth="1"/>
    <col min="16" max="16" width="13.81640625" style="32" customWidth="1"/>
    <col min="17" max="17" width="11.54296875" style="32" bestFit="1" customWidth="1"/>
    <col min="18" max="18" width="9.1796875" style="32"/>
    <col min="19" max="19" width="11.453125" style="32" bestFit="1" customWidth="1"/>
    <col min="20" max="20" width="8.54296875" style="32" bestFit="1" customWidth="1"/>
    <col min="21" max="16384" width="9.1796875" style="32"/>
  </cols>
  <sheetData>
    <row r="1" spans="1:52" x14ac:dyDescent="0.3">
      <c r="A1" s="301" t="str">
        <f>'1. RB-i'!$A$1</f>
        <v>CPS Energy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3"/>
      <c r="S1" s="1"/>
      <c r="T1" s="1"/>
    </row>
    <row r="2" spans="1:52" x14ac:dyDescent="0.3">
      <c r="A2" s="307" t="s">
        <v>1257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98"/>
    </row>
    <row r="3" spans="1:52" x14ac:dyDescent="0.3">
      <c r="A3" s="307" t="str">
        <f>'10a. RB by class'!A3</f>
        <v>Based on FYE 2017 Test Year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98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</row>
    <row r="4" spans="1:52" s="5" customFormat="1" x14ac:dyDescent="0.3">
      <c r="A4" s="304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305"/>
    </row>
    <row r="5" spans="1:52" s="5" customFormat="1" x14ac:dyDescent="0.3">
      <c r="A5" s="304"/>
      <c r="B5" s="196"/>
      <c r="C5" s="196"/>
      <c r="D5" s="196"/>
      <c r="E5" s="196"/>
      <c r="F5" s="196"/>
      <c r="G5" s="196"/>
      <c r="H5" s="199"/>
      <c r="I5" s="199"/>
      <c r="J5" s="199"/>
      <c r="K5" s="196"/>
      <c r="L5" s="196"/>
      <c r="M5" s="196"/>
      <c r="N5" s="305"/>
      <c r="P5" s="5" t="s">
        <v>832</v>
      </c>
    </row>
    <row r="6" spans="1:52" s="5" customFormat="1" x14ac:dyDescent="0.3">
      <c r="A6" s="304"/>
      <c r="B6" s="196"/>
      <c r="C6" s="196" t="s">
        <v>359</v>
      </c>
      <c r="D6" s="196"/>
      <c r="E6" s="196" t="s">
        <v>355</v>
      </c>
      <c r="F6" s="196" t="s">
        <v>961</v>
      </c>
      <c r="G6" s="196" t="s">
        <v>962</v>
      </c>
      <c r="H6" s="196" t="s">
        <v>963</v>
      </c>
      <c r="I6" s="196" t="s">
        <v>964</v>
      </c>
      <c r="J6" s="196" t="s">
        <v>965</v>
      </c>
      <c r="K6" s="196" t="s">
        <v>966</v>
      </c>
      <c r="L6" s="196" t="s">
        <v>967</v>
      </c>
      <c r="M6" s="196" t="s">
        <v>968</v>
      </c>
      <c r="N6" s="305" t="s">
        <v>932</v>
      </c>
      <c r="P6" s="5" t="s">
        <v>833</v>
      </c>
      <c r="Q6" s="5" t="s">
        <v>824</v>
      </c>
    </row>
    <row r="7" spans="1:52" s="5" customFormat="1" ht="13.5" thickBot="1" x14ac:dyDescent="0.35">
      <c r="A7" s="299"/>
      <c r="B7" s="282"/>
      <c r="C7" s="282"/>
      <c r="D7" s="282"/>
      <c r="E7" s="282" t="s">
        <v>816</v>
      </c>
      <c r="F7" s="282" t="s">
        <v>817</v>
      </c>
      <c r="G7" s="282" t="s">
        <v>818</v>
      </c>
      <c r="H7" s="282" t="s">
        <v>819</v>
      </c>
      <c r="I7" s="282" t="s">
        <v>820</v>
      </c>
      <c r="J7" s="282" t="s">
        <v>821</v>
      </c>
      <c r="K7" s="282" t="s">
        <v>822</v>
      </c>
      <c r="L7" s="282" t="s">
        <v>823</v>
      </c>
      <c r="M7" s="282" t="s">
        <v>908</v>
      </c>
      <c r="N7" s="300" t="s">
        <v>914</v>
      </c>
    </row>
    <row r="8" spans="1:52" x14ac:dyDescent="0.3">
      <c r="A8" s="157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158"/>
      <c r="O8" s="35"/>
      <c r="P8" s="35"/>
    </row>
    <row r="9" spans="1:52" x14ac:dyDescent="0.3">
      <c r="A9" s="157" t="s">
        <v>544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158"/>
    </row>
    <row r="10" spans="1:52" x14ac:dyDescent="0.3">
      <c r="A10" s="157"/>
      <c r="B10" s="35" t="s">
        <v>969</v>
      </c>
      <c r="C10" s="35"/>
      <c r="D10" s="35"/>
      <c r="E10" s="243">
        <f>'9b. Summary Schedules-sf'!E190</f>
        <v>191124271.48417693</v>
      </c>
      <c r="F10" s="243">
        <f>$E10*'11a. AF by class'!F10/'11a. AF by class'!$E10</f>
        <v>76083170.834600508</v>
      </c>
      <c r="G10" s="243">
        <f>$E10*'11a. AF by class'!G10/'11a. AF by class'!$E10</f>
        <v>22558590.45164473</v>
      </c>
      <c r="H10" s="243">
        <f>$E10*'11a. AF by class'!H10/'11a. AF by class'!$E10</f>
        <v>39954185.436808512</v>
      </c>
      <c r="I10" s="243">
        <f>$E10*'11a. AF by class'!I10/'11a. AF by class'!$E10</f>
        <v>23441180.799107026</v>
      </c>
      <c r="J10" s="243">
        <f>$E10*'11a. AF by class'!J10/'11a. AF by class'!$E10</f>
        <v>9852292.602679614</v>
      </c>
      <c r="K10" s="243">
        <f>$E10*'11a. AF by class'!K10/'11a. AF by class'!$E10</f>
        <v>14596476.384892711</v>
      </c>
      <c r="L10" s="243">
        <f>$E10*'11a. AF by class'!L10/'11a. AF by class'!$E10</f>
        <v>3799606.9265690194</v>
      </c>
      <c r="M10" s="243">
        <f>$E10*'11a. AF by class'!M10/'11a. AF by class'!$E10</f>
        <v>20426.824208719172</v>
      </c>
      <c r="N10" s="244">
        <f>$E10*'11a. AF by class'!N10/'11a. AF by class'!$E10</f>
        <v>818341.22366608772</v>
      </c>
      <c r="O10" s="121"/>
      <c r="P10" s="121">
        <f>SUM(F10:O10)</f>
        <v>191124271.4841769</v>
      </c>
      <c r="Q10" s="121">
        <f>E10-P10</f>
        <v>0</v>
      </c>
    </row>
    <row r="11" spans="1:52" x14ac:dyDescent="0.3">
      <c r="A11" s="157"/>
      <c r="B11" s="35" t="s">
        <v>1140</v>
      </c>
      <c r="C11" s="35"/>
      <c r="D11" s="35"/>
      <c r="E11" s="642"/>
      <c r="F11" s="642"/>
      <c r="G11" s="642"/>
      <c r="H11" s="642"/>
      <c r="I11" s="642"/>
      <c r="J11" s="642"/>
      <c r="K11" s="642"/>
      <c r="L11" s="642"/>
      <c r="M11" s="642"/>
      <c r="N11" s="643"/>
      <c r="O11" s="644"/>
      <c r="P11" s="644"/>
      <c r="Q11" s="644"/>
    </row>
    <row r="12" spans="1:52" x14ac:dyDescent="0.3">
      <c r="A12" s="157"/>
      <c r="B12" s="35" t="s">
        <v>1139</v>
      </c>
      <c r="C12" s="35"/>
      <c r="D12" s="35"/>
      <c r="E12" s="642"/>
      <c r="F12" s="642"/>
      <c r="G12" s="642"/>
      <c r="H12" s="642"/>
      <c r="I12" s="642"/>
      <c r="J12" s="642"/>
      <c r="K12" s="642"/>
      <c r="L12" s="642"/>
      <c r="M12" s="642"/>
      <c r="N12" s="643"/>
      <c r="O12" s="644"/>
      <c r="P12" s="644"/>
      <c r="Q12" s="644"/>
    </row>
    <row r="13" spans="1:52" x14ac:dyDescent="0.3">
      <c r="A13" s="157"/>
      <c r="B13" s="35" t="s">
        <v>947</v>
      </c>
      <c r="C13" s="35"/>
      <c r="D13" s="35"/>
      <c r="E13" s="642"/>
      <c r="F13" s="642"/>
      <c r="G13" s="642"/>
      <c r="H13" s="642"/>
      <c r="I13" s="642"/>
      <c r="J13" s="642"/>
      <c r="K13" s="642"/>
      <c r="L13" s="642"/>
      <c r="M13" s="642"/>
      <c r="N13" s="643"/>
      <c r="O13" s="644"/>
      <c r="P13" s="644"/>
      <c r="Q13" s="644"/>
    </row>
    <row r="14" spans="1:52" x14ac:dyDescent="0.3">
      <c r="A14" s="157"/>
      <c r="B14" s="35"/>
      <c r="C14" s="35"/>
      <c r="D14" s="35"/>
      <c r="E14" s="243"/>
      <c r="F14" s="243"/>
      <c r="G14" s="243"/>
      <c r="H14" s="243"/>
      <c r="I14" s="243"/>
      <c r="J14" s="243"/>
      <c r="K14" s="243"/>
      <c r="L14" s="243"/>
      <c r="M14" s="243"/>
      <c r="N14" s="244"/>
      <c r="O14" s="121"/>
      <c r="P14" s="121"/>
      <c r="Q14" s="121"/>
    </row>
    <row r="15" spans="1:52" x14ac:dyDescent="0.3">
      <c r="A15" s="157"/>
      <c r="B15" s="35" t="s">
        <v>970</v>
      </c>
      <c r="C15" s="35"/>
      <c r="D15" s="35"/>
      <c r="E15" s="243">
        <f>'9b. Summary Schedules-sf'!I190</f>
        <v>6481509.6858230839</v>
      </c>
      <c r="F15" s="243">
        <f>$E15*'11a. AF by class'!F11/'11a. AF by class'!$E11</f>
        <v>2204982.1977043939</v>
      </c>
      <c r="G15" s="243">
        <f>$E15*'11a. AF by class'!G11/'11a. AF by class'!$E11</f>
        <v>591684.49042681733</v>
      </c>
      <c r="H15" s="243">
        <f>$E15*'11a. AF by class'!H11/'11a. AF by class'!$E11</f>
        <v>1438148.6596458363</v>
      </c>
      <c r="I15" s="243">
        <f>$E15*'11a. AF by class'!I11/'11a. AF by class'!$E11</f>
        <v>933219.78302815044</v>
      </c>
      <c r="J15" s="243">
        <f>$E15*'11a. AF by class'!J11/'11a. AF by class'!$E11</f>
        <v>450148.27450133173</v>
      </c>
      <c r="K15" s="243">
        <f>$E15*'11a. AF by class'!K11/'11a. AF by class'!$E11</f>
        <v>706095.64661949722</v>
      </c>
      <c r="L15" s="243">
        <f>$E15*'11a. AF by class'!L11/'11a. AF by class'!$E11</f>
        <v>129384.22076050509</v>
      </c>
      <c r="M15" s="243">
        <f>$E15*'11a. AF by class'!M11/'11a. AF by class'!$E11</f>
        <v>1268.4639305396238</v>
      </c>
      <c r="N15" s="244">
        <f>$E15*'11a. AF by class'!N11/'11a. AF by class'!$E11</f>
        <v>26577.949206011992</v>
      </c>
      <c r="O15" s="121"/>
      <c r="P15" s="121">
        <f>SUM(F15:O15)</f>
        <v>6481509.6858230839</v>
      </c>
      <c r="Q15" s="121">
        <f>E15-P15</f>
        <v>0</v>
      </c>
    </row>
    <row r="16" spans="1:52" x14ac:dyDescent="0.3">
      <c r="A16" s="157"/>
      <c r="B16" s="35" t="s">
        <v>971</v>
      </c>
      <c r="C16" s="35"/>
      <c r="D16" s="35"/>
      <c r="E16" s="35">
        <f>E10+E15</f>
        <v>197605781.17000002</v>
      </c>
      <c r="F16" s="35">
        <f t="shared" ref="F16:P16" si="0">F10+F15</f>
        <v>78288153.032304898</v>
      </c>
      <c r="G16" s="35">
        <f t="shared" si="0"/>
        <v>23150274.942071546</v>
      </c>
      <c r="H16" s="35">
        <f t="shared" si="0"/>
        <v>41392334.096454345</v>
      </c>
      <c r="I16" s="35">
        <f t="shared" si="0"/>
        <v>24374400.582135178</v>
      </c>
      <c r="J16" s="35">
        <f t="shared" si="0"/>
        <v>10302440.877180945</v>
      </c>
      <c r="K16" s="35">
        <f t="shared" si="0"/>
        <v>15302572.031512208</v>
      </c>
      <c r="L16" s="35">
        <f t="shared" si="0"/>
        <v>3928991.1473295246</v>
      </c>
      <c r="M16" s="35">
        <f t="shared" si="0"/>
        <v>21695.288139258795</v>
      </c>
      <c r="N16" s="158">
        <f t="shared" si="0"/>
        <v>844919.17287209968</v>
      </c>
      <c r="O16" s="35"/>
      <c r="P16" s="35">
        <f t="shared" si="0"/>
        <v>197605781.16999999</v>
      </c>
      <c r="Q16" s="121">
        <f>E16-P16</f>
        <v>0</v>
      </c>
    </row>
    <row r="17" spans="1:17" x14ac:dyDescent="0.3">
      <c r="A17" s="157"/>
      <c r="B17" s="35" t="s">
        <v>617</v>
      </c>
      <c r="C17" s="35"/>
      <c r="D17" s="35"/>
      <c r="E17" s="243">
        <f>'9b. Summary Schedules-sf'!J190</f>
        <v>0</v>
      </c>
      <c r="F17" s="243">
        <f>$E17*'11a. AF by class'!F13/'11a. AF by class'!$E13</f>
        <v>0</v>
      </c>
      <c r="G17" s="243">
        <f>$E17*'11a. AF by class'!G13/'11a. AF by class'!$E13</f>
        <v>0</v>
      </c>
      <c r="H17" s="243">
        <f>$E17*'11a. AF by class'!H13/'11a. AF by class'!$E13</f>
        <v>0</v>
      </c>
      <c r="I17" s="243">
        <f>$E17*'11a. AF by class'!I13/'11a. AF by class'!$E13</f>
        <v>0</v>
      </c>
      <c r="J17" s="243">
        <f>$E17*'11a. AF by class'!J13/'11a. AF by class'!$E13</f>
        <v>0</v>
      </c>
      <c r="K17" s="243">
        <f>$E17*'11a. AF by class'!K13/'11a. AF by class'!$E13</f>
        <v>0</v>
      </c>
      <c r="L17" s="243">
        <f>$E17*'11a. AF by class'!L13/'11a. AF by class'!$E13</f>
        <v>0</v>
      </c>
      <c r="M17" s="243">
        <f>$E17*'11a. AF by class'!M13/'11a. AF by class'!$E13</f>
        <v>0</v>
      </c>
      <c r="N17" s="244">
        <f>$E17*'11a. AF by class'!N13/'11a. AF by class'!$E13</f>
        <v>0</v>
      </c>
      <c r="O17" s="121"/>
      <c r="P17" s="121">
        <f>SUM(F17:O17)</f>
        <v>0</v>
      </c>
      <c r="Q17" s="121">
        <f>E17-P17</f>
        <v>0</v>
      </c>
    </row>
    <row r="18" spans="1:17" x14ac:dyDescent="0.3">
      <c r="A18" s="157"/>
      <c r="B18" s="35" t="s">
        <v>972</v>
      </c>
      <c r="C18" s="35"/>
      <c r="D18" s="35"/>
      <c r="E18" s="243">
        <f>SUM(E16:E17)</f>
        <v>197605781.17000002</v>
      </c>
      <c r="F18" s="243">
        <f t="shared" ref="F18:N18" si="1">SUM(F16:F17)</f>
        <v>78288153.032304898</v>
      </c>
      <c r="G18" s="243">
        <f t="shared" si="1"/>
        <v>23150274.942071546</v>
      </c>
      <c r="H18" s="243">
        <f t="shared" si="1"/>
        <v>41392334.096454345</v>
      </c>
      <c r="I18" s="243">
        <f t="shared" si="1"/>
        <v>24374400.582135178</v>
      </c>
      <c r="J18" s="243">
        <f t="shared" si="1"/>
        <v>10302440.877180945</v>
      </c>
      <c r="K18" s="243">
        <f t="shared" si="1"/>
        <v>15302572.031512208</v>
      </c>
      <c r="L18" s="243">
        <f t="shared" si="1"/>
        <v>3928991.1473295246</v>
      </c>
      <c r="M18" s="243">
        <f t="shared" si="1"/>
        <v>21695.288139258795</v>
      </c>
      <c r="N18" s="244">
        <f t="shared" si="1"/>
        <v>844919.17287209968</v>
      </c>
      <c r="O18" s="121"/>
      <c r="P18" s="121">
        <f>SUM(F18:O18)</f>
        <v>197605781.16999999</v>
      </c>
      <c r="Q18" s="121">
        <f>E18-P18</f>
        <v>0</v>
      </c>
    </row>
    <row r="19" spans="1:17" x14ac:dyDescent="0.3">
      <c r="A19" s="157"/>
      <c r="B19" s="35"/>
      <c r="C19" s="35"/>
      <c r="D19" s="35"/>
      <c r="E19" s="243"/>
      <c r="F19" s="243"/>
      <c r="G19" s="243"/>
      <c r="H19" s="243"/>
      <c r="I19" s="243"/>
      <c r="J19" s="243"/>
      <c r="K19" s="243"/>
      <c r="L19" s="243"/>
      <c r="M19" s="243"/>
      <c r="N19" s="244"/>
      <c r="O19" s="121"/>
      <c r="P19" s="121"/>
      <c r="Q19" s="121"/>
    </row>
    <row r="20" spans="1:17" x14ac:dyDescent="0.3">
      <c r="A20" s="157" t="s">
        <v>984</v>
      </c>
      <c r="B20" s="35"/>
      <c r="C20" s="35"/>
      <c r="D20" s="35"/>
      <c r="E20" s="243">
        <f>'9b. Summary Schedules-sf'!K190</f>
        <v>0</v>
      </c>
      <c r="F20" s="243">
        <f>$E20*'11a. AF by class'!F16/'11a. AF by class'!$E16</f>
        <v>0</v>
      </c>
      <c r="G20" s="243">
        <f>$E20*'11a. AF by class'!G16/'11a. AF by class'!$E16</f>
        <v>0</v>
      </c>
      <c r="H20" s="243">
        <f>$E20*'11a. AF by class'!H16/'11a. AF by class'!$E16</f>
        <v>0</v>
      </c>
      <c r="I20" s="243">
        <f>$E20*'11a. AF by class'!I16/'11a. AF by class'!$E16</f>
        <v>0</v>
      </c>
      <c r="J20" s="243">
        <f>$E20*'11a. AF by class'!J16/'11a. AF by class'!$E16</f>
        <v>0</v>
      </c>
      <c r="K20" s="243">
        <f>$E20*'11a. AF by class'!K16/'11a. AF by class'!$E16</f>
        <v>0</v>
      </c>
      <c r="L20" s="243">
        <f>$E20*'11a. AF by class'!L16/'11a. AF by class'!$E16</f>
        <v>0</v>
      </c>
      <c r="M20" s="243">
        <f>$E20*'11a. AF by class'!M16/'11a. AF by class'!$E16</f>
        <v>0</v>
      </c>
      <c r="N20" s="244">
        <f>$E20*'11a. AF by class'!N16/'11a. AF by class'!$E16</f>
        <v>0</v>
      </c>
      <c r="O20" s="121"/>
      <c r="P20" s="121">
        <f>SUM(F20:O20)</f>
        <v>0</v>
      </c>
      <c r="Q20" s="121">
        <f>E20-P20</f>
        <v>0</v>
      </c>
    </row>
    <row r="21" spans="1:17" x14ac:dyDescent="0.3">
      <c r="A21" s="157"/>
      <c r="B21" s="35"/>
      <c r="C21" s="35"/>
      <c r="D21" s="35"/>
      <c r="E21" s="243"/>
      <c r="F21" s="243"/>
      <c r="G21" s="243"/>
      <c r="H21" s="243"/>
      <c r="I21" s="243"/>
      <c r="J21" s="243"/>
      <c r="K21" s="243"/>
      <c r="L21" s="243"/>
      <c r="M21" s="243"/>
      <c r="N21" s="244"/>
      <c r="O21" s="121"/>
      <c r="P21" s="121"/>
      <c r="Q21" s="121"/>
    </row>
    <row r="22" spans="1:17" x14ac:dyDescent="0.3">
      <c r="A22" s="157" t="s">
        <v>366</v>
      </c>
      <c r="B22" s="35"/>
      <c r="C22" s="35"/>
      <c r="D22" s="35"/>
      <c r="E22" s="243">
        <f>'9b. Summary Schedules-sf'!L190</f>
        <v>0</v>
      </c>
      <c r="F22" s="243">
        <f>$E22*'11a. AF by class'!F18/'11a. AF by class'!$E18</f>
        <v>0</v>
      </c>
      <c r="G22" s="243">
        <f>$E22*'11a. AF by class'!G18/'11a. AF by class'!$E18</f>
        <v>0</v>
      </c>
      <c r="H22" s="243">
        <f>$E22*'11a. AF by class'!H18/'11a. AF by class'!$E18</f>
        <v>0</v>
      </c>
      <c r="I22" s="243">
        <f>$E22*'11a. AF by class'!I18/'11a. AF by class'!$E18</f>
        <v>0</v>
      </c>
      <c r="J22" s="243">
        <f>$E22*'11a. AF by class'!J18/'11a. AF by class'!$E18</f>
        <v>0</v>
      </c>
      <c r="K22" s="243">
        <f>$E22*'11a. AF by class'!K18/'11a. AF by class'!$E18</f>
        <v>0</v>
      </c>
      <c r="L22" s="243">
        <f>$E22*'11a. AF by class'!L18/'11a. AF by class'!$E18</f>
        <v>0</v>
      </c>
      <c r="M22" s="243">
        <f>$E22*'11a. AF by class'!M18/'11a. AF by class'!$E18</f>
        <v>0</v>
      </c>
      <c r="N22" s="244">
        <f>$E22*'11a. AF by class'!N18/'11a. AF by class'!$E18</f>
        <v>0</v>
      </c>
      <c r="O22" s="121"/>
      <c r="P22" s="121">
        <f>SUM(F22:O22)</f>
        <v>0</v>
      </c>
      <c r="Q22" s="121">
        <f>E22-P22</f>
        <v>0</v>
      </c>
    </row>
    <row r="23" spans="1:17" x14ac:dyDescent="0.3">
      <c r="A23" s="157"/>
      <c r="B23" s="35"/>
      <c r="C23" s="35"/>
      <c r="D23" s="35"/>
      <c r="E23" s="243"/>
      <c r="F23" s="243"/>
      <c r="G23" s="243"/>
      <c r="H23" s="243"/>
      <c r="I23" s="243"/>
      <c r="J23" s="243"/>
      <c r="K23" s="243"/>
      <c r="L23" s="243"/>
      <c r="M23" s="243"/>
      <c r="N23" s="244"/>
      <c r="O23" s="121"/>
      <c r="P23" s="121"/>
      <c r="Q23" s="121"/>
    </row>
    <row r="24" spans="1:17" x14ac:dyDescent="0.3">
      <c r="A24" s="157" t="s">
        <v>367</v>
      </c>
      <c r="B24" s="35"/>
      <c r="C24" s="35"/>
      <c r="D24" s="35"/>
      <c r="E24" s="243"/>
      <c r="F24" s="243"/>
      <c r="G24" s="243"/>
      <c r="H24" s="243"/>
      <c r="I24" s="243"/>
      <c r="J24" s="243"/>
      <c r="K24" s="243"/>
      <c r="L24" s="243"/>
      <c r="M24" s="243"/>
      <c r="N24" s="244"/>
      <c r="O24" s="121"/>
      <c r="P24" s="121"/>
      <c r="Q24" s="121"/>
    </row>
    <row r="25" spans="1:17" x14ac:dyDescent="0.3">
      <c r="A25" s="157"/>
      <c r="B25" s="35" t="s">
        <v>973</v>
      </c>
      <c r="C25" s="35"/>
      <c r="D25" s="35"/>
      <c r="E25" s="243"/>
      <c r="F25" s="243"/>
      <c r="G25" s="243"/>
      <c r="H25" s="243"/>
      <c r="I25" s="243"/>
      <c r="J25" s="243"/>
      <c r="K25" s="243"/>
      <c r="L25" s="243"/>
      <c r="M25" s="243"/>
      <c r="N25" s="244"/>
      <c r="O25" s="121"/>
      <c r="P25" s="121"/>
      <c r="Q25" s="121"/>
    </row>
    <row r="26" spans="1:17" x14ac:dyDescent="0.3">
      <c r="A26" s="157"/>
      <c r="B26" s="35" t="s">
        <v>974</v>
      </c>
      <c r="C26" s="35"/>
      <c r="D26" s="35"/>
      <c r="E26" s="243">
        <f>'9b. Summary Schedules-sf'!N190</f>
        <v>22675797.401262481</v>
      </c>
      <c r="F26" s="243">
        <f>$E26*'11a. AF by class'!F22/'11a. AF by class'!$E22</f>
        <v>9143856.0915961284</v>
      </c>
      <c r="G26" s="243">
        <f>$E26*'11a. AF by class'!G22/'11a. AF by class'!$E22</f>
        <v>2728462.3766779024</v>
      </c>
      <c r="H26" s="243">
        <f>$E26*'11a. AF by class'!H22/'11a. AF by class'!$E22</f>
        <v>4723629.5092109824</v>
      </c>
      <c r="I26" s="243">
        <f>$E26*'11a. AF by class'!I22/'11a. AF by class'!$E22</f>
        <v>2746406.1231055697</v>
      </c>
      <c r="J26" s="243">
        <f>$E26*'11a. AF by class'!J22/'11a. AF by class'!$E22</f>
        <v>1138157.5629479552</v>
      </c>
      <c r="K26" s="243">
        <f>$E26*'11a. AF by class'!K22/'11a. AF by class'!$E22</f>
        <v>1675285.4257478944</v>
      </c>
      <c r="L26" s="243">
        <f>$E26*'11a. AF by class'!L22/'11a. AF by class'!$E22</f>
        <v>420185.86806175078</v>
      </c>
      <c r="M26" s="243">
        <f>$E26*'11a. AF by class'!M22/'11a. AF by class'!$E22</f>
        <v>2264.41959817316</v>
      </c>
      <c r="N26" s="244">
        <f>$E26*'11a. AF by class'!N22/'11a. AF by class'!$E22</f>
        <v>97550.024316125069</v>
      </c>
      <c r="O26" s="121"/>
      <c r="P26" s="121">
        <f>SUM(F26:O26)</f>
        <v>22675797.401262481</v>
      </c>
      <c r="Q26" s="121">
        <f>E26-P26</f>
        <v>0</v>
      </c>
    </row>
    <row r="27" spans="1:17" x14ac:dyDescent="0.3">
      <c r="A27" s="157"/>
      <c r="B27" s="35" t="s">
        <v>975</v>
      </c>
      <c r="C27" s="35"/>
      <c r="D27" s="35"/>
      <c r="E27" s="243">
        <f>'9b. Summary Schedules-sf'!O190</f>
        <v>37770180.186066613</v>
      </c>
      <c r="F27" s="243">
        <f>$E27*'11a. AF by class'!F23/'11a. AF by class'!$E23</f>
        <v>15496467.45739419</v>
      </c>
      <c r="G27" s="243">
        <f>$E27*'11a. AF by class'!G23/'11a. AF by class'!$E23</f>
        <v>4624036.9495505663</v>
      </c>
      <c r="H27" s="243">
        <f>$E27*'11a. AF by class'!H23/'11a. AF by class'!$E23</f>
        <v>8005328.4125447506</v>
      </c>
      <c r="I27" s="243">
        <f>$E27*'11a. AF by class'!I23/'11a. AF by class'!$E23</f>
        <v>4654446.9516103808</v>
      </c>
      <c r="J27" s="243">
        <f>$E27*'11a. AF by class'!J23/'11a. AF by class'!$E23</f>
        <v>1928882.2416857751</v>
      </c>
      <c r="K27" s="243">
        <f>$E27*'11a. AF by class'!K23/'11a. AF by class'!$E23</f>
        <v>2839174.8319190061</v>
      </c>
      <c r="L27" s="243">
        <f>$E27*'11a. AF by class'!L23/'11a. AF by class'!$E23</f>
        <v>52683.71478848729</v>
      </c>
      <c r="M27" s="243">
        <f>$E27*'11a. AF by class'!M23/'11a. AF by class'!$E23</f>
        <v>3837.6046452903756</v>
      </c>
      <c r="N27" s="244">
        <f>$E27*'11a. AF by class'!N23/'11a. AF by class'!$E23</f>
        <v>165322.02192816543</v>
      </c>
      <c r="O27" s="121"/>
      <c r="P27" s="121">
        <f>SUM(F27:O27)</f>
        <v>37770180.18606662</v>
      </c>
      <c r="Q27" s="121">
        <f>E27-P27</f>
        <v>0</v>
      </c>
    </row>
    <row r="28" spans="1:17" x14ac:dyDescent="0.3">
      <c r="A28" s="157"/>
      <c r="B28" s="35" t="s">
        <v>976</v>
      </c>
      <c r="C28" s="35"/>
      <c r="D28" s="35"/>
      <c r="E28" s="243">
        <f>'9b. Summary Schedules-sf'!P190</f>
        <v>10103715.44066078</v>
      </c>
      <c r="F28" s="243">
        <f>$E28*'11a. AF by class'!F24/'11a. AF by class'!$E24</f>
        <v>5133009.3820730718</v>
      </c>
      <c r="G28" s="243">
        <f>$E28*'11a. AF by class'!G24/'11a. AF by class'!$E24</f>
        <v>1887485.97632903</v>
      </c>
      <c r="H28" s="243">
        <f>$E28*'11a. AF by class'!H24/'11a. AF by class'!$E24</f>
        <v>1749023.7942540585</v>
      </c>
      <c r="I28" s="243">
        <f>$E28*'11a. AF by class'!I24/'11a. AF by class'!$E24</f>
        <v>899310.89319677884</v>
      </c>
      <c r="J28" s="243">
        <f>$E28*'11a. AF by class'!J24/'11a. AF by class'!$E24</f>
        <v>305731.75073318015</v>
      </c>
      <c r="K28" s="243">
        <f>$E28*'11a. AF by class'!K24/'11a. AF by class'!$E24</f>
        <v>102085.04860416822</v>
      </c>
      <c r="L28" s="243">
        <f>$E28*'11a. AF by class'!L24/'11a. AF by class'!$E24</f>
        <v>0</v>
      </c>
      <c r="M28" s="243">
        <f>$E28*'11a. AF by class'!M24/'11a. AF by class'!$E24</f>
        <v>614.08605483023246</v>
      </c>
      <c r="N28" s="244">
        <f>$E28*'11a. AF by class'!N24/'11a. AF by class'!$E24</f>
        <v>26454.509415662473</v>
      </c>
      <c r="O28" s="121"/>
      <c r="P28" s="121">
        <f>SUM(F28:O28)</f>
        <v>10103715.440660778</v>
      </c>
      <c r="Q28" s="121">
        <f>E28-P28</f>
        <v>0</v>
      </c>
    </row>
    <row r="29" spans="1:17" x14ac:dyDescent="0.3">
      <c r="A29" s="157"/>
      <c r="B29" s="35" t="s">
        <v>931</v>
      </c>
      <c r="C29" s="35"/>
      <c r="D29" s="35"/>
      <c r="E29" s="580">
        <f>'9b. Summary Schedules-sf'!Q190</f>
        <v>10509739.318276864</v>
      </c>
      <c r="F29" s="580">
        <f>$E29*'11a. AF by class'!F25/'11a. AF by class'!$E25</f>
        <v>5090062.4546765424</v>
      </c>
      <c r="G29" s="580">
        <f>$E29*'11a. AF by class'!G25/'11a. AF by class'!$E25</f>
        <v>1756757.2914704443</v>
      </c>
      <c r="H29" s="580">
        <f>$E29*'11a. AF by class'!H25/'11a. AF by class'!$E25</f>
        <v>2025949.6641096845</v>
      </c>
      <c r="I29" s="580">
        <f>$E29*'11a. AF by class'!I25/'11a. AF by class'!$E25</f>
        <v>1086686.2782311111</v>
      </c>
      <c r="J29" s="580">
        <f>$E29*'11a. AF by class'!J25/'11a. AF by class'!$E25</f>
        <v>384019.52865738212</v>
      </c>
      <c r="K29" s="580">
        <f>$E29*'11a. AF by class'!K25/'11a. AF by class'!$E25</f>
        <v>130066.58748742111</v>
      </c>
      <c r="L29" s="580">
        <f>$E29*'11a. AF by class'!L25/'11a. AF by class'!$E25</f>
        <v>0</v>
      </c>
      <c r="M29" s="580">
        <f>$E29*'11a. AF by class'!M25/'11a. AF by class'!$E25</f>
        <v>821.18735612673902</v>
      </c>
      <c r="N29" s="600">
        <f>$E29*'11a. AF by class'!N25/'11a. AF by class'!$E25</f>
        <v>35376.326288151169</v>
      </c>
      <c r="O29" s="121"/>
      <c r="P29" s="121">
        <f>SUM(F29:O29)</f>
        <v>10509739.318276864</v>
      </c>
      <c r="Q29" s="121">
        <f>E29-P29</f>
        <v>0</v>
      </c>
    </row>
    <row r="30" spans="1:17" x14ac:dyDescent="0.3">
      <c r="A30" s="157"/>
      <c r="B30" s="35" t="s">
        <v>977</v>
      </c>
      <c r="C30" s="35"/>
      <c r="D30" s="35"/>
      <c r="E30" s="243">
        <f t="shared" ref="E30:N30" si="2">SUM(E26:E29)</f>
        <v>81059432.346266732</v>
      </c>
      <c r="F30" s="243">
        <f t="shared" si="2"/>
        <v>34863395.38573993</v>
      </c>
      <c r="G30" s="243">
        <f t="shared" si="2"/>
        <v>10996742.594027942</v>
      </c>
      <c r="H30" s="243">
        <f t="shared" si="2"/>
        <v>16503931.380119476</v>
      </c>
      <c r="I30" s="243">
        <f t="shared" si="2"/>
        <v>9386850.2461438403</v>
      </c>
      <c r="J30" s="243">
        <f t="shared" si="2"/>
        <v>3756791.0840242924</v>
      </c>
      <c r="K30" s="243">
        <f t="shared" si="2"/>
        <v>4746611.8937584898</v>
      </c>
      <c r="L30" s="243">
        <f t="shared" si="2"/>
        <v>472869.58285023808</v>
      </c>
      <c r="M30" s="243">
        <f t="shared" si="2"/>
        <v>7537.2976544205076</v>
      </c>
      <c r="N30" s="244">
        <f t="shared" si="2"/>
        <v>324702.88194810413</v>
      </c>
      <c r="O30" s="121"/>
      <c r="P30" s="121">
        <f>SUM(F30:O30)</f>
        <v>81059432.346266717</v>
      </c>
      <c r="Q30" s="121">
        <f>E30-P30</f>
        <v>0</v>
      </c>
    </row>
    <row r="31" spans="1:17" x14ac:dyDescent="0.3">
      <c r="A31" s="157"/>
      <c r="B31" s="35"/>
      <c r="C31" s="35"/>
      <c r="D31" s="35"/>
      <c r="E31" s="243"/>
      <c r="F31" s="243"/>
      <c r="G31" s="243"/>
      <c r="H31" s="243"/>
      <c r="I31" s="243"/>
      <c r="J31" s="243"/>
      <c r="K31" s="243"/>
      <c r="L31" s="243"/>
      <c r="M31" s="243"/>
      <c r="N31" s="244"/>
      <c r="O31" s="121"/>
      <c r="P31" s="121"/>
      <c r="Q31" s="121"/>
    </row>
    <row r="32" spans="1:17" x14ac:dyDescent="0.3">
      <c r="A32" s="157"/>
      <c r="B32" s="35" t="s">
        <v>978</v>
      </c>
      <c r="C32" s="35"/>
      <c r="D32" s="35"/>
      <c r="E32" s="243"/>
      <c r="F32" s="243"/>
      <c r="G32" s="243"/>
      <c r="H32" s="243"/>
      <c r="I32" s="243"/>
      <c r="J32" s="243"/>
      <c r="K32" s="243"/>
      <c r="L32" s="243"/>
      <c r="M32" s="243"/>
      <c r="N32" s="244"/>
      <c r="O32" s="121"/>
      <c r="P32" s="121"/>
      <c r="Q32" s="121"/>
    </row>
    <row r="33" spans="1:17" x14ac:dyDescent="0.3">
      <c r="A33" s="157"/>
      <c r="B33" s="35" t="s">
        <v>975</v>
      </c>
      <c r="C33" s="35"/>
      <c r="D33" s="35"/>
      <c r="E33" s="243">
        <f>'9b. Summary Schedules-sf'!R190</f>
        <v>21050926.20752617</v>
      </c>
      <c r="F33" s="243">
        <f>$E33*'11a. AF by class'!F29/'11a. AF by class'!$E29</f>
        <v>15097927.517217383</v>
      </c>
      <c r="G33" s="243">
        <f>$E33*'11a. AF by class'!G29/'11a. AF by class'!$E29</f>
        <v>3713078.2941353773</v>
      </c>
      <c r="H33" s="243">
        <f>$E33*'11a. AF by class'!H29/'11a. AF by class'!$E29</f>
        <v>1978540.8946133861</v>
      </c>
      <c r="I33" s="243">
        <f>$E33*'11a. AF by class'!I29/'11a. AF by class'!$E29</f>
        <v>53844.494209021068</v>
      </c>
      <c r="J33" s="243">
        <f>$E33*'11a. AF by class'!J29/'11a. AF by class'!$E29</f>
        <v>4753.3148394427617</v>
      </c>
      <c r="K33" s="243">
        <f>$E33*'11a. AF by class'!K29/'11a. AF by class'!$E29</f>
        <v>1029.8848818792651</v>
      </c>
      <c r="L33" s="243">
        <f>$E33*'11a. AF by class'!L29/'11a. AF by class'!$E29</f>
        <v>52.814609327141802</v>
      </c>
      <c r="M33" s="243">
        <f>$E33*'11a. AF by class'!M29/'11a. AF by class'!$E29</f>
        <v>47823.628745726906</v>
      </c>
      <c r="N33" s="244">
        <f>$E33*'11a. AF by class'!N29/'11a. AF by class'!$E29</f>
        <v>153875.36427462765</v>
      </c>
      <c r="O33" s="121"/>
      <c r="P33" s="121">
        <f t="shared" ref="P33:P39" si="3">SUM(F33:O33)</f>
        <v>21050926.20752617</v>
      </c>
      <c r="Q33" s="121">
        <f t="shared" ref="Q33:Q39" si="4">E33-P33</f>
        <v>0</v>
      </c>
    </row>
    <row r="34" spans="1:17" x14ac:dyDescent="0.3">
      <c r="A34" s="157"/>
      <c r="B34" s="35" t="s">
        <v>976</v>
      </c>
      <c r="C34" s="35"/>
      <c r="D34" s="35"/>
      <c r="E34" s="243">
        <f>'9b. Summary Schedules-sf'!S190</f>
        <v>5214334.2718306817</v>
      </c>
      <c r="F34" s="243">
        <f>$E34*'11a. AF by class'!F30/'11a. AF by class'!$E30</f>
        <v>3740179.0748141599</v>
      </c>
      <c r="G34" s="243">
        <f>$E34*'11a. AF by class'!G30/'11a. AF by class'!$E30</f>
        <v>919833.38263047498</v>
      </c>
      <c r="H34" s="243">
        <f>$E34*'11a. AF by class'!H30/'11a. AF by class'!$E30</f>
        <v>490139.93770059815</v>
      </c>
      <c r="I34" s="243">
        <f>$E34*'11a. AF by class'!I30/'11a. AF by class'!$E30</f>
        <v>13077.114615657141</v>
      </c>
      <c r="J34" s="243">
        <f>$E34*'11a. AF by class'!J30/'11a. AF by class'!$E30</f>
        <v>1066.3180001761452</v>
      </c>
      <c r="K34" s="243">
        <f>$E34*'11a. AF by class'!K30/'11a. AF by class'!$E30</f>
        <v>71.960110441334962</v>
      </c>
      <c r="L34" s="243">
        <f>$E34*'11a. AF by class'!L30/'11a. AF by class'!$E30</f>
        <v>0</v>
      </c>
      <c r="M34" s="243">
        <f>$E34*'11a. AF by class'!M30/'11a. AF by class'!$E30</f>
        <v>11847.250909932509</v>
      </c>
      <c r="N34" s="244">
        <f>$E34*'11a. AF by class'!N30/'11a. AF by class'!$E30</f>
        <v>38119.23304924171</v>
      </c>
      <c r="O34" s="121"/>
      <c r="P34" s="121">
        <f t="shared" si="3"/>
        <v>5214334.2718306836</v>
      </c>
      <c r="Q34" s="121">
        <f t="shared" si="4"/>
        <v>0</v>
      </c>
    </row>
    <row r="35" spans="1:17" x14ac:dyDescent="0.3">
      <c r="A35" s="157"/>
      <c r="B35" s="35" t="s">
        <v>931</v>
      </c>
      <c r="C35" s="35"/>
      <c r="D35" s="35"/>
      <c r="E35" s="243">
        <f>'9b. Summary Schedules-sf'!T190</f>
        <v>11488700.89596471</v>
      </c>
      <c r="F35" s="243">
        <f>$E35*'11a. AF by class'!F31/'11a. AF by class'!$E31</f>
        <v>8240706.5692011705</v>
      </c>
      <c r="G35" s="243">
        <f>$E35*'11a. AF by class'!G31/'11a. AF by class'!$E31</f>
        <v>2026661.517320564</v>
      </c>
      <c r="H35" s="243">
        <f>$E35*'11a. AF by class'!H31/'11a. AF by class'!$E31</f>
        <v>1079921.3951107045</v>
      </c>
      <c r="I35" s="243">
        <f>$E35*'11a. AF by class'!I31/'11a. AF by class'!$E31</f>
        <v>28812.701788829992</v>
      </c>
      <c r="J35" s="243">
        <f>$E35*'11a. AF by class'!J31/'11a. AF by class'!$E31</f>
        <v>2349.4099007400146</v>
      </c>
      <c r="K35" s="243">
        <f>$E35*'11a. AF by class'!K31/'11a. AF by class'!$E31</f>
        <v>158.54913440576786</v>
      </c>
      <c r="L35" s="243">
        <f>$E35*'11a. AF by class'!L31/'11a. AF by class'!$E31</f>
        <v>0</v>
      </c>
      <c r="M35" s="243">
        <f>$E35*'11a. AF by class'!M31/'11a. AF by class'!$E31</f>
        <v>26102.952946258687</v>
      </c>
      <c r="N35" s="244">
        <f>$E35*'11a. AF by class'!N31/'11a. AF by class'!$E31</f>
        <v>83987.800562037199</v>
      </c>
      <c r="O35" s="121"/>
      <c r="P35" s="121">
        <f t="shared" si="3"/>
        <v>11488700.895964708</v>
      </c>
      <c r="Q35" s="121">
        <f t="shared" si="4"/>
        <v>0</v>
      </c>
    </row>
    <row r="36" spans="1:17" x14ac:dyDescent="0.3">
      <c r="A36" s="157"/>
      <c r="B36" s="35" t="s">
        <v>456</v>
      </c>
      <c r="C36" s="35"/>
      <c r="D36" s="35"/>
      <c r="E36" s="243">
        <f>'9b. Summary Schedules-sf'!U190</f>
        <v>7684214.8450150611</v>
      </c>
      <c r="F36" s="243">
        <f>$E36*'11a. AF by class'!F32/'11a. AF by class'!$E32</f>
        <v>4194891.003524432</v>
      </c>
      <c r="G36" s="243">
        <f>$E36*'11a. AF by class'!G32/'11a. AF by class'!$E32</f>
        <v>1031662.0419383931</v>
      </c>
      <c r="H36" s="243">
        <f>$E36*'11a. AF by class'!H32/'11a. AF by class'!$E32</f>
        <v>1649185.9673032581</v>
      </c>
      <c r="I36" s="243">
        <f>$E36*'11a. AF by class'!I32/'11a. AF by class'!$E32</f>
        <v>733348.18141032092</v>
      </c>
      <c r="J36" s="243">
        <f>$E36*'11a. AF by class'!J32/'11a. AF by class'!$E32</f>
        <v>59797.775672777541</v>
      </c>
      <c r="K36" s="243">
        <f>$E36*'11a. AF by class'!K32/'11a. AF by class'!$E32</f>
        <v>4035.4327141138219</v>
      </c>
      <c r="L36" s="243">
        <f>$E36*'11a. AF by class'!L32/'11a. AF by class'!$E32</f>
        <v>0</v>
      </c>
      <c r="M36" s="243">
        <f>$E36*'11a. AF by class'!M32/'11a. AF by class'!$E32</f>
        <v>11294.442451765655</v>
      </c>
      <c r="N36" s="244">
        <f>$E36*'11a. AF by class'!N32/'11a. AF by class'!$E32</f>
        <v>0</v>
      </c>
      <c r="O36" s="121"/>
      <c r="P36" s="121">
        <f t="shared" si="3"/>
        <v>7684214.845015062</v>
      </c>
      <c r="Q36" s="121">
        <f t="shared" si="4"/>
        <v>0</v>
      </c>
    </row>
    <row r="37" spans="1:17" x14ac:dyDescent="0.3">
      <c r="A37" s="157"/>
      <c r="B37" s="35" t="s">
        <v>932</v>
      </c>
      <c r="C37" s="35"/>
      <c r="D37" s="35"/>
      <c r="E37" s="243">
        <f>'9b. Summary Schedules-sf'!V190</f>
        <v>6621386.5229293499</v>
      </c>
      <c r="F37" s="243">
        <f>$E37*'11a. AF by class'!F33/'11a. AF by class'!$E33</f>
        <v>0</v>
      </c>
      <c r="G37" s="243">
        <f>$E37*'11a. AF by class'!G33/'11a. AF by class'!$E33</f>
        <v>0</v>
      </c>
      <c r="H37" s="243">
        <f>$E37*'11a. AF by class'!H33/'11a. AF by class'!$E33</f>
        <v>0</v>
      </c>
      <c r="I37" s="243">
        <f>$E37*'11a. AF by class'!I33/'11a. AF by class'!$E33</f>
        <v>0</v>
      </c>
      <c r="J37" s="243">
        <f>$E37*'11a. AF by class'!J33/'11a. AF by class'!$E33</f>
        <v>0</v>
      </c>
      <c r="K37" s="243">
        <f>$E37*'11a. AF by class'!K33/'11a. AF by class'!$E33</f>
        <v>0</v>
      </c>
      <c r="L37" s="243">
        <f>$E37*'11a. AF by class'!L33/'11a. AF by class'!$E33</f>
        <v>0</v>
      </c>
      <c r="M37" s="243">
        <f>$E37*'11a. AF by class'!M33/'11a. AF by class'!$E33</f>
        <v>0</v>
      </c>
      <c r="N37" s="244">
        <f>$E37*'11a. AF by class'!N33/'11a. AF by class'!$E33</f>
        <v>6621386.5229293499</v>
      </c>
      <c r="O37" s="121"/>
      <c r="P37" s="121">
        <f t="shared" si="3"/>
        <v>6621386.5229293499</v>
      </c>
      <c r="Q37" s="121">
        <f t="shared" si="4"/>
        <v>0</v>
      </c>
    </row>
    <row r="38" spans="1:17" x14ac:dyDescent="0.3">
      <c r="A38" s="157"/>
      <c r="B38" s="35" t="s">
        <v>1012</v>
      </c>
      <c r="C38" s="35"/>
      <c r="D38" s="35"/>
      <c r="E38" s="580">
        <f>'9b. Summary Schedules-sf'!W190</f>
        <v>31225.119402199729</v>
      </c>
      <c r="F38" s="580">
        <f>$E38*'11a. AF by class'!F34/'11a. AF by class'!$E34</f>
        <v>10886.748013131442</v>
      </c>
      <c r="G38" s="580">
        <f>$E38*'11a. AF by class'!G34/'11a. AF by class'!$E34</f>
        <v>2921.3478264183295</v>
      </c>
      <c r="H38" s="580">
        <f>$E38*'11a. AF by class'!H34/'11a. AF by class'!$E34</f>
        <v>7100.6296918347925</v>
      </c>
      <c r="I38" s="580">
        <f>$E38*'11a. AF by class'!I34/'11a. AF by class'!$E34</f>
        <v>4607.6238752738973</v>
      </c>
      <c r="J38" s="580">
        <f>$E38*'11a. AF by class'!J34/'11a. AF by class'!$E34</f>
        <v>2222.5353284684047</v>
      </c>
      <c r="K38" s="580">
        <f>$E38*'11a. AF by class'!K34/'11a. AF by class'!$E34</f>
        <v>3486.2346670728648</v>
      </c>
      <c r="L38" s="580">
        <f>$E38*'11a. AF by class'!L34/'11a. AF by class'!$E34</f>
        <v>0</v>
      </c>
      <c r="M38" s="580">
        <f>$E38*'11a. AF by class'!M34/'11a. AF by class'!$E34</f>
        <v>0</v>
      </c>
      <c r="N38" s="600">
        <f>$E38*'11a. AF by class'!N34/'11a. AF by class'!$E34</f>
        <v>0</v>
      </c>
      <c r="O38" s="121"/>
      <c r="P38" s="121">
        <f>SUM(F38:O38)</f>
        <v>31225.119402199736</v>
      </c>
      <c r="Q38" s="121">
        <f>E38-P38</f>
        <v>0</v>
      </c>
    </row>
    <row r="39" spans="1:17" x14ac:dyDescent="0.3">
      <c r="A39" s="157"/>
      <c r="B39" s="35" t="s">
        <v>979</v>
      </c>
      <c r="C39" s="35"/>
      <c r="D39" s="35"/>
      <c r="E39" s="243">
        <f t="shared" ref="E39:N39" si="5">SUM(E33:E38)</f>
        <v>52090787.862668172</v>
      </c>
      <c r="F39" s="243">
        <f t="shared" si="5"/>
        <v>31284590.912770279</v>
      </c>
      <c r="G39" s="243">
        <f t="shared" si="5"/>
        <v>7694156.5838512285</v>
      </c>
      <c r="H39" s="243">
        <f t="shared" si="5"/>
        <v>5204888.8244197816</v>
      </c>
      <c r="I39" s="243">
        <f t="shared" si="5"/>
        <v>833690.115899103</v>
      </c>
      <c r="J39" s="243">
        <f t="shared" si="5"/>
        <v>70189.353741604878</v>
      </c>
      <c r="K39" s="243">
        <f t="shared" si="5"/>
        <v>8782.0615079130548</v>
      </c>
      <c r="L39" s="243">
        <f t="shared" si="5"/>
        <v>52.814609327141802</v>
      </c>
      <c r="M39" s="243">
        <f t="shared" si="5"/>
        <v>97068.27505368377</v>
      </c>
      <c r="N39" s="244">
        <f t="shared" si="5"/>
        <v>6897368.9208152564</v>
      </c>
      <c r="O39" s="121"/>
      <c r="P39" s="121">
        <f t="shared" si="3"/>
        <v>52090787.862668179</v>
      </c>
      <c r="Q39" s="121">
        <f t="shared" si="4"/>
        <v>0</v>
      </c>
    </row>
    <row r="40" spans="1:17" x14ac:dyDescent="0.3">
      <c r="A40" s="157"/>
      <c r="B40" s="35"/>
      <c r="C40" s="35"/>
      <c r="D40" s="35"/>
      <c r="E40" s="243"/>
      <c r="F40" s="243"/>
      <c r="G40" s="243"/>
      <c r="H40" s="243"/>
      <c r="I40" s="243"/>
      <c r="J40" s="243"/>
      <c r="K40" s="243"/>
      <c r="L40" s="243"/>
      <c r="M40" s="243"/>
      <c r="N40" s="244"/>
      <c r="O40" s="121"/>
      <c r="P40" s="121"/>
      <c r="Q40" s="121"/>
    </row>
    <row r="41" spans="1:17" x14ac:dyDescent="0.3">
      <c r="A41" s="157"/>
      <c r="B41" s="35" t="s">
        <v>543</v>
      </c>
      <c r="C41" s="35"/>
      <c r="D41" s="35"/>
      <c r="E41" s="243">
        <f t="shared" ref="E41:N41" si="6">SUM(E30,E39)</f>
        <v>133150220.2089349</v>
      </c>
      <c r="F41" s="243">
        <f t="shared" si="6"/>
        <v>66147986.298510209</v>
      </c>
      <c r="G41" s="243">
        <f t="shared" si="6"/>
        <v>18690899.17787917</v>
      </c>
      <c r="H41" s="243">
        <f t="shared" si="6"/>
        <v>21708820.204539258</v>
      </c>
      <c r="I41" s="243">
        <f t="shared" si="6"/>
        <v>10220540.362042943</v>
      </c>
      <c r="J41" s="243">
        <f t="shared" si="6"/>
        <v>3826980.4377658973</v>
      </c>
      <c r="K41" s="243">
        <f t="shared" si="6"/>
        <v>4755393.955266403</v>
      </c>
      <c r="L41" s="243">
        <f t="shared" si="6"/>
        <v>472922.3974595652</v>
      </c>
      <c r="M41" s="243">
        <f t="shared" si="6"/>
        <v>104605.57270810427</v>
      </c>
      <c r="N41" s="244">
        <f t="shared" si="6"/>
        <v>7222071.8027633606</v>
      </c>
      <c r="O41" s="121"/>
      <c r="P41" s="121">
        <f>SUM(F41:O41)</f>
        <v>133150220.2089349</v>
      </c>
      <c r="Q41" s="121">
        <f>E41-P41</f>
        <v>0</v>
      </c>
    </row>
    <row r="42" spans="1:17" x14ac:dyDescent="0.3">
      <c r="A42" s="157"/>
      <c r="B42" s="35"/>
      <c r="C42" s="35"/>
      <c r="D42" s="35"/>
      <c r="E42" s="243"/>
      <c r="F42" s="243"/>
      <c r="G42" s="243"/>
      <c r="H42" s="243"/>
      <c r="I42" s="243"/>
      <c r="J42" s="243"/>
      <c r="K42" s="243"/>
      <c r="L42" s="243"/>
      <c r="M42" s="243"/>
      <c r="N42" s="244"/>
      <c r="O42" s="121"/>
      <c r="P42" s="121"/>
      <c r="Q42" s="121"/>
    </row>
    <row r="43" spans="1:17" x14ac:dyDescent="0.3">
      <c r="A43" s="157" t="s">
        <v>907</v>
      </c>
      <c r="B43" s="35"/>
      <c r="C43" s="35"/>
      <c r="D43" s="35"/>
      <c r="E43" s="243"/>
      <c r="F43" s="243"/>
      <c r="G43" s="243"/>
      <c r="H43" s="243"/>
      <c r="I43" s="243"/>
      <c r="J43" s="243"/>
      <c r="K43" s="243"/>
      <c r="L43" s="243"/>
      <c r="M43" s="243"/>
      <c r="N43" s="244"/>
      <c r="O43" s="121"/>
      <c r="P43" s="121"/>
      <c r="Q43" s="121"/>
    </row>
    <row r="44" spans="1:17" x14ac:dyDescent="0.3">
      <c r="A44" s="157"/>
      <c r="B44" s="35" t="s">
        <v>907</v>
      </c>
      <c r="C44" s="35"/>
      <c r="D44" s="35"/>
      <c r="E44" s="243">
        <f>'9b. Summary Schedules-sf'!Y190</f>
        <v>8894787.1249477714</v>
      </c>
      <c r="F44" s="243">
        <f>$E44*'11a. AF by class'!F40/'11a. AF by class'!$E40</f>
        <v>4725407.7050333638</v>
      </c>
      <c r="G44" s="243">
        <f>$E44*'11a. AF by class'!G40/'11a. AF by class'!$E40</f>
        <v>1145378.6225029621</v>
      </c>
      <c r="H44" s="243">
        <f>$E44*'11a. AF by class'!H40/'11a. AF by class'!$E40</f>
        <v>2486931.6328834398</v>
      </c>
      <c r="I44" s="243">
        <f>$E44*'11a. AF by class'!I40/'11a. AF by class'!$E40</f>
        <v>389594.1076759529</v>
      </c>
      <c r="J44" s="243">
        <f>$E44*'11a. AF by class'!J40/'11a. AF by class'!$E40</f>
        <v>34631.118906263197</v>
      </c>
      <c r="K44" s="243">
        <f>$E44*'11a. AF by class'!K40/'11a. AF by class'!$E40</f>
        <v>86519.673867711244</v>
      </c>
      <c r="L44" s="243">
        <f>$E44*'11a. AF by class'!L40/'11a. AF by class'!$E40</f>
        <v>10489.639971390434</v>
      </c>
      <c r="M44" s="243">
        <f>$E44*'11a. AF by class'!M40/'11a. AF by class'!$E40</f>
        <v>15834.624106686637</v>
      </c>
      <c r="N44" s="244">
        <f>$E44*'11a. AF by class'!N40/'11a. AF by class'!$E40</f>
        <v>0</v>
      </c>
      <c r="O44" s="121"/>
      <c r="P44" s="121">
        <f>SUM(F44:O44)</f>
        <v>8894787.1249477714</v>
      </c>
      <c r="Q44" s="121">
        <f>E44-P44</f>
        <v>0</v>
      </c>
    </row>
    <row r="45" spans="1:17" x14ac:dyDescent="0.3">
      <c r="A45" s="157"/>
      <c r="B45" s="35" t="s">
        <v>996</v>
      </c>
      <c r="C45" s="35"/>
      <c r="D45" s="35"/>
      <c r="E45" s="580">
        <f>'9b. Summary Schedules-sf'!Z190</f>
        <v>736123.46272993367</v>
      </c>
      <c r="F45" s="580">
        <f>$E45*'11a. AF by class'!F41/'11a. AF by class'!$E41</f>
        <v>474834.13252547465</v>
      </c>
      <c r="G45" s="580">
        <f>$E45*'11a. AF by class'!G41/'11a. AF by class'!$E41</f>
        <v>116777.37284036769</v>
      </c>
      <c r="H45" s="580">
        <f>$E45*'11a. AF by class'!H41/'11a. AF by class'!$E41</f>
        <v>124451.35245066724</v>
      </c>
      <c r="I45" s="580">
        <f>$E45*'11a. AF by class'!I41/'11a. AF by class'!$E41</f>
        <v>16934.247213637183</v>
      </c>
      <c r="J45" s="580">
        <f>$E45*'11a. AF by class'!J41/'11a. AF by class'!$E41</f>
        <v>1494.9310929154944</v>
      </c>
      <c r="K45" s="580">
        <f>$E45*'11a. AF by class'!K41/'11a. AF by class'!$E41</f>
        <v>323.90173679835709</v>
      </c>
      <c r="L45" s="580">
        <f>$E45*'11a. AF by class'!L41/'11a. AF by class'!$E41</f>
        <v>29.068104584467946</v>
      </c>
      <c r="M45" s="580">
        <f>$E45*'11a. AF by class'!M41/'11a. AF by class'!$E41</f>
        <v>1278.4567654885923</v>
      </c>
      <c r="N45" s="600">
        <f>$E45*'11a. AF by class'!N41/'11a. AF by class'!$E41</f>
        <v>0</v>
      </c>
      <c r="O45" s="121"/>
      <c r="P45" s="121">
        <f>SUM(F45:O45)</f>
        <v>736123.46272993379</v>
      </c>
      <c r="Q45" s="121">
        <f>E45-P45</f>
        <v>0</v>
      </c>
    </row>
    <row r="46" spans="1:17" x14ac:dyDescent="0.3">
      <c r="A46" s="157"/>
      <c r="B46" s="35" t="s">
        <v>997</v>
      </c>
      <c r="C46" s="35"/>
      <c r="D46" s="35"/>
      <c r="E46" s="243">
        <f>E44+E45</f>
        <v>9630910.587677706</v>
      </c>
      <c r="F46" s="243">
        <f t="shared" ref="F46:N46" si="7">F44+F45</f>
        <v>5200241.8375588385</v>
      </c>
      <c r="G46" s="243">
        <f t="shared" si="7"/>
        <v>1262155.9953433299</v>
      </c>
      <c r="H46" s="243">
        <f t="shared" si="7"/>
        <v>2611382.9853341072</v>
      </c>
      <c r="I46" s="243">
        <f t="shared" si="7"/>
        <v>406528.35488959006</v>
      </c>
      <c r="J46" s="243">
        <f t="shared" si="7"/>
        <v>36126.049999178693</v>
      </c>
      <c r="K46" s="243">
        <f t="shared" si="7"/>
        <v>86843.575604509606</v>
      </c>
      <c r="L46" s="243">
        <f t="shared" si="7"/>
        <v>10518.708075974902</v>
      </c>
      <c r="M46" s="243">
        <f t="shared" si="7"/>
        <v>17113.080872175229</v>
      </c>
      <c r="N46" s="244">
        <f t="shared" si="7"/>
        <v>0</v>
      </c>
      <c r="O46" s="121"/>
      <c r="P46" s="121">
        <f>SUM(F46:O46)</f>
        <v>9630910.5876777042</v>
      </c>
      <c r="Q46" s="121">
        <f>E46-P46</f>
        <v>0</v>
      </c>
    </row>
    <row r="47" spans="1:17" x14ac:dyDescent="0.3">
      <c r="A47" s="157"/>
      <c r="B47" s="35"/>
      <c r="C47" s="35"/>
      <c r="D47" s="35"/>
      <c r="E47" s="243"/>
      <c r="F47" s="243"/>
      <c r="G47" s="243"/>
      <c r="H47" s="243"/>
      <c r="I47" s="243"/>
      <c r="J47" s="243"/>
      <c r="K47" s="243"/>
      <c r="L47" s="243"/>
      <c r="M47" s="243"/>
      <c r="N47" s="244"/>
      <c r="O47" s="121"/>
      <c r="P47" s="121"/>
      <c r="Q47" s="121"/>
    </row>
    <row r="48" spans="1:17" x14ac:dyDescent="0.3">
      <c r="A48" s="157" t="s">
        <v>84</v>
      </c>
      <c r="B48" s="35"/>
      <c r="C48" s="35"/>
      <c r="D48" s="35"/>
      <c r="E48" s="243">
        <f>'9b. Summary Schedules-sf'!AA190</f>
        <v>562025.32751335506</v>
      </c>
      <c r="F48" s="243">
        <f>$E48*'11a. AF by class'!F44/'11a. AF by class'!$E44</f>
        <v>337214.3058936845</v>
      </c>
      <c r="G48" s="243">
        <f>$E48*'11a. AF by class'!G44/'11a. AF by class'!$E44</f>
        <v>82932.118879090747</v>
      </c>
      <c r="H48" s="243">
        <f>$E48*'11a. AF by class'!H44/'11a. AF by class'!$E44</f>
        <v>132572.95619517373</v>
      </c>
      <c r="I48" s="243">
        <f>$E48*'11a. AF by class'!I44/'11a. AF by class'!$E44</f>
        <v>6013.1212446825948</v>
      </c>
      <c r="J48" s="243">
        <f>$E48*'11a. AF by class'!J44/'11a. AF by class'!$E44</f>
        <v>530.82973224270086</v>
      </c>
      <c r="K48" s="243">
        <f>$E48*'11a. AF by class'!K44/'11a. AF by class'!$E44</f>
        <v>115.01310865258517</v>
      </c>
      <c r="L48" s="243">
        <f>$E48*'11a. AF by class'!L44/'11a. AF by class'!$E44</f>
        <v>20.643378476105028</v>
      </c>
      <c r="M48" s="243">
        <f>$E48*'11a. AF by class'!M44/'11a. AF by class'!$E44</f>
        <v>907.92527591977932</v>
      </c>
      <c r="N48" s="244">
        <f>$E48*'11a. AF by class'!N44/'11a. AF by class'!$E44</f>
        <v>1718.4138054323432</v>
      </c>
      <c r="O48" s="121"/>
      <c r="P48" s="121">
        <f>SUM(F48:O48)</f>
        <v>562025.32751335518</v>
      </c>
      <c r="Q48" s="121">
        <f>E48-P48</f>
        <v>0</v>
      </c>
    </row>
    <row r="49" spans="1:17" x14ac:dyDescent="0.3">
      <c r="A49" s="157"/>
      <c r="B49" s="35"/>
      <c r="C49" s="35"/>
      <c r="D49" s="35"/>
      <c r="E49" s="243"/>
      <c r="F49" s="243"/>
      <c r="G49" s="243"/>
      <c r="H49" s="243"/>
      <c r="I49" s="243"/>
      <c r="J49" s="243"/>
      <c r="K49" s="243"/>
      <c r="L49" s="243"/>
      <c r="M49" s="243"/>
      <c r="N49" s="244"/>
      <c r="O49" s="121"/>
      <c r="P49" s="121"/>
      <c r="Q49" s="121"/>
    </row>
    <row r="50" spans="1:17" x14ac:dyDescent="0.3">
      <c r="A50" s="157" t="s">
        <v>82</v>
      </c>
      <c r="B50" s="35"/>
      <c r="C50" s="35"/>
      <c r="D50" s="35"/>
      <c r="E50" s="243"/>
      <c r="F50" s="243"/>
      <c r="G50" s="243"/>
      <c r="H50" s="243"/>
      <c r="I50" s="243"/>
      <c r="J50" s="243"/>
      <c r="K50" s="243"/>
      <c r="L50" s="243"/>
      <c r="M50" s="243"/>
      <c r="N50" s="244"/>
      <c r="O50" s="121"/>
      <c r="P50" s="121"/>
      <c r="Q50" s="121"/>
    </row>
    <row r="51" spans="1:17" x14ac:dyDescent="0.3">
      <c r="A51" s="157"/>
      <c r="B51" s="35" t="s">
        <v>81</v>
      </c>
      <c r="C51" s="35"/>
      <c r="D51" s="35"/>
      <c r="E51" s="243">
        <f>'9b. Summary Schedules-sf'!AC190</f>
        <v>2401840.8628799082</v>
      </c>
      <c r="F51" s="243">
        <f>$E51*'11a. AF by class'!F47/'11a. AF by class'!$E47</f>
        <v>1728931.5730120742</v>
      </c>
      <c r="G51" s="243">
        <f>$E51*'11a. AF by class'!G47/'11a. AF by class'!$E47</f>
        <v>425201.29259301408</v>
      </c>
      <c r="H51" s="243">
        <f>$E51*'11a. AF by class'!H47/'11a. AF by class'!$E47</f>
        <v>226571.61503071652</v>
      </c>
      <c r="I51" s="243">
        <f>$E51*'11a. AF by class'!I47/'11a. AF by class'!$E47</f>
        <v>6165.9751621327086</v>
      </c>
      <c r="J51" s="243">
        <f>$E51*'11a. AF by class'!J47/'11a. AF by class'!$E47</f>
        <v>544.32345717699229</v>
      </c>
      <c r="K51" s="243">
        <f>$E51*'11a. AF by class'!K47/'11a. AF by class'!$E47</f>
        <v>117.93674905501501</v>
      </c>
      <c r="L51" s="243">
        <f>$E51*'11a. AF by class'!L47/'11a. AF by class'!$E47</f>
        <v>21.168134445771923</v>
      </c>
      <c r="M51" s="243">
        <f>$E51*'11a. AF by class'!M47/'11a. AF by class'!$E47</f>
        <v>5476.4987830418504</v>
      </c>
      <c r="N51" s="244">
        <f>$E51*'11a. AF by class'!N47/'11a. AF by class'!$E47</f>
        <v>8810.4799582509295</v>
      </c>
      <c r="O51" s="121"/>
      <c r="P51" s="121">
        <f>SUM(F51:O51)</f>
        <v>2401840.8628799082</v>
      </c>
      <c r="Q51" s="121">
        <f>E51-P51</f>
        <v>0</v>
      </c>
    </row>
    <row r="52" spans="1:17" x14ac:dyDescent="0.3">
      <c r="A52" s="157"/>
      <c r="B52" s="35" t="s">
        <v>1007</v>
      </c>
      <c r="C52" s="35"/>
      <c r="D52" s="35"/>
      <c r="E52" s="243">
        <f>'9b. Summary Schedules-sf'!AD190</f>
        <v>233787.50196318256</v>
      </c>
      <c r="F52" s="243">
        <f>$E52*'11a. AF by class'!F48/'11a. AF by class'!$E48</f>
        <v>81153.510381665619</v>
      </c>
      <c r="G52" s="243">
        <f>$E52*'11a. AF by class'!G48/'11a. AF by class'!$E48</f>
        <v>21776.717057631584</v>
      </c>
      <c r="H52" s="243">
        <f>$E52*'11a. AF by class'!H48/'11a. AF by class'!$E48</f>
        <v>52930.500891324416</v>
      </c>
      <c r="I52" s="243">
        <f>$E52*'11a. AF by class'!I48/'11a. AF by class'!$E48</f>
        <v>34346.790386424647</v>
      </c>
      <c r="J52" s="243">
        <f>$E52*'11a. AF by class'!J48/'11a. AF by class'!$E48</f>
        <v>16567.531795070827</v>
      </c>
      <c r="K52" s="243">
        <f>$E52*'11a. AF by class'!K48/'11a. AF by class'!$E48</f>
        <v>25987.575068878792</v>
      </c>
      <c r="L52" s="243">
        <f>$E52*'11a. AF by class'!L48/'11a. AF by class'!$E48</f>
        <v>0</v>
      </c>
      <c r="M52" s="243">
        <f>$E52*'11a. AF by class'!M48/'11a. AF by class'!$E48</f>
        <v>46.685320572196382</v>
      </c>
      <c r="N52" s="244">
        <f>$E52*'11a. AF by class'!N48/'11a. AF by class'!$E48</f>
        <v>978.19106161447337</v>
      </c>
      <c r="O52" s="121"/>
      <c r="P52" s="121">
        <f>SUM(F52:O52)</f>
        <v>233787.50196318253</v>
      </c>
      <c r="Q52" s="121">
        <f>E52-P52</f>
        <v>0</v>
      </c>
    </row>
    <row r="53" spans="1:17" x14ac:dyDescent="0.3">
      <c r="A53" s="157"/>
      <c r="B53" s="35" t="s">
        <v>1008</v>
      </c>
      <c r="C53" s="35"/>
      <c r="D53" s="35"/>
      <c r="E53" s="580">
        <f>'9b. Summary Schedules-sf'!AE190</f>
        <v>0</v>
      </c>
      <c r="F53" s="580">
        <f>$E53*'11a. AF by class'!F49/'11a. AF by class'!$E49</f>
        <v>0</v>
      </c>
      <c r="G53" s="580">
        <f>$E53*'11a. AF by class'!G49/'11a. AF by class'!$E49</f>
        <v>0</v>
      </c>
      <c r="H53" s="580">
        <f>$E53*'11a. AF by class'!H49/'11a. AF by class'!$E49</f>
        <v>0</v>
      </c>
      <c r="I53" s="580">
        <f>$E53*'11a. AF by class'!I49/'11a. AF by class'!$E49</f>
        <v>0</v>
      </c>
      <c r="J53" s="580">
        <f>$E53*'11a. AF by class'!J49/'11a. AF by class'!$E49</f>
        <v>0</v>
      </c>
      <c r="K53" s="580">
        <f>$E53*'11a. AF by class'!K49/'11a. AF by class'!$E49</f>
        <v>0</v>
      </c>
      <c r="L53" s="580">
        <f>$E53*'11a. AF by class'!L49/'11a. AF by class'!$E49</f>
        <v>0</v>
      </c>
      <c r="M53" s="580">
        <f>$E53*'11a. AF by class'!M49/'11a. AF by class'!$E49</f>
        <v>0</v>
      </c>
      <c r="N53" s="600">
        <f>$E53*'11a. AF by class'!N49/'11a. AF by class'!$E49</f>
        <v>0</v>
      </c>
      <c r="O53" s="121"/>
      <c r="P53" s="121">
        <f>SUM(F53:O53)</f>
        <v>0</v>
      </c>
      <c r="Q53" s="121">
        <f>E53-P53</f>
        <v>0</v>
      </c>
    </row>
    <row r="54" spans="1:17" x14ac:dyDescent="0.3">
      <c r="A54" s="157"/>
      <c r="B54" s="35" t="s">
        <v>83</v>
      </c>
      <c r="C54" s="35"/>
      <c r="D54" s="35"/>
      <c r="E54" s="243">
        <f t="shared" ref="E54:N54" si="8">SUM(E51:E53)</f>
        <v>2635628.3648430905</v>
      </c>
      <c r="F54" s="243">
        <f t="shared" si="8"/>
        <v>1810085.0833937398</v>
      </c>
      <c r="G54" s="243">
        <f t="shared" si="8"/>
        <v>446978.00965064566</v>
      </c>
      <c r="H54" s="243">
        <f t="shared" si="8"/>
        <v>279502.11592204095</v>
      </c>
      <c r="I54" s="243">
        <f t="shared" si="8"/>
        <v>40512.765548557356</v>
      </c>
      <c r="J54" s="243">
        <f t="shared" si="8"/>
        <v>17111.85525224782</v>
      </c>
      <c r="K54" s="243">
        <f t="shared" si="8"/>
        <v>26105.511817933806</v>
      </c>
      <c r="L54" s="243">
        <f t="shared" si="8"/>
        <v>21.168134445771923</v>
      </c>
      <c r="M54" s="243">
        <f t="shared" si="8"/>
        <v>5523.1841036140468</v>
      </c>
      <c r="N54" s="244">
        <f t="shared" si="8"/>
        <v>9788.6710198654037</v>
      </c>
      <c r="O54" s="121"/>
      <c r="P54" s="121">
        <f>SUM(F54:O54)</f>
        <v>2635628.3648430905</v>
      </c>
      <c r="Q54" s="121">
        <f>E54-P54</f>
        <v>0</v>
      </c>
    </row>
    <row r="55" spans="1:17" x14ac:dyDescent="0.3">
      <c r="A55" s="157"/>
      <c r="B55" s="35"/>
      <c r="C55" s="35"/>
      <c r="D55" s="35"/>
      <c r="E55" s="243"/>
      <c r="F55" s="243"/>
      <c r="G55" s="243"/>
      <c r="H55" s="243"/>
      <c r="I55" s="243"/>
      <c r="J55" s="243"/>
      <c r="K55" s="243"/>
      <c r="L55" s="243"/>
      <c r="M55" s="243"/>
      <c r="N55" s="244"/>
      <c r="O55" s="121"/>
      <c r="P55" s="121"/>
      <c r="Q55" s="121"/>
    </row>
    <row r="56" spans="1:17" s="16" customFormat="1" x14ac:dyDescent="0.3">
      <c r="A56" s="153" t="s">
        <v>912</v>
      </c>
      <c r="B56" s="53"/>
      <c r="C56" s="53"/>
      <c r="D56" s="53"/>
      <c r="E56" s="243"/>
      <c r="F56" s="243"/>
      <c r="G56" s="243"/>
      <c r="H56" s="243"/>
      <c r="I56" s="243"/>
      <c r="J56" s="243"/>
      <c r="K56" s="243"/>
      <c r="L56" s="243"/>
      <c r="M56" s="243"/>
      <c r="N56" s="244"/>
      <c r="O56" s="121"/>
      <c r="P56" s="121"/>
      <c r="Q56" s="121"/>
    </row>
    <row r="57" spans="1:17" s="16" customFormat="1" x14ac:dyDescent="0.3">
      <c r="A57" s="153"/>
      <c r="B57" s="53" t="s">
        <v>1006</v>
      </c>
      <c r="C57" s="53"/>
      <c r="D57" s="53"/>
      <c r="E57" s="580">
        <f>'9b. Summary Schedules-sf'!AG190</f>
        <v>524248.11675407179</v>
      </c>
      <c r="F57" s="580">
        <f>$E57*'11a. AF by class'!F53/'11a. AF by class'!$E53</f>
        <v>181979.68081403361</v>
      </c>
      <c r="G57" s="580">
        <f>$E57*'11a. AF by class'!G53/'11a. AF by class'!$E53</f>
        <v>48832.391854494912</v>
      </c>
      <c r="H57" s="580">
        <f>$E57*'11a. AF by class'!H53/'11a. AF by class'!$E53</f>
        <v>118692.03947222327</v>
      </c>
      <c r="I57" s="580">
        <f>$E57*'11a. AF by class'!I53/'11a. AF by class'!$E53</f>
        <v>77019.686790039123</v>
      </c>
      <c r="J57" s="580">
        <f>$E57*'11a. AF by class'!J53/'11a. AF by class'!$E53</f>
        <v>37151.247478562393</v>
      </c>
      <c r="K57" s="580">
        <f>$E57*'11a. AF by class'!K53/'11a. AF by class'!$E53</f>
        <v>58274.874295933514</v>
      </c>
      <c r="L57" s="580">
        <f>$E57*'11a. AF by class'!L53/'11a. AF by class'!$E53</f>
        <v>0</v>
      </c>
      <c r="M57" s="580">
        <f>$E57*'11a. AF by class'!M53/'11a. AF by class'!$E53</f>
        <v>104.68776638833505</v>
      </c>
      <c r="N57" s="600">
        <f>$E57*'11a. AF by class'!N53/'11a. AF by class'!$E53</f>
        <v>2193.5082823966068</v>
      </c>
      <c r="O57" s="121"/>
      <c r="P57" s="121">
        <f>SUM(F57:O57)</f>
        <v>524248.11675407179</v>
      </c>
      <c r="Q57" s="121">
        <f>E57-P57</f>
        <v>0</v>
      </c>
    </row>
    <row r="58" spans="1:17" s="16" customFormat="1" x14ac:dyDescent="0.3">
      <c r="A58" s="153"/>
      <c r="B58" s="53" t="s">
        <v>1014</v>
      </c>
      <c r="C58" s="53"/>
      <c r="D58" s="53"/>
      <c r="E58" s="243">
        <f t="shared" ref="E58:N58" si="9">SUM(E57:E57)</f>
        <v>524248.11675407179</v>
      </c>
      <c r="F58" s="243">
        <f t="shared" si="9"/>
        <v>181979.68081403361</v>
      </c>
      <c r="G58" s="243">
        <f t="shared" si="9"/>
        <v>48832.391854494912</v>
      </c>
      <c r="H58" s="243">
        <f t="shared" si="9"/>
        <v>118692.03947222327</v>
      </c>
      <c r="I58" s="243">
        <f t="shared" si="9"/>
        <v>77019.686790039123</v>
      </c>
      <c r="J58" s="243">
        <f t="shared" si="9"/>
        <v>37151.247478562393</v>
      </c>
      <c r="K58" s="243">
        <f t="shared" si="9"/>
        <v>58274.874295933514</v>
      </c>
      <c r="L58" s="243">
        <f t="shared" si="9"/>
        <v>0</v>
      </c>
      <c r="M58" s="243">
        <f t="shared" si="9"/>
        <v>104.68776638833505</v>
      </c>
      <c r="N58" s="244">
        <f t="shared" si="9"/>
        <v>2193.5082823966068</v>
      </c>
      <c r="O58" s="121"/>
      <c r="P58" s="121">
        <f>SUM(P57:P57)</f>
        <v>524248.11675407179</v>
      </c>
      <c r="Q58" s="121">
        <f>E58-P58</f>
        <v>0</v>
      </c>
    </row>
    <row r="59" spans="1:17" x14ac:dyDescent="0.3">
      <c r="A59" s="157"/>
      <c r="B59" s="35"/>
      <c r="C59" s="35"/>
      <c r="D59" s="35"/>
      <c r="E59" s="243"/>
      <c r="F59" s="243"/>
      <c r="G59" s="243"/>
      <c r="H59" s="243"/>
      <c r="I59" s="243"/>
      <c r="J59" s="243"/>
      <c r="K59" s="243"/>
      <c r="L59" s="243"/>
      <c r="M59" s="243"/>
      <c r="N59" s="244"/>
      <c r="O59" s="121"/>
      <c r="P59" s="121"/>
      <c r="Q59" s="121"/>
    </row>
    <row r="60" spans="1:17" x14ac:dyDescent="0.3">
      <c r="A60" s="157" t="s">
        <v>913</v>
      </c>
      <c r="B60" s="35"/>
      <c r="C60" s="35"/>
      <c r="D60" s="35"/>
      <c r="E60" s="243">
        <f>'9b. Summary Schedules-sf'!AH190</f>
        <v>-2038869.615723137</v>
      </c>
      <c r="F60" s="243">
        <f>$E60*'11a. AF by class'!F56/'11a. AF by class'!$E56</f>
        <v>-810909.39584071678</v>
      </c>
      <c r="G60" s="243">
        <f>$E60*'11a. AF by class'!G56/'11a. AF by class'!$E56</f>
        <v>-207877.89463414953</v>
      </c>
      <c r="H60" s="243">
        <f>$E60*'11a. AF by class'!H56/'11a. AF by class'!$E56</f>
        <v>-478049.49968676525</v>
      </c>
      <c r="I60" s="243">
        <f>$E60*'11a. AF by class'!I56/'11a. AF by class'!$E56</f>
        <v>-268851.70343173243</v>
      </c>
      <c r="J60" s="243">
        <f>$E60*'11a. AF by class'!J56/'11a. AF by class'!$E56</f>
        <v>-116612.71201525682</v>
      </c>
      <c r="K60" s="243">
        <f>$E60*'11a. AF by class'!K56/'11a. AF by class'!$E56</f>
        <v>-156564.60738923258</v>
      </c>
      <c r="L60" s="243">
        <f>$E60*'11a. AF by class'!L56/'11a. AF by class'!$E56</f>
        <v>0</v>
      </c>
      <c r="M60" s="243">
        <f>$E60*'11a. AF by class'!M56/'11a. AF by class'!$E56</f>
        <v>0</v>
      </c>
      <c r="N60" s="244">
        <f>$E60*'11a. AF by class'!N56/'11a. AF by class'!$E56</f>
        <v>-3.802725283565402</v>
      </c>
      <c r="O60" s="121"/>
      <c r="P60" s="121">
        <f>SUM(F60:O60)</f>
        <v>-2038869.615723137</v>
      </c>
      <c r="Q60" s="121">
        <f>E60-P60</f>
        <v>0</v>
      </c>
    </row>
    <row r="61" spans="1:17" x14ac:dyDescent="0.3">
      <c r="A61" s="157"/>
      <c r="B61" s="35"/>
      <c r="C61" s="35"/>
      <c r="D61" s="35"/>
      <c r="E61" s="243"/>
      <c r="F61" s="243"/>
      <c r="G61" s="243"/>
      <c r="H61" s="243"/>
      <c r="I61" s="243"/>
      <c r="J61" s="243"/>
      <c r="K61" s="243"/>
      <c r="L61" s="243"/>
      <c r="M61" s="243"/>
      <c r="N61" s="244"/>
      <c r="O61" s="121"/>
      <c r="P61" s="121"/>
      <c r="Q61" s="121"/>
    </row>
    <row r="62" spans="1:17" x14ac:dyDescent="0.3">
      <c r="A62" s="157" t="s">
        <v>1024</v>
      </c>
      <c r="B62" s="35"/>
      <c r="C62" s="35"/>
      <c r="D62" s="35"/>
      <c r="E62" s="243">
        <f>SUM(E18,E20,E22,E41,E46,E48,E54,E58,E60)</f>
        <v>342069944.15999997</v>
      </c>
      <c r="F62" s="243">
        <f t="shared" ref="F62:N62" si="10">SUM(F18,F20,F22,F41,F46,F48,F54,F58,F60)</f>
        <v>151154750.84263471</v>
      </c>
      <c r="G62" s="243">
        <f t="shared" si="10"/>
        <v>43474194.741044119</v>
      </c>
      <c r="H62" s="243">
        <f t="shared" si="10"/>
        <v>65765254.898230389</v>
      </c>
      <c r="I62" s="243">
        <f t="shared" si="10"/>
        <v>34856163.169219255</v>
      </c>
      <c r="J62" s="243">
        <f t="shared" si="10"/>
        <v>14103728.585393816</v>
      </c>
      <c r="K62" s="243">
        <f t="shared" si="10"/>
        <v>20072740.354216404</v>
      </c>
      <c r="L62" s="243">
        <f t="shared" si="10"/>
        <v>4412474.0643779859</v>
      </c>
      <c r="M62" s="243">
        <f t="shared" si="10"/>
        <v>149949.73886546044</v>
      </c>
      <c r="N62" s="244">
        <f t="shared" si="10"/>
        <v>8080687.7660178719</v>
      </c>
      <c r="O62" s="121"/>
      <c r="P62" s="121">
        <f>SUM(F62:O62)</f>
        <v>342069944.15999997</v>
      </c>
      <c r="Q62" s="121">
        <f>E62-P62</f>
        <v>0</v>
      </c>
    </row>
    <row r="63" spans="1:17" ht="13.5" thickBot="1" x14ac:dyDescent="0.35">
      <c r="A63" s="33"/>
      <c r="B63" s="34"/>
      <c r="C63" s="34"/>
      <c r="D63" s="34"/>
      <c r="E63" s="588"/>
      <c r="F63" s="588"/>
      <c r="G63" s="588"/>
      <c r="H63" s="588"/>
      <c r="I63" s="588"/>
      <c r="J63" s="588"/>
      <c r="K63" s="588"/>
      <c r="L63" s="588"/>
      <c r="M63" s="588"/>
      <c r="N63" s="599"/>
      <c r="O63" s="121"/>
      <c r="P63" s="121"/>
      <c r="Q63" s="121"/>
    </row>
    <row r="64" spans="1:17" x14ac:dyDescent="0.3"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</row>
    <row r="65" spans="5:17" x14ac:dyDescent="0.3"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</row>
    <row r="66" spans="5:17" x14ac:dyDescent="0.3"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</row>
    <row r="67" spans="5:17" x14ac:dyDescent="0.3"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</row>
    <row r="68" spans="5:17" x14ac:dyDescent="0.3"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</row>
    <row r="69" spans="5:17" x14ac:dyDescent="0.3"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</row>
    <row r="70" spans="5:17" x14ac:dyDescent="0.3"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</row>
    <row r="71" spans="5:17" x14ac:dyDescent="0.3"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</row>
    <row r="72" spans="5:17" x14ac:dyDescent="0.3"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</row>
    <row r="73" spans="5:17" x14ac:dyDescent="0.3"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</row>
    <row r="74" spans="5:17" x14ac:dyDescent="0.3"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</row>
    <row r="75" spans="5:17" x14ac:dyDescent="0.3"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</row>
    <row r="76" spans="5:17" x14ac:dyDescent="0.3"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</row>
    <row r="77" spans="5:17" x14ac:dyDescent="0.3"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</row>
    <row r="78" spans="5:17" x14ac:dyDescent="0.3"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</row>
    <row r="79" spans="5:17" x14ac:dyDescent="0.3"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</row>
    <row r="80" spans="5:17" x14ac:dyDescent="0.3"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</row>
    <row r="81" spans="5:17" x14ac:dyDescent="0.3"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</row>
    <row r="82" spans="5:17" x14ac:dyDescent="0.3"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</row>
    <row r="83" spans="5:17" x14ac:dyDescent="0.3"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</row>
    <row r="84" spans="5:17" x14ac:dyDescent="0.3"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</row>
    <row r="85" spans="5:17" x14ac:dyDescent="0.3"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</row>
    <row r="86" spans="5:17" x14ac:dyDescent="0.3"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</row>
    <row r="87" spans="5:17" x14ac:dyDescent="0.3"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</row>
    <row r="88" spans="5:17" x14ac:dyDescent="0.3"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</row>
    <row r="89" spans="5:17" x14ac:dyDescent="0.3"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</row>
    <row r="90" spans="5:17" x14ac:dyDescent="0.3"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</row>
    <row r="91" spans="5:17" x14ac:dyDescent="0.3"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</row>
    <row r="92" spans="5:17" x14ac:dyDescent="0.3"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</row>
    <row r="93" spans="5:17" x14ac:dyDescent="0.3"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</row>
    <row r="94" spans="5:17" x14ac:dyDescent="0.3"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</row>
    <row r="95" spans="5:17" x14ac:dyDescent="0.3"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</row>
    <row r="96" spans="5:17" x14ac:dyDescent="0.3"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</row>
    <row r="97" spans="5:17" x14ac:dyDescent="0.3"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</row>
    <row r="98" spans="5:17" x14ac:dyDescent="0.3"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</row>
    <row r="99" spans="5:17" x14ac:dyDescent="0.3"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</row>
    <row r="100" spans="5:17" x14ac:dyDescent="0.3"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</row>
    <row r="101" spans="5:17" x14ac:dyDescent="0.3"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</row>
    <row r="102" spans="5:17" x14ac:dyDescent="0.3"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</row>
    <row r="103" spans="5:17" x14ac:dyDescent="0.3"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</row>
    <row r="104" spans="5:17" x14ac:dyDescent="0.3"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</row>
    <row r="105" spans="5:17" x14ac:dyDescent="0.3"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</row>
    <row r="106" spans="5:17" x14ac:dyDescent="0.3"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</row>
    <row r="107" spans="5:17" x14ac:dyDescent="0.3"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</row>
    <row r="108" spans="5:17" x14ac:dyDescent="0.3"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</row>
    <row r="109" spans="5:17" x14ac:dyDescent="0.3"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</row>
    <row r="110" spans="5:17" x14ac:dyDescent="0.3"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</row>
    <row r="111" spans="5:17" x14ac:dyDescent="0.3"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</row>
    <row r="112" spans="5:17" x14ac:dyDescent="0.3"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</row>
    <row r="113" spans="5:17" x14ac:dyDescent="0.3"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</row>
    <row r="114" spans="5:17" x14ac:dyDescent="0.3"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</row>
    <row r="115" spans="5:17" x14ac:dyDescent="0.3"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</row>
    <row r="116" spans="5:17" x14ac:dyDescent="0.3"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</row>
    <row r="117" spans="5:17" x14ac:dyDescent="0.3"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</row>
    <row r="118" spans="5:17" x14ac:dyDescent="0.3"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</row>
    <row r="119" spans="5:17" x14ac:dyDescent="0.3"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</row>
    <row r="120" spans="5:17" x14ac:dyDescent="0.3"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</row>
    <row r="121" spans="5:17" x14ac:dyDescent="0.3"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</row>
    <row r="122" spans="5:17" x14ac:dyDescent="0.3"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</row>
    <row r="123" spans="5:17" x14ac:dyDescent="0.3"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</row>
    <row r="124" spans="5:17" x14ac:dyDescent="0.3"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</row>
    <row r="125" spans="5:17" x14ac:dyDescent="0.3"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</row>
    <row r="126" spans="5:17" x14ac:dyDescent="0.3"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</row>
    <row r="127" spans="5:17" x14ac:dyDescent="0.3"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</row>
    <row r="128" spans="5:17" x14ac:dyDescent="0.3"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</row>
    <row r="129" spans="5:17" x14ac:dyDescent="0.3"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</row>
    <row r="130" spans="5:17" x14ac:dyDescent="0.3"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</row>
    <row r="131" spans="5:17" x14ac:dyDescent="0.3"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</row>
  </sheetData>
  <customSheetViews>
    <customSheetView guid="{121E4431-22F3-11D5-8242-00600818425F}" scale="75" showRuler="0">
      <pane xSplit="2" ySplit="7" topLeftCell="D27" activePane="bottomRight" state="frozen"/>
      <selection pane="bottomRight" activeCell="F62" sqref="F62"/>
      <pageMargins left="0" right="0" top="0.5" bottom="0.4" header="0.2" footer="0.2"/>
      <printOptions horizontalCentered="1" gridLines="1"/>
      <pageSetup scale="65" orientation="landscape" horizontalDpi="300" vertic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showRuler="0">
      <pane xSplit="2" ySplit="7" topLeftCell="D27" activePane="bottomRight" state="frozen"/>
      <selection pane="bottomRight" activeCell="F62" sqref="F62"/>
      <pageMargins left="0" right="0" top="0.5" bottom="0.4" header="0.2" footer="0.2"/>
      <printOptions horizontalCentered="1" gridLines="1"/>
      <pageSetup scale="65" orientation="landscape" horizontalDpi="300" vertic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showRuler="0">
      <pane xSplit="2" ySplit="7" topLeftCell="D27" activePane="bottomRight" state="frozen"/>
      <selection pane="bottomRight" activeCell="F62" sqref="F62"/>
      <pageMargins left="0" right="0" top="0.5" bottom="0.4" header="0.2" footer="0.2"/>
      <printOptions horizontalCentered="1" gridLines="1"/>
      <pageSetup scale="65" orientation="landscape" horizontalDpi="300" verticalDpi="30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65" orientation="landscape" horizontalDpi="300" verticalDpi="300" r:id="rId4"/>
  <headerFooter alignWithMargins="0">
    <oddFooter>&amp;L&amp;8&amp;F&amp;C&amp;8&amp;A
page &amp;P&amp;R&amp;8&amp;D
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63"/>
  <sheetViews>
    <sheetView zoomScale="75" zoomScaleNormal="75" workbookViewId="0">
      <pane xSplit="2" ySplit="7" topLeftCell="C8" activePane="bottomRight" state="frozen"/>
      <selection activeCell="C9" sqref="C9"/>
      <selection pane="topRight" activeCell="C9" sqref="C9"/>
      <selection pane="bottomLeft" activeCell="C9" sqref="C9"/>
      <selection pane="bottomRight" activeCell="C8" sqref="C8"/>
    </sheetView>
  </sheetViews>
  <sheetFormatPr defaultColWidth="9.1796875" defaultRowHeight="13" x14ac:dyDescent="0.3"/>
  <cols>
    <col min="1" max="1" width="4.54296875" style="32" customWidth="1"/>
    <col min="2" max="2" width="32.1796875" style="32" customWidth="1"/>
    <col min="3" max="3" width="12.81640625" style="32" customWidth="1"/>
    <col min="4" max="4" width="11.453125" style="32" customWidth="1"/>
    <col min="5" max="8" width="15" style="32" customWidth="1"/>
    <col min="9" max="16" width="12.54296875" style="32" customWidth="1"/>
    <col min="17" max="17" width="12.453125" style="32" customWidth="1"/>
    <col min="18" max="18" width="13.81640625" style="32" customWidth="1"/>
    <col min="19" max="20" width="9.1796875" style="32"/>
    <col min="21" max="21" width="11.453125" style="32" bestFit="1" customWidth="1"/>
    <col min="22" max="22" width="8.54296875" style="32" bestFit="1" customWidth="1"/>
    <col min="23" max="16384" width="9.1796875" style="32"/>
  </cols>
  <sheetData>
    <row r="1" spans="1:54" x14ac:dyDescent="0.3">
      <c r="A1" s="301" t="str">
        <f>'1. RB-i'!$A$1</f>
        <v>CPS Energy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3"/>
      <c r="O1" s="42"/>
      <c r="P1" s="42"/>
      <c r="R1" s="1"/>
      <c r="S1" s="1"/>
    </row>
    <row r="2" spans="1:54" x14ac:dyDescent="0.3">
      <c r="A2" s="307" t="s">
        <v>1256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98"/>
      <c r="O2" s="35"/>
      <c r="P2" s="35"/>
    </row>
    <row r="3" spans="1:54" x14ac:dyDescent="0.3">
      <c r="A3" s="307" t="str">
        <f>'10b. Debt Ser by class'!A3</f>
        <v>Based on FYE 2017 Test Year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98"/>
      <c r="O3" s="31"/>
      <c r="P3" s="31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</row>
    <row r="4" spans="1:54" s="5" customFormat="1" x14ac:dyDescent="0.3">
      <c r="A4" s="304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305"/>
    </row>
    <row r="5" spans="1:54" s="5" customFormat="1" x14ac:dyDescent="0.3">
      <c r="A5" s="304"/>
      <c r="B5" s="196"/>
      <c r="C5" s="196"/>
      <c r="D5" s="196"/>
      <c r="E5" s="196"/>
      <c r="F5" s="196"/>
      <c r="G5" s="196"/>
      <c r="H5" s="199"/>
      <c r="I5" s="199"/>
      <c r="J5" s="199"/>
      <c r="K5" s="196"/>
      <c r="L5" s="196"/>
      <c r="M5" s="196"/>
      <c r="N5" s="305"/>
      <c r="P5" s="5" t="s">
        <v>832</v>
      </c>
    </row>
    <row r="6" spans="1:54" s="5" customFormat="1" x14ac:dyDescent="0.3">
      <c r="A6" s="304"/>
      <c r="B6" s="196"/>
      <c r="C6" s="196" t="s">
        <v>359</v>
      </c>
      <c r="D6" s="196"/>
      <c r="E6" s="196" t="s">
        <v>355</v>
      </c>
      <c r="F6" s="196" t="s">
        <v>961</v>
      </c>
      <c r="G6" s="196" t="s">
        <v>962</v>
      </c>
      <c r="H6" s="196" t="s">
        <v>963</v>
      </c>
      <c r="I6" s="196" t="s">
        <v>964</v>
      </c>
      <c r="J6" s="196" t="s">
        <v>965</v>
      </c>
      <c r="K6" s="196" t="s">
        <v>966</v>
      </c>
      <c r="L6" s="196" t="s">
        <v>967</v>
      </c>
      <c r="M6" s="196" t="s">
        <v>968</v>
      </c>
      <c r="N6" s="305" t="s">
        <v>932</v>
      </c>
      <c r="P6" s="5" t="s">
        <v>833</v>
      </c>
      <c r="Q6" s="5" t="s">
        <v>824</v>
      </c>
    </row>
    <row r="7" spans="1:54" s="5" customFormat="1" ht="13.5" thickBot="1" x14ac:dyDescent="0.35">
      <c r="A7" s="299"/>
      <c r="B7" s="282"/>
      <c r="C7" s="282"/>
      <c r="D7" s="282"/>
      <c r="E7" s="282" t="s">
        <v>816</v>
      </c>
      <c r="F7" s="282" t="s">
        <v>817</v>
      </c>
      <c r="G7" s="282" t="s">
        <v>818</v>
      </c>
      <c r="H7" s="282" t="s">
        <v>819</v>
      </c>
      <c r="I7" s="282" t="s">
        <v>820</v>
      </c>
      <c r="J7" s="282" t="s">
        <v>821</v>
      </c>
      <c r="K7" s="282" t="s">
        <v>822</v>
      </c>
      <c r="L7" s="282" t="s">
        <v>823</v>
      </c>
      <c r="M7" s="282" t="s">
        <v>908</v>
      </c>
      <c r="N7" s="300" t="s">
        <v>914</v>
      </c>
    </row>
    <row r="8" spans="1:54" x14ac:dyDescent="0.3">
      <c r="A8" s="157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158"/>
      <c r="O8" s="35"/>
      <c r="P8" s="35"/>
    </row>
    <row r="9" spans="1:54" x14ac:dyDescent="0.3">
      <c r="A9" s="157" t="s">
        <v>544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158"/>
    </row>
    <row r="10" spans="1:54" x14ac:dyDescent="0.3">
      <c r="A10" s="157"/>
      <c r="B10" s="35" t="s">
        <v>969</v>
      </c>
      <c r="C10" s="35"/>
      <c r="D10" s="35"/>
      <c r="E10" s="243">
        <f>'9b. Summary Schedules-sf'!E$194</f>
        <v>75067542.624538049</v>
      </c>
      <c r="F10" s="243">
        <f>$E10*'11a. AF by class'!F$10/'11a. AF by class'!$E$10</f>
        <v>29883052.661415774</v>
      </c>
      <c r="G10" s="243">
        <f>$E10*'11a. AF by class'!G10/'11a. AF by class'!$E10</f>
        <v>8860297.7378440127</v>
      </c>
      <c r="H10" s="243">
        <f>$E10*'11a. AF by class'!H10/'11a. AF by class'!$E10</f>
        <v>15692734.863110399</v>
      </c>
      <c r="I10" s="243">
        <f>$E10*'11a. AF by class'!I10/'11a. AF by class'!$E10</f>
        <v>9206951.1901430674</v>
      </c>
      <c r="J10" s="243">
        <f>$E10*'11a. AF by class'!J10/'11a. AF by class'!$E10</f>
        <v>3869667.5684244679</v>
      </c>
      <c r="K10" s="243">
        <f>$E10*'11a. AF by class'!K10/'11a. AF by class'!$E10</f>
        <v>5733032.2553078299</v>
      </c>
      <c r="L10" s="243">
        <f>$E10*'11a. AF by class'!L10/'11a. AF by class'!$E10</f>
        <v>1492364.9032212202</v>
      </c>
      <c r="M10" s="243">
        <f>$E10*'11a. AF by class'!M10/'11a. AF by class'!$E10</f>
        <v>8023.0076748725287</v>
      </c>
      <c r="N10" s="244">
        <f>$E10*'11a. AF by class'!N10/'11a. AF by class'!$E10</f>
        <v>321418.4373964062</v>
      </c>
      <c r="O10" s="121"/>
      <c r="P10" s="121">
        <f>SUM(F10:O10)</f>
        <v>75067542.624538049</v>
      </c>
      <c r="Q10" s="121">
        <f>E10-P10</f>
        <v>0</v>
      </c>
    </row>
    <row r="11" spans="1:54" x14ac:dyDescent="0.3">
      <c r="A11" s="157"/>
      <c r="B11" s="35" t="s">
        <v>1140</v>
      </c>
      <c r="C11" s="35"/>
      <c r="D11" s="35"/>
      <c r="E11" s="642"/>
      <c r="F11" s="642"/>
      <c r="G11" s="642"/>
      <c r="H11" s="642"/>
      <c r="I11" s="642"/>
      <c r="J11" s="642"/>
      <c r="K11" s="642"/>
      <c r="L11" s="642"/>
      <c r="M11" s="642"/>
      <c r="N11" s="643"/>
      <c r="O11" s="644"/>
      <c r="P11" s="644"/>
      <c r="Q11" s="644"/>
    </row>
    <row r="12" spans="1:54" x14ac:dyDescent="0.3">
      <c r="A12" s="157"/>
      <c r="B12" s="35" t="s">
        <v>1139</v>
      </c>
      <c r="C12" s="35"/>
      <c r="D12" s="35"/>
      <c r="E12" s="642"/>
      <c r="F12" s="642"/>
      <c r="G12" s="642"/>
      <c r="H12" s="642"/>
      <c r="I12" s="642"/>
      <c r="J12" s="642"/>
      <c r="K12" s="642"/>
      <c r="L12" s="642"/>
      <c r="M12" s="642"/>
      <c r="N12" s="643"/>
      <c r="O12" s="644"/>
      <c r="P12" s="644"/>
      <c r="Q12" s="644"/>
    </row>
    <row r="13" spans="1:54" x14ac:dyDescent="0.3">
      <c r="A13" s="157"/>
      <c r="B13" s="35" t="s">
        <v>947</v>
      </c>
      <c r="C13" s="35"/>
      <c r="D13" s="35"/>
      <c r="E13" s="642"/>
      <c r="F13" s="642"/>
      <c r="G13" s="642"/>
      <c r="H13" s="642"/>
      <c r="I13" s="642"/>
      <c r="J13" s="642"/>
      <c r="K13" s="642"/>
      <c r="L13" s="642"/>
      <c r="M13" s="642"/>
      <c r="N13" s="643"/>
      <c r="O13" s="644"/>
      <c r="P13" s="644"/>
      <c r="Q13" s="644"/>
    </row>
    <row r="14" spans="1:54" x14ac:dyDescent="0.3">
      <c r="A14" s="157"/>
      <c r="B14" s="35"/>
      <c r="C14" s="35"/>
      <c r="D14" s="35"/>
      <c r="E14" s="243"/>
      <c r="F14" s="243"/>
      <c r="G14" s="243"/>
      <c r="H14" s="243"/>
      <c r="I14" s="243"/>
      <c r="J14" s="243"/>
      <c r="K14" s="243"/>
      <c r="L14" s="243"/>
      <c r="M14" s="243"/>
      <c r="N14" s="244"/>
      <c r="O14" s="121"/>
      <c r="P14" s="121"/>
      <c r="Q14" s="121"/>
    </row>
    <row r="15" spans="1:54" x14ac:dyDescent="0.3">
      <c r="A15" s="157"/>
      <c r="B15" s="35" t="s">
        <v>970</v>
      </c>
      <c r="C15" s="35"/>
      <c r="D15" s="35"/>
      <c r="E15" s="243">
        <f>'9b. Summary Schedules-sf'!I194</f>
        <v>693540.81958781229</v>
      </c>
      <c r="F15" s="243">
        <f>$E15*'11a. AF by class'!F11/'11a. AF by class'!$E11</f>
        <v>235939.65521911316</v>
      </c>
      <c r="G15" s="243">
        <f>$E15*'11a. AF by class'!G11/'11a. AF by class'!$E11</f>
        <v>63312.000802155846</v>
      </c>
      <c r="H15" s="243">
        <f>$E15*'11a. AF by class'!H11/'11a. AF by class'!$E11</f>
        <v>153886.18523266556</v>
      </c>
      <c r="I15" s="243">
        <f>$E15*'11a. AF by class'!I11/'11a. AF by class'!$E11</f>
        <v>99857.293215587168</v>
      </c>
      <c r="J15" s="243">
        <f>$E15*'11a. AF by class'!J11/'11a. AF by class'!$E11</f>
        <v>48167.204612307454</v>
      </c>
      <c r="K15" s="243">
        <f>$E15*'11a. AF by class'!K11/'11a. AF by class'!$E11</f>
        <v>75554.334900555623</v>
      </c>
      <c r="L15" s="243">
        <f>$E15*'11a. AF by class'!L11/'11a. AF by class'!$E11</f>
        <v>13844.49655367227</v>
      </c>
      <c r="M15" s="243">
        <f>$E15*'11a. AF by class'!M11/'11a. AF by class'!$E11</f>
        <v>135.72941438755433</v>
      </c>
      <c r="N15" s="244">
        <f>$E15*'11a. AF by class'!N11/'11a. AF by class'!$E11</f>
        <v>2843.919637367635</v>
      </c>
      <c r="O15" s="121"/>
      <c r="P15" s="121">
        <f>SUM(F15:O15)</f>
        <v>693540.81958781241</v>
      </c>
      <c r="Q15" s="121">
        <f>E15-P15</f>
        <v>0</v>
      </c>
    </row>
    <row r="16" spans="1:54" x14ac:dyDescent="0.3">
      <c r="A16" s="157"/>
      <c r="B16" s="35" t="s">
        <v>971</v>
      </c>
      <c r="C16" s="35"/>
      <c r="D16" s="35"/>
      <c r="E16" s="35">
        <f>E10+E15</f>
        <v>75761083.444125861</v>
      </c>
      <c r="F16" s="35">
        <f t="shared" ref="F16:P16" si="0">F10+F15</f>
        <v>30118992.316634886</v>
      </c>
      <c r="G16" s="35">
        <f t="shared" si="0"/>
        <v>8923609.7386461683</v>
      </c>
      <c r="H16" s="35">
        <f t="shared" si="0"/>
        <v>15846621.048343064</v>
      </c>
      <c r="I16" s="35">
        <f t="shared" si="0"/>
        <v>9306808.4833586551</v>
      </c>
      <c r="J16" s="35">
        <f t="shared" si="0"/>
        <v>3917834.7730367752</v>
      </c>
      <c r="K16" s="35">
        <f t="shared" si="0"/>
        <v>5808586.5902083851</v>
      </c>
      <c r="L16" s="35">
        <f t="shared" si="0"/>
        <v>1506209.3997748925</v>
      </c>
      <c r="M16" s="35">
        <f t="shared" si="0"/>
        <v>8158.7370892600829</v>
      </c>
      <c r="N16" s="158">
        <f t="shared" si="0"/>
        <v>324262.35703377385</v>
      </c>
      <c r="O16" s="35"/>
      <c r="P16" s="35">
        <f t="shared" si="0"/>
        <v>75761083.444125861</v>
      </c>
      <c r="Q16" s="121">
        <f>E16-P16</f>
        <v>0</v>
      </c>
    </row>
    <row r="17" spans="1:17" x14ac:dyDescent="0.3">
      <c r="A17" s="157"/>
      <c r="B17" s="35" t="s">
        <v>617</v>
      </c>
      <c r="C17" s="35"/>
      <c r="D17" s="35"/>
      <c r="E17" s="243">
        <f>'9b. Summary Schedules-sf'!J194</f>
        <v>0</v>
      </c>
      <c r="F17" s="243">
        <f>$E17*'11a. AF by class'!F13/'11a. AF by class'!$E13</f>
        <v>0</v>
      </c>
      <c r="G17" s="243">
        <f>$E17*'11a. AF by class'!G13/'11a. AF by class'!$E13</f>
        <v>0</v>
      </c>
      <c r="H17" s="243">
        <f>$E17*'11a. AF by class'!H13/'11a. AF by class'!$E13</f>
        <v>0</v>
      </c>
      <c r="I17" s="243">
        <f>$E17*'11a. AF by class'!I13/'11a. AF by class'!$E13</f>
        <v>0</v>
      </c>
      <c r="J17" s="243">
        <f>$E17*'11a. AF by class'!J13/'11a. AF by class'!$E13</f>
        <v>0</v>
      </c>
      <c r="K17" s="243">
        <f>$E17*'11a. AF by class'!K13/'11a. AF by class'!$E13</f>
        <v>0</v>
      </c>
      <c r="L17" s="243">
        <f>$E17*'11a. AF by class'!L13/'11a. AF by class'!$E13</f>
        <v>0</v>
      </c>
      <c r="M17" s="243">
        <f>$E17*'11a. AF by class'!M13/'11a. AF by class'!$E13</f>
        <v>0</v>
      </c>
      <c r="N17" s="244">
        <f>$E17*'11a. AF by class'!N13/'11a. AF by class'!$E13</f>
        <v>0</v>
      </c>
      <c r="O17" s="121"/>
      <c r="P17" s="121">
        <f>SUM(F17:O17)</f>
        <v>0</v>
      </c>
      <c r="Q17" s="121">
        <f>E17-P17</f>
        <v>0</v>
      </c>
    </row>
    <row r="18" spans="1:17" x14ac:dyDescent="0.3">
      <c r="A18" s="157"/>
      <c r="B18" s="35" t="s">
        <v>972</v>
      </c>
      <c r="C18" s="35"/>
      <c r="D18" s="35"/>
      <c r="E18" s="243">
        <f>SUM(E16:E17)</f>
        <v>75761083.444125861</v>
      </c>
      <c r="F18" s="243">
        <f t="shared" ref="F18:N18" si="1">SUM(F16:F17)</f>
        <v>30118992.316634886</v>
      </c>
      <c r="G18" s="243">
        <f t="shared" si="1"/>
        <v>8923609.7386461683</v>
      </c>
      <c r="H18" s="243">
        <f t="shared" si="1"/>
        <v>15846621.048343064</v>
      </c>
      <c r="I18" s="243">
        <f t="shared" si="1"/>
        <v>9306808.4833586551</v>
      </c>
      <c r="J18" s="243">
        <f t="shared" si="1"/>
        <v>3917834.7730367752</v>
      </c>
      <c r="K18" s="243">
        <f t="shared" si="1"/>
        <v>5808586.5902083851</v>
      </c>
      <c r="L18" s="243">
        <f t="shared" si="1"/>
        <v>1506209.3997748925</v>
      </c>
      <c r="M18" s="243">
        <f t="shared" si="1"/>
        <v>8158.7370892600829</v>
      </c>
      <c r="N18" s="244">
        <f t="shared" si="1"/>
        <v>324262.35703377385</v>
      </c>
      <c r="O18" s="121"/>
      <c r="P18" s="121">
        <f>SUM(F18:O18)</f>
        <v>75761083.444125861</v>
      </c>
      <c r="Q18" s="121">
        <f>E18-P18</f>
        <v>0</v>
      </c>
    </row>
    <row r="19" spans="1:17" x14ac:dyDescent="0.3">
      <c r="A19" s="157"/>
      <c r="B19" s="35"/>
      <c r="C19" s="35"/>
      <c r="D19" s="35"/>
      <c r="E19" s="243"/>
      <c r="F19" s="243"/>
      <c r="G19" s="243"/>
      <c r="H19" s="243"/>
      <c r="I19" s="243"/>
      <c r="J19" s="243"/>
      <c r="K19" s="243"/>
      <c r="L19" s="243"/>
      <c r="M19" s="243"/>
      <c r="N19" s="244"/>
      <c r="O19" s="121"/>
      <c r="P19" s="121"/>
      <c r="Q19" s="121"/>
    </row>
    <row r="20" spans="1:17" x14ac:dyDescent="0.3">
      <c r="A20" s="157" t="s">
        <v>984</v>
      </c>
      <c r="B20" s="35"/>
      <c r="C20" s="35"/>
      <c r="D20" s="35"/>
      <c r="E20" s="243">
        <f>'9b. Summary Schedules-sf'!K194</f>
        <v>0</v>
      </c>
      <c r="F20" s="243">
        <f>$E20*'11a. AF by class'!F16/'11a. AF by class'!$E16</f>
        <v>0</v>
      </c>
      <c r="G20" s="243">
        <f>$E20*'11a. AF by class'!G16/'11a. AF by class'!$E16</f>
        <v>0</v>
      </c>
      <c r="H20" s="243">
        <f>$E20*'11a. AF by class'!H16/'11a. AF by class'!$E16</f>
        <v>0</v>
      </c>
      <c r="I20" s="243">
        <f>$E20*'11a. AF by class'!I16/'11a. AF by class'!$E16</f>
        <v>0</v>
      </c>
      <c r="J20" s="243">
        <f>$E20*'11a. AF by class'!J16/'11a. AF by class'!$E16</f>
        <v>0</v>
      </c>
      <c r="K20" s="243">
        <f>$E20*'11a. AF by class'!K16/'11a. AF by class'!$E16</f>
        <v>0</v>
      </c>
      <c r="L20" s="243">
        <f>$E20*'11a. AF by class'!L16/'11a. AF by class'!$E16</f>
        <v>0</v>
      </c>
      <c r="M20" s="243">
        <f>$E20*'11a. AF by class'!M16/'11a. AF by class'!$E16</f>
        <v>0</v>
      </c>
      <c r="N20" s="244">
        <f>$E20*'11a. AF by class'!N16/'11a. AF by class'!$E16</f>
        <v>0</v>
      </c>
      <c r="O20" s="121"/>
      <c r="P20" s="121">
        <f>SUM(F20:O20)</f>
        <v>0</v>
      </c>
      <c r="Q20" s="121">
        <f>E20-P20</f>
        <v>0</v>
      </c>
    </row>
    <row r="21" spans="1:17" x14ac:dyDescent="0.3">
      <c r="A21" s="157"/>
      <c r="B21" s="35"/>
      <c r="C21" s="35"/>
      <c r="D21" s="35"/>
      <c r="E21" s="243"/>
      <c r="F21" s="243"/>
      <c r="G21" s="243"/>
      <c r="H21" s="243"/>
      <c r="I21" s="243"/>
      <c r="J21" s="243"/>
      <c r="K21" s="243"/>
      <c r="L21" s="243"/>
      <c r="M21" s="243"/>
      <c r="N21" s="244"/>
      <c r="O21" s="121"/>
      <c r="P21" s="121"/>
      <c r="Q21" s="121"/>
    </row>
    <row r="22" spans="1:17" x14ac:dyDescent="0.3">
      <c r="A22" s="157" t="s">
        <v>366</v>
      </c>
      <c r="B22" s="35"/>
      <c r="C22" s="35"/>
      <c r="D22" s="35"/>
      <c r="E22" s="243">
        <f>'9b. Summary Schedules-sf'!L194</f>
        <v>0</v>
      </c>
      <c r="F22" s="243">
        <f>$E22*'11a. AF by class'!F18/'11a. AF by class'!$E18</f>
        <v>0</v>
      </c>
      <c r="G22" s="243">
        <f>$E22*'11a. AF by class'!G18/'11a. AF by class'!$E18</f>
        <v>0</v>
      </c>
      <c r="H22" s="243">
        <f>$E22*'11a. AF by class'!H18/'11a. AF by class'!$E18</f>
        <v>0</v>
      </c>
      <c r="I22" s="243">
        <f>$E22*'11a. AF by class'!I18/'11a. AF by class'!$E18</f>
        <v>0</v>
      </c>
      <c r="J22" s="243">
        <f>$E22*'11a. AF by class'!J18/'11a. AF by class'!$E18</f>
        <v>0</v>
      </c>
      <c r="K22" s="243">
        <f>$E22*'11a. AF by class'!K18/'11a. AF by class'!$E18</f>
        <v>0</v>
      </c>
      <c r="L22" s="243">
        <f>$E22*'11a. AF by class'!L18/'11a. AF by class'!$E18</f>
        <v>0</v>
      </c>
      <c r="M22" s="243">
        <f>$E22*'11a. AF by class'!M18/'11a. AF by class'!$E18</f>
        <v>0</v>
      </c>
      <c r="N22" s="244">
        <f>$E22*'11a. AF by class'!N18/'11a. AF by class'!$E18</f>
        <v>0</v>
      </c>
      <c r="O22" s="121"/>
      <c r="P22" s="121">
        <f>SUM(F22:O22)</f>
        <v>0</v>
      </c>
      <c r="Q22" s="121">
        <f>E22-P22</f>
        <v>0</v>
      </c>
    </row>
    <row r="23" spans="1:17" x14ac:dyDescent="0.3">
      <c r="A23" s="157"/>
      <c r="B23" s="35"/>
      <c r="C23" s="35"/>
      <c r="D23" s="35"/>
      <c r="E23" s="243"/>
      <c r="F23" s="243"/>
      <c r="G23" s="243"/>
      <c r="H23" s="243"/>
      <c r="I23" s="243"/>
      <c r="J23" s="243"/>
      <c r="K23" s="243"/>
      <c r="L23" s="243"/>
      <c r="M23" s="243"/>
      <c r="N23" s="244"/>
      <c r="O23" s="121"/>
      <c r="P23" s="121"/>
      <c r="Q23" s="121"/>
    </row>
    <row r="24" spans="1:17" x14ac:dyDescent="0.3">
      <c r="A24" s="157" t="s">
        <v>367</v>
      </c>
      <c r="B24" s="35"/>
      <c r="C24" s="35"/>
      <c r="D24" s="35"/>
      <c r="E24" s="243"/>
      <c r="F24" s="243"/>
      <c r="G24" s="243"/>
      <c r="H24" s="243"/>
      <c r="I24" s="243"/>
      <c r="J24" s="243"/>
      <c r="K24" s="243"/>
      <c r="L24" s="243"/>
      <c r="M24" s="243"/>
      <c r="N24" s="244"/>
      <c r="O24" s="121"/>
      <c r="P24" s="121"/>
      <c r="Q24" s="121"/>
    </row>
    <row r="25" spans="1:17" x14ac:dyDescent="0.3">
      <c r="A25" s="157"/>
      <c r="B25" s="35" t="s">
        <v>973</v>
      </c>
      <c r="C25" s="35"/>
      <c r="D25" s="35"/>
      <c r="E25" s="243"/>
      <c r="F25" s="243"/>
      <c r="G25" s="243"/>
      <c r="H25" s="243"/>
      <c r="I25" s="243"/>
      <c r="J25" s="243"/>
      <c r="K25" s="243"/>
      <c r="L25" s="243"/>
      <c r="M25" s="243"/>
      <c r="N25" s="244"/>
      <c r="O25" s="121"/>
      <c r="P25" s="121"/>
      <c r="Q25" s="121"/>
    </row>
    <row r="26" spans="1:17" x14ac:dyDescent="0.3">
      <c r="A26" s="157"/>
      <c r="B26" s="35" t="s">
        <v>974</v>
      </c>
      <c r="C26" s="35"/>
      <c r="D26" s="35"/>
      <c r="E26" s="243">
        <f>'9b. Summary Schedules-sf'!N194</f>
        <v>5984806.5737322289</v>
      </c>
      <c r="F26" s="243">
        <f>$E26*'11a. AF by class'!F22/'11a. AF by class'!$E22</f>
        <v>2413331.2305568233</v>
      </c>
      <c r="G26" s="243">
        <f>$E26*'11a. AF by class'!G22/'11a. AF by class'!$E22</f>
        <v>720121.07354662777</v>
      </c>
      <c r="H26" s="243">
        <f>$E26*'11a. AF by class'!H22/'11a. AF by class'!$E22</f>
        <v>1246704.071232683</v>
      </c>
      <c r="I26" s="243">
        <f>$E26*'11a. AF by class'!I22/'11a. AF by class'!$E22</f>
        <v>724856.95337821031</v>
      </c>
      <c r="J26" s="243">
        <f>$E26*'11a. AF by class'!J22/'11a. AF by class'!$E22</f>
        <v>300393.0906656775</v>
      </c>
      <c r="K26" s="243">
        <f>$E26*'11a. AF by class'!K22/'11a. AF by class'!$E22</f>
        <v>442156.85347125126</v>
      </c>
      <c r="L26" s="243">
        <f>$E26*'11a. AF by class'!L22/'11a. AF by class'!$E22</f>
        <v>110899.34791996956</v>
      </c>
      <c r="M26" s="243">
        <f>$E26*'11a. AF by class'!M22/'11a. AF by class'!$E22</f>
        <v>597.64660342574336</v>
      </c>
      <c r="N26" s="244">
        <f>$E26*'11a. AF by class'!N22/'11a. AF by class'!$E22</f>
        <v>25746.306357560763</v>
      </c>
      <c r="O26" s="121"/>
      <c r="P26" s="121">
        <f>SUM(F26:O26)</f>
        <v>5984806.5737322299</v>
      </c>
      <c r="Q26" s="121">
        <f>E26-P26</f>
        <v>0</v>
      </c>
    </row>
    <row r="27" spans="1:17" x14ac:dyDescent="0.3">
      <c r="A27" s="157"/>
      <c r="B27" s="35" t="s">
        <v>975</v>
      </c>
      <c r="C27" s="35"/>
      <c r="D27" s="35"/>
      <c r="E27" s="243">
        <f>'9b. Summary Schedules-sf'!O194</f>
        <v>10039103.224148395</v>
      </c>
      <c r="F27" s="243">
        <f>$E27*'11a. AF by class'!F23/'11a. AF by class'!$E23</f>
        <v>4118874.6161138667</v>
      </c>
      <c r="G27" s="243">
        <f>$E27*'11a. AF by class'!G23/'11a. AF by class'!$E23</f>
        <v>1229043.2298742153</v>
      </c>
      <c r="H27" s="243">
        <f>$E27*'11a. AF by class'!H23/'11a. AF by class'!$E23</f>
        <v>2127771.6410363279</v>
      </c>
      <c r="I27" s="243">
        <f>$E27*'11a. AF by class'!I23/'11a. AF by class'!$E23</f>
        <v>1237126.0388049935</v>
      </c>
      <c r="J27" s="243">
        <f>$E27*'11a. AF by class'!J23/'11a. AF by class'!$E23</f>
        <v>512686.14118641941</v>
      </c>
      <c r="K27" s="243">
        <f>$E27*'11a. AF by class'!K23/'11a. AF by class'!$E23</f>
        <v>754636.83436579735</v>
      </c>
      <c r="L27" s="243">
        <f>$E27*'11a. AF by class'!L23/'11a. AF by class'!$E23</f>
        <v>14003.037538812878</v>
      </c>
      <c r="M27" s="243">
        <f>$E27*'11a. AF by class'!M23/'11a. AF by class'!$E23</f>
        <v>1020.0139098556305</v>
      </c>
      <c r="N27" s="244">
        <f>$E27*'11a. AF by class'!N23/'11a. AF by class'!$E23</f>
        <v>43941.671318105953</v>
      </c>
      <c r="O27" s="121"/>
      <c r="P27" s="121">
        <f>SUM(F27:O27)</f>
        <v>10039103.224148396</v>
      </c>
      <c r="Q27" s="121">
        <f>E27-P27</f>
        <v>0</v>
      </c>
    </row>
    <row r="28" spans="1:17" x14ac:dyDescent="0.3">
      <c r="A28" s="157"/>
      <c r="B28" s="35" t="s">
        <v>976</v>
      </c>
      <c r="C28" s="35"/>
      <c r="D28" s="35"/>
      <c r="E28" s="243">
        <f>'9b. Summary Schedules-sf'!P194</f>
        <v>2697015.5263670655</v>
      </c>
      <c r="F28" s="243">
        <f>$E28*'11a. AF by class'!F24/'11a. AF by class'!$E24</f>
        <v>1370169.823343076</v>
      </c>
      <c r="G28" s="243">
        <f>$E28*'11a. AF by class'!G24/'11a. AF by class'!$E24</f>
        <v>503832.37867856765</v>
      </c>
      <c r="H28" s="243">
        <f>$E28*'11a. AF by class'!H24/'11a. AF by class'!$E24</f>
        <v>466872.24682766123</v>
      </c>
      <c r="I28" s="243">
        <f>$E28*'11a. AF by class'!I24/'11a. AF by class'!$E24</f>
        <v>240055.79494270892</v>
      </c>
      <c r="J28" s="243">
        <f>$E28*'11a. AF by class'!J24/'11a. AF by class'!$E24</f>
        <v>81609.907115203372</v>
      </c>
      <c r="K28" s="243">
        <f>$E28*'11a. AF by class'!K24/'11a. AF by class'!$E24</f>
        <v>27249.872852453573</v>
      </c>
      <c r="L28" s="243">
        <f>$E28*'11a. AF by class'!L24/'11a. AF by class'!$E24</f>
        <v>0</v>
      </c>
      <c r="M28" s="243">
        <f>$E28*'11a. AF by class'!M24/'11a. AF by class'!$E24</f>
        <v>163.91986038497527</v>
      </c>
      <c r="N28" s="244">
        <f>$E28*'11a. AF by class'!N24/'11a. AF by class'!$E24</f>
        <v>7061.5827470096747</v>
      </c>
      <c r="O28" s="121"/>
      <c r="P28" s="121">
        <f>SUM(F28:O28)</f>
        <v>2697015.5263670655</v>
      </c>
      <c r="Q28" s="121">
        <f>E28-P28</f>
        <v>0</v>
      </c>
    </row>
    <row r="29" spans="1:17" x14ac:dyDescent="0.3">
      <c r="A29" s="157"/>
      <c r="B29" s="35" t="s">
        <v>931</v>
      </c>
      <c r="C29" s="35"/>
      <c r="D29" s="35"/>
      <c r="E29" s="580">
        <f>'9b. Summary Schedules-sf'!Q194</f>
        <v>2838310.1551538929</v>
      </c>
      <c r="F29" s="580">
        <f>$E29*'11a. AF by class'!F25/'11a. AF by class'!$E25</f>
        <v>1374646.46057888</v>
      </c>
      <c r="G29" s="580">
        <f>$E29*'11a. AF by class'!G25/'11a. AF by class'!$E25</f>
        <v>474438.22434776917</v>
      </c>
      <c r="H29" s="580">
        <f>$E29*'11a. AF by class'!H25/'11a. AF by class'!$E25</f>
        <v>547137.59602706577</v>
      </c>
      <c r="I29" s="580">
        <f>$E29*'11a. AF by class'!I25/'11a. AF by class'!$E25</f>
        <v>293475.6615329113</v>
      </c>
      <c r="J29" s="580">
        <f>$E29*'11a. AF by class'!J25/'11a. AF by class'!$E25</f>
        <v>103710.13922963466</v>
      </c>
      <c r="K29" s="580">
        <f>$E29*'11a. AF by class'!K25/'11a. AF by class'!$E25</f>
        <v>35126.400848949619</v>
      </c>
      <c r="L29" s="580">
        <f>$E29*'11a. AF by class'!L25/'11a. AF by class'!$E25</f>
        <v>0</v>
      </c>
      <c r="M29" s="580">
        <f>$E29*'11a. AF by class'!M25/'11a. AF by class'!$E25</f>
        <v>221.77376066075882</v>
      </c>
      <c r="N29" s="600">
        <f>$E29*'11a. AF by class'!N25/'11a. AF by class'!$E25</f>
        <v>9553.8988280215253</v>
      </c>
      <c r="O29" s="121"/>
      <c r="P29" s="121">
        <f>SUM(F29:O29)</f>
        <v>2838310.1551538929</v>
      </c>
      <c r="Q29" s="121">
        <f>E29-P29</f>
        <v>0</v>
      </c>
    </row>
    <row r="30" spans="1:17" x14ac:dyDescent="0.3">
      <c r="A30" s="157"/>
      <c r="B30" s="35" t="s">
        <v>977</v>
      </c>
      <c r="C30" s="35"/>
      <c r="D30" s="35"/>
      <c r="E30" s="243">
        <f>SUM(E26:E29)</f>
        <v>21559235.479401581</v>
      </c>
      <c r="F30" s="243">
        <f t="shared" ref="F30:N30" si="2">SUM(F26:F29)</f>
        <v>9277022.1305926461</v>
      </c>
      <c r="G30" s="243">
        <f t="shared" si="2"/>
        <v>2927434.9064471801</v>
      </c>
      <c r="H30" s="243">
        <f t="shared" si="2"/>
        <v>4388485.555123738</v>
      </c>
      <c r="I30" s="243">
        <f t="shared" si="2"/>
        <v>2495514.448658824</v>
      </c>
      <c r="J30" s="243">
        <f t="shared" si="2"/>
        <v>998399.27819693496</v>
      </c>
      <c r="K30" s="243">
        <f t="shared" si="2"/>
        <v>1259169.9615384517</v>
      </c>
      <c r="L30" s="243">
        <f t="shared" si="2"/>
        <v>124902.38545878243</v>
      </c>
      <c r="M30" s="243">
        <f t="shared" si="2"/>
        <v>2003.3541343271079</v>
      </c>
      <c r="N30" s="244">
        <f t="shared" si="2"/>
        <v>86303.45925069791</v>
      </c>
      <c r="O30" s="121"/>
      <c r="P30" s="121">
        <f>SUM(F30:O30)</f>
        <v>21559235.479401585</v>
      </c>
      <c r="Q30" s="121">
        <f>E30-P30</f>
        <v>0</v>
      </c>
    </row>
    <row r="31" spans="1:17" x14ac:dyDescent="0.3">
      <c r="A31" s="157"/>
      <c r="B31" s="35"/>
      <c r="C31" s="35"/>
      <c r="D31" s="35"/>
      <c r="E31" s="243"/>
      <c r="F31" s="243"/>
      <c r="G31" s="243"/>
      <c r="H31" s="243"/>
      <c r="I31" s="243"/>
      <c r="J31" s="243"/>
      <c r="K31" s="243"/>
      <c r="L31" s="243"/>
      <c r="M31" s="243"/>
      <c r="N31" s="244"/>
      <c r="O31" s="121"/>
      <c r="P31" s="121"/>
      <c r="Q31" s="121"/>
    </row>
    <row r="32" spans="1:17" x14ac:dyDescent="0.3">
      <c r="A32" s="157"/>
      <c r="B32" s="35" t="s">
        <v>978</v>
      </c>
      <c r="C32" s="35"/>
      <c r="D32" s="35"/>
      <c r="E32" s="243"/>
      <c r="F32" s="243"/>
      <c r="G32" s="243"/>
      <c r="H32" s="243"/>
      <c r="I32" s="243"/>
      <c r="J32" s="243"/>
      <c r="K32" s="243"/>
      <c r="L32" s="243"/>
      <c r="M32" s="243"/>
      <c r="N32" s="244"/>
      <c r="O32" s="121"/>
      <c r="P32" s="121"/>
      <c r="Q32" s="121"/>
    </row>
    <row r="33" spans="1:17" x14ac:dyDescent="0.3">
      <c r="A33" s="157"/>
      <c r="B33" s="35" t="s">
        <v>975</v>
      </c>
      <c r="C33" s="35"/>
      <c r="D33" s="35"/>
      <c r="E33" s="243">
        <f>'9b. Summary Schedules-sf'!R194</f>
        <v>-110376.09117274638</v>
      </c>
      <c r="F33" s="243">
        <f>$E33*'11a. AF by class'!F29/'11a. AF by class'!$E29</f>
        <v>-79162.798241348137</v>
      </c>
      <c r="G33" s="243">
        <f>$E33*'11a. AF by class'!G29/'11a. AF by class'!$E29</f>
        <v>-19468.742813725075</v>
      </c>
      <c r="H33" s="243">
        <f>$E33*'11a. AF by class'!H29/'11a. AF by class'!$E29</f>
        <v>-10374.061835567945</v>
      </c>
      <c r="I33" s="243">
        <f>$E33*'11a. AF by class'!I29/'11a. AF by class'!$E29</f>
        <v>-282.32224764725646</v>
      </c>
      <c r="J33" s="243">
        <f>$E33*'11a. AF by class'!J29/'11a. AF by class'!$E29</f>
        <v>-24.923003715795076</v>
      </c>
      <c r="K33" s="243">
        <f>$E33*'11a. AF by class'!K29/'11a. AF by class'!$E29</f>
        <v>-5.3999841384222664</v>
      </c>
      <c r="L33" s="243">
        <f>$E33*'11a. AF by class'!L29/'11a. AF by class'!$E29</f>
        <v>-0.27692226350883414</v>
      </c>
      <c r="M33" s="243">
        <f>$E33*'11a. AF by class'!M29/'11a. AF by class'!$E29</f>
        <v>-250.75310960724934</v>
      </c>
      <c r="N33" s="244">
        <f>$E33*'11a. AF by class'!N29/'11a. AF by class'!$E29</f>
        <v>-806.81301473298834</v>
      </c>
      <c r="O33" s="121"/>
      <c r="P33" s="121">
        <f t="shared" ref="P33:P39" si="3">SUM(F33:O33)</f>
        <v>-110376.09117274638</v>
      </c>
      <c r="Q33" s="121">
        <f t="shared" ref="Q33:Q39" si="4">E33-P33</f>
        <v>0</v>
      </c>
    </row>
    <row r="34" spans="1:17" x14ac:dyDescent="0.3">
      <c r="A34" s="157"/>
      <c r="B34" s="35" t="s">
        <v>976</v>
      </c>
      <c r="C34" s="35"/>
      <c r="D34" s="35"/>
      <c r="E34" s="243">
        <f>'9b. Summary Schedules-sf'!S194</f>
        <v>1385206.4480335324</v>
      </c>
      <c r="F34" s="243">
        <f>$E34*'11a. AF by class'!F30/'11a. AF by class'!$E30</f>
        <v>993591.87599871971</v>
      </c>
      <c r="G34" s="243">
        <f>$E34*'11a. AF by class'!G30/'11a. AF by class'!$E30</f>
        <v>244357.01017857634</v>
      </c>
      <c r="H34" s="243">
        <f>$E34*'11a. AF by class'!H30/'11a. AF by class'!$E30</f>
        <v>130207.41800338285</v>
      </c>
      <c r="I34" s="243">
        <f>$E34*'11a. AF by class'!I30/'11a. AF by class'!$E30</f>
        <v>3473.9820162933411</v>
      </c>
      <c r="J34" s="243">
        <f>$E34*'11a. AF by class'!J30/'11a. AF by class'!$E30</f>
        <v>283.27116991286374</v>
      </c>
      <c r="K34" s="243">
        <f>$E34*'11a. AF by class'!K30/'11a. AF by class'!$E30</f>
        <v>19.116459319273012</v>
      </c>
      <c r="L34" s="243">
        <f>$E34*'11a. AF by class'!L30/'11a. AF by class'!$E30</f>
        <v>0</v>
      </c>
      <c r="M34" s="243">
        <f>$E34*'11a. AF by class'!M30/'11a. AF by class'!$E30</f>
        <v>3147.2643479275844</v>
      </c>
      <c r="N34" s="244">
        <f>$E34*'11a. AF by class'!N30/'11a. AF by class'!$E30</f>
        <v>10126.50985940035</v>
      </c>
      <c r="O34" s="121"/>
      <c r="P34" s="121">
        <f t="shared" si="3"/>
        <v>1385206.4480335324</v>
      </c>
      <c r="Q34" s="121">
        <f t="shared" si="4"/>
        <v>0</v>
      </c>
    </row>
    <row r="35" spans="1:17" x14ac:dyDescent="0.3">
      <c r="A35" s="157"/>
      <c r="B35" s="35" t="s">
        <v>931</v>
      </c>
      <c r="C35" s="35"/>
      <c r="D35" s="35"/>
      <c r="E35" s="243">
        <f>'9b. Summary Schedules-sf'!T194</f>
        <v>3102693.1720213811</v>
      </c>
      <c r="F35" s="243">
        <f>$E35*'11a. AF by class'!F31/'11a. AF by class'!$E31</f>
        <v>2225524.385779148</v>
      </c>
      <c r="G35" s="243">
        <f>$E35*'11a. AF by class'!G31/'11a. AF by class'!$E31</f>
        <v>547329.84248877445</v>
      </c>
      <c r="H35" s="243">
        <f>$E35*'11a. AF by class'!H31/'11a. AF by class'!$E31</f>
        <v>291648.70504259312</v>
      </c>
      <c r="I35" s="243">
        <f>$E35*'11a. AF by class'!I31/'11a. AF by class'!$E31</f>
        <v>7781.2951975354181</v>
      </c>
      <c r="J35" s="243">
        <f>$E35*'11a. AF by class'!J31/'11a. AF by class'!$E31</f>
        <v>634.49280500163741</v>
      </c>
      <c r="K35" s="243">
        <f>$E35*'11a. AF by class'!K31/'11a. AF by class'!$E31</f>
        <v>42.818532852871229</v>
      </c>
      <c r="L35" s="243">
        <f>$E35*'11a. AF by class'!L31/'11a. AF by class'!$E31</f>
        <v>0</v>
      </c>
      <c r="M35" s="243">
        <f>$E35*'11a. AF by class'!M31/'11a. AF by class'!$E31</f>
        <v>7049.4875451408907</v>
      </c>
      <c r="N35" s="244">
        <f>$E35*'11a. AF by class'!N31/'11a. AF by class'!$E31</f>
        <v>22682.144630334606</v>
      </c>
      <c r="O35" s="121"/>
      <c r="P35" s="121">
        <f t="shared" si="3"/>
        <v>3102693.1720213816</v>
      </c>
      <c r="Q35" s="121">
        <f t="shared" si="4"/>
        <v>0</v>
      </c>
    </row>
    <row r="36" spans="1:17" x14ac:dyDescent="0.3">
      <c r="A36" s="157"/>
      <c r="B36" s="35" t="s">
        <v>456</v>
      </c>
      <c r="C36" s="35"/>
      <c r="D36" s="35"/>
      <c r="E36" s="243">
        <f>'9b. Summary Schedules-sf'!U194</f>
        <v>2080820.0513397523</v>
      </c>
      <c r="F36" s="243">
        <f>$E36*'11a. AF by class'!F32/'11a. AF by class'!$E32</f>
        <v>1135940.8201582194</v>
      </c>
      <c r="G36" s="243">
        <f>$E36*'11a. AF by class'!G32/'11a. AF by class'!$E32</f>
        <v>279365.31010245503</v>
      </c>
      <c r="H36" s="243">
        <f>$E36*'11a. AF by class'!H32/'11a. AF by class'!$E32</f>
        <v>446585.53910409805</v>
      </c>
      <c r="I36" s="243">
        <f>$E36*'11a. AF by class'!I32/'11a. AF by class'!$E32</f>
        <v>198584.45283867474</v>
      </c>
      <c r="J36" s="243">
        <f>$E36*'11a. AF by class'!J32/'11a. AF by class'!$E32</f>
        <v>16192.729270987487</v>
      </c>
      <c r="K36" s="243">
        <f>$E36*'11a. AF by class'!K32/'11a. AF by class'!$E32</f>
        <v>1092.7608710482355</v>
      </c>
      <c r="L36" s="243">
        <f>$E36*'11a. AF by class'!L32/'11a. AF by class'!$E32</f>
        <v>0</v>
      </c>
      <c r="M36" s="243">
        <f>$E36*'11a. AF by class'!M32/'11a. AF by class'!$E32</f>
        <v>3058.4389942692746</v>
      </c>
      <c r="N36" s="244">
        <f>$E36*'11a. AF by class'!N32/'11a. AF by class'!$E32</f>
        <v>0</v>
      </c>
      <c r="O36" s="121"/>
      <c r="P36" s="121">
        <f t="shared" si="3"/>
        <v>2080820.0513397523</v>
      </c>
      <c r="Q36" s="121">
        <f t="shared" si="4"/>
        <v>0</v>
      </c>
    </row>
    <row r="37" spans="1:17" x14ac:dyDescent="0.3">
      <c r="A37" s="157"/>
      <c r="B37" s="35" t="s">
        <v>932</v>
      </c>
      <c r="C37" s="35"/>
      <c r="D37" s="35"/>
      <c r="E37" s="243">
        <f>'9b. Summary Schedules-sf'!V194</f>
        <v>1778964.011977714</v>
      </c>
      <c r="F37" s="243">
        <f>$E37*'11a. AF by class'!F33/'11a. AF by class'!$E33</f>
        <v>0</v>
      </c>
      <c r="G37" s="243">
        <f>$E37*'11a. AF by class'!G33/'11a. AF by class'!$E33</f>
        <v>0</v>
      </c>
      <c r="H37" s="243">
        <f>$E37*'11a. AF by class'!H33/'11a. AF by class'!$E33</f>
        <v>0</v>
      </c>
      <c r="I37" s="243">
        <f>$E37*'11a. AF by class'!I33/'11a. AF by class'!$E33</f>
        <v>0</v>
      </c>
      <c r="J37" s="243">
        <f>$E37*'11a. AF by class'!J33/'11a. AF by class'!$E33</f>
        <v>0</v>
      </c>
      <c r="K37" s="243">
        <f>$E37*'11a. AF by class'!K33/'11a. AF by class'!$E33</f>
        <v>0</v>
      </c>
      <c r="L37" s="243">
        <f>$E37*'11a. AF by class'!L33/'11a. AF by class'!$E33</f>
        <v>0</v>
      </c>
      <c r="M37" s="243">
        <f>$E37*'11a. AF by class'!M33/'11a. AF by class'!$E33</f>
        <v>0</v>
      </c>
      <c r="N37" s="244">
        <f>$E37*'11a. AF by class'!N33/'11a. AF by class'!$E33</f>
        <v>1778964.011977714</v>
      </c>
      <c r="O37" s="121"/>
      <c r="P37" s="121">
        <f t="shared" si="3"/>
        <v>1778964.011977714</v>
      </c>
      <c r="Q37" s="121">
        <f t="shared" si="4"/>
        <v>0</v>
      </c>
    </row>
    <row r="38" spans="1:17" x14ac:dyDescent="0.3">
      <c r="A38" s="157"/>
      <c r="B38" s="35" t="s">
        <v>1013</v>
      </c>
      <c r="C38" s="35"/>
      <c r="D38" s="35"/>
      <c r="E38" s="580">
        <f>'9b. Summary Schedules-sf'!W194</f>
        <v>6906.5585448299007</v>
      </c>
      <c r="F38" s="580">
        <f>$E38*'11a. AF by class'!F34/'11a. AF by class'!$E34</f>
        <v>2407.995996652809</v>
      </c>
      <c r="G38" s="580">
        <f>$E38*'11a. AF by class'!G34/'11a. AF by class'!$E34</f>
        <v>646.16117341566974</v>
      </c>
      <c r="H38" s="580">
        <f>$E38*'11a. AF by class'!H34/'11a. AF by class'!$E34</f>
        <v>1570.5597163660386</v>
      </c>
      <c r="I38" s="580">
        <f>$E38*'11a. AF by class'!I34/'11a. AF by class'!$E34</f>
        <v>1019.141788930785</v>
      </c>
      <c r="J38" s="580">
        <f>$E38*'11a. AF by class'!J34/'11a. AF by class'!$E34</f>
        <v>491.59364825161941</v>
      </c>
      <c r="K38" s="580">
        <f>$E38*'11a. AF by class'!K34/'11a. AF by class'!$E34</f>
        <v>771.10622121297945</v>
      </c>
      <c r="L38" s="580">
        <f>$E38*'11a. AF by class'!L34/'11a. AF by class'!$E34</f>
        <v>0</v>
      </c>
      <c r="M38" s="580">
        <f>$E38*'11a. AF by class'!M34/'11a. AF by class'!$E34</f>
        <v>0</v>
      </c>
      <c r="N38" s="600">
        <f>$E38*'11a. AF by class'!N34/'11a. AF by class'!$E34</f>
        <v>0</v>
      </c>
      <c r="O38" s="121"/>
      <c r="P38" s="121">
        <f>SUM(F38:O38)</f>
        <v>6906.5585448299007</v>
      </c>
      <c r="Q38" s="121">
        <f>E38-P38</f>
        <v>0</v>
      </c>
    </row>
    <row r="39" spans="1:17" x14ac:dyDescent="0.3">
      <c r="A39" s="157"/>
      <c r="B39" s="35" t="s">
        <v>979</v>
      </c>
      <c r="C39" s="35"/>
      <c r="D39" s="35"/>
      <c r="E39" s="243">
        <f t="shared" ref="E39:N39" si="5">SUM(E33:E38)</f>
        <v>8244214.1507444624</v>
      </c>
      <c r="F39" s="243">
        <f t="shared" si="5"/>
        <v>4278302.2796913916</v>
      </c>
      <c r="G39" s="243">
        <f t="shared" si="5"/>
        <v>1052229.5811294965</v>
      </c>
      <c r="H39" s="243">
        <f t="shared" si="5"/>
        <v>859638.1600308721</v>
      </c>
      <c r="I39" s="243">
        <f t="shared" si="5"/>
        <v>210576.54959378703</v>
      </c>
      <c r="J39" s="243">
        <f t="shared" si="5"/>
        <v>17577.163890437812</v>
      </c>
      <c r="K39" s="243">
        <f t="shared" si="5"/>
        <v>1920.4021002949371</v>
      </c>
      <c r="L39" s="243">
        <f t="shared" si="5"/>
        <v>-0.27692226350883414</v>
      </c>
      <c r="M39" s="243">
        <f t="shared" si="5"/>
        <v>13004.4377777305</v>
      </c>
      <c r="N39" s="244">
        <f t="shared" si="5"/>
        <v>1810965.853452716</v>
      </c>
      <c r="O39" s="121"/>
      <c r="P39" s="121">
        <f t="shared" si="3"/>
        <v>8244214.1507444624</v>
      </c>
      <c r="Q39" s="121">
        <f t="shared" si="4"/>
        <v>0</v>
      </c>
    </row>
    <row r="40" spans="1:17" x14ac:dyDescent="0.3">
      <c r="A40" s="157"/>
      <c r="B40" s="35"/>
      <c r="C40" s="35"/>
      <c r="D40" s="35"/>
      <c r="E40" s="243"/>
      <c r="F40" s="243"/>
      <c r="G40" s="243"/>
      <c r="H40" s="243"/>
      <c r="I40" s="243"/>
      <c r="J40" s="243"/>
      <c r="K40" s="243"/>
      <c r="L40" s="243"/>
      <c r="M40" s="243"/>
      <c r="N40" s="244"/>
      <c r="O40" s="121"/>
      <c r="P40" s="121"/>
      <c r="Q40" s="121"/>
    </row>
    <row r="41" spans="1:17" x14ac:dyDescent="0.3">
      <c r="A41" s="157"/>
      <c r="B41" s="35" t="s">
        <v>543</v>
      </c>
      <c r="C41" s="35"/>
      <c r="D41" s="35"/>
      <c r="E41" s="243">
        <f t="shared" ref="E41:N41" si="6">SUM(E30,E39)</f>
        <v>29803449.630146042</v>
      </c>
      <c r="F41" s="243">
        <f t="shared" si="6"/>
        <v>13555324.410284039</v>
      </c>
      <c r="G41" s="243">
        <f t="shared" si="6"/>
        <v>3979664.4875766765</v>
      </c>
      <c r="H41" s="243">
        <f t="shared" si="6"/>
        <v>5248123.7151546106</v>
      </c>
      <c r="I41" s="243">
        <f t="shared" si="6"/>
        <v>2706090.9982526111</v>
      </c>
      <c r="J41" s="243">
        <f t="shared" si="6"/>
        <v>1015976.4420873728</v>
      </c>
      <c r="K41" s="243">
        <f t="shared" si="6"/>
        <v>1261090.3636387466</v>
      </c>
      <c r="L41" s="243">
        <f t="shared" si="6"/>
        <v>124902.10853651892</v>
      </c>
      <c r="M41" s="243">
        <f t="shared" si="6"/>
        <v>15007.791912057608</v>
      </c>
      <c r="N41" s="244">
        <f t="shared" si="6"/>
        <v>1897269.3127034139</v>
      </c>
      <c r="O41" s="121"/>
      <c r="P41" s="121">
        <f>SUM(F41:O41)</f>
        <v>29803449.630146042</v>
      </c>
      <c r="Q41" s="121">
        <f>E41-P41</f>
        <v>0</v>
      </c>
    </row>
    <row r="42" spans="1:17" x14ac:dyDescent="0.3">
      <c r="A42" s="157"/>
      <c r="B42" s="35"/>
      <c r="C42" s="35"/>
      <c r="D42" s="35"/>
      <c r="E42" s="243"/>
      <c r="F42" s="243"/>
      <c r="G42" s="243"/>
      <c r="H42" s="243"/>
      <c r="I42" s="243"/>
      <c r="J42" s="243"/>
      <c r="K42" s="243"/>
      <c r="L42" s="243"/>
      <c r="M42" s="243"/>
      <c r="N42" s="244"/>
      <c r="O42" s="121"/>
      <c r="P42" s="121"/>
      <c r="Q42" s="121"/>
    </row>
    <row r="43" spans="1:17" x14ac:dyDescent="0.3">
      <c r="A43" s="157" t="s">
        <v>907</v>
      </c>
      <c r="B43" s="35"/>
      <c r="C43" s="35"/>
      <c r="D43" s="35"/>
      <c r="E43" s="243"/>
      <c r="F43" s="243"/>
      <c r="G43" s="243"/>
      <c r="H43" s="243"/>
      <c r="I43" s="243"/>
      <c r="J43" s="243"/>
      <c r="K43" s="243"/>
      <c r="L43" s="243"/>
      <c r="M43" s="243"/>
      <c r="N43" s="244"/>
      <c r="O43" s="121"/>
      <c r="P43" s="121"/>
      <c r="Q43" s="121"/>
    </row>
    <row r="44" spans="1:17" x14ac:dyDescent="0.3">
      <c r="A44" s="157"/>
      <c r="B44" s="35" t="s">
        <v>907</v>
      </c>
      <c r="C44" s="35"/>
      <c r="D44" s="35"/>
      <c r="E44" s="243">
        <f>'9b. Summary Schedules-sf'!Y194</f>
        <v>21971935.634423517</v>
      </c>
      <c r="F44" s="243">
        <f>$E44*'11a. AF by class'!F40/'11a. AF by class'!$E40</f>
        <v>11672719.367301514</v>
      </c>
      <c r="G44" s="243">
        <f>$E44*'11a. AF by class'!G40/'11a. AF by class'!$E40</f>
        <v>2829318.4555361159</v>
      </c>
      <c r="H44" s="243">
        <f>$E44*'11a. AF by class'!H40/'11a. AF by class'!$E40</f>
        <v>6143227.6003173683</v>
      </c>
      <c r="I44" s="243">
        <f>$E44*'11a. AF by class'!I40/'11a. AF by class'!$E40</f>
        <v>962376.78734295361</v>
      </c>
      <c r="J44" s="243">
        <f>$E44*'11a. AF by class'!J40/'11a. AF by class'!$E40</f>
        <v>85545.916374131339</v>
      </c>
      <c r="K44" s="243">
        <f>$E44*'11a. AF by class'!K40/'11a. AF by class'!$E40</f>
        <v>213721.21430548886</v>
      </c>
      <c r="L44" s="243">
        <f>$E44*'11a. AF by class'!L40/'11a. AF by class'!$E40</f>
        <v>25911.54695914323</v>
      </c>
      <c r="M44" s="243">
        <f>$E44*'11a. AF by class'!M40/'11a. AF by class'!$E40</f>
        <v>39114.746286798036</v>
      </c>
      <c r="N44" s="244">
        <f>$E44*'11a. AF by class'!N40/'11a. AF by class'!$E40</f>
        <v>0</v>
      </c>
      <c r="O44" s="121"/>
      <c r="P44" s="121">
        <f>SUM(F44:O44)</f>
        <v>21971935.634423517</v>
      </c>
      <c r="Q44" s="121">
        <f>E44-P44</f>
        <v>0</v>
      </c>
    </row>
    <row r="45" spans="1:17" x14ac:dyDescent="0.3">
      <c r="A45" s="157"/>
      <c r="B45" s="35" t="s">
        <v>996</v>
      </c>
      <c r="C45" s="35"/>
      <c r="D45" s="35"/>
      <c r="E45" s="580">
        <f>'9b. Summary Schedules-sf'!Z194</f>
        <v>1786078.6456631403</v>
      </c>
      <c r="F45" s="580">
        <f>$E45*'11a. AF by class'!F41/'11a. AF by class'!$E41</f>
        <v>1152104.4325778766</v>
      </c>
      <c r="G45" s="580">
        <f>$E45*'11a. AF by class'!G41/'11a. AF by class'!$E41</f>
        <v>283340.47545954154</v>
      </c>
      <c r="H45" s="580">
        <f>$E45*'11a. AF by class'!H41/'11a. AF by class'!$E41</f>
        <v>301960.08453758952</v>
      </c>
      <c r="I45" s="580">
        <f>$E45*'11a. AF by class'!I41/'11a. AF by class'!$E41</f>
        <v>41088.076742575475</v>
      </c>
      <c r="J45" s="580">
        <f>$E45*'11a. AF by class'!J41/'11a. AF by class'!$E41</f>
        <v>3627.1965736457014</v>
      </c>
      <c r="K45" s="580">
        <f>$E45*'11a. AF by class'!K41/'11a. AF by class'!$E41</f>
        <v>785.8925909565686</v>
      </c>
      <c r="L45" s="580">
        <f>$E45*'11a. AF by class'!L41/'11a. AF by class'!$E41</f>
        <v>70.528822265333076</v>
      </c>
      <c r="M45" s="580">
        <f>$E45*'11a. AF by class'!M41/'11a. AF by class'!$E41</f>
        <v>3101.9583586897279</v>
      </c>
      <c r="N45" s="600">
        <f>$E45*'11a. AF by class'!N41/'11a. AF by class'!$E41</f>
        <v>0</v>
      </c>
      <c r="O45" s="121"/>
      <c r="P45" s="121">
        <f>SUM(F45:O45)</f>
        <v>1786078.6456631403</v>
      </c>
      <c r="Q45" s="121">
        <f>E45-P45</f>
        <v>0</v>
      </c>
    </row>
    <row r="46" spans="1:17" x14ac:dyDescent="0.3">
      <c r="A46" s="157"/>
      <c r="B46" s="35" t="s">
        <v>997</v>
      </c>
      <c r="C46" s="35"/>
      <c r="D46" s="35"/>
      <c r="E46" s="243">
        <f>E44+E45</f>
        <v>23758014.280086659</v>
      </c>
      <c r="F46" s="243">
        <f t="shared" ref="F46:N46" si="7">SUM(F44:F45)</f>
        <v>12824823.799879391</v>
      </c>
      <c r="G46" s="243">
        <f t="shared" si="7"/>
        <v>3112658.9309956576</v>
      </c>
      <c r="H46" s="243">
        <f t="shared" si="7"/>
        <v>6445187.6848549582</v>
      </c>
      <c r="I46" s="243">
        <f t="shared" si="7"/>
        <v>1003464.8640855291</v>
      </c>
      <c r="J46" s="243">
        <f t="shared" si="7"/>
        <v>89173.112947777045</v>
      </c>
      <c r="K46" s="243">
        <f t="shared" si="7"/>
        <v>214507.10689644542</v>
      </c>
      <c r="L46" s="243">
        <f t="shared" si="7"/>
        <v>25982.075781408563</v>
      </c>
      <c r="M46" s="243">
        <f t="shared" si="7"/>
        <v>42216.704645487764</v>
      </c>
      <c r="N46" s="244">
        <f t="shared" si="7"/>
        <v>0</v>
      </c>
      <c r="O46" s="121"/>
      <c r="P46" s="121">
        <f>SUM(F46:O46)</f>
        <v>23758014.280086655</v>
      </c>
      <c r="Q46" s="121">
        <f>E46-P46</f>
        <v>0</v>
      </c>
    </row>
    <row r="47" spans="1:17" x14ac:dyDescent="0.3">
      <c r="A47" s="157"/>
      <c r="B47" s="35"/>
      <c r="C47" s="35"/>
      <c r="D47" s="35"/>
      <c r="E47" s="243"/>
      <c r="F47" s="243"/>
      <c r="G47" s="243"/>
      <c r="H47" s="243"/>
      <c r="I47" s="243"/>
      <c r="J47" s="243"/>
      <c r="K47" s="243"/>
      <c r="L47" s="243"/>
      <c r="M47" s="243"/>
      <c r="N47" s="244"/>
      <c r="O47" s="121"/>
      <c r="P47" s="121"/>
      <c r="Q47" s="121"/>
    </row>
    <row r="48" spans="1:17" x14ac:dyDescent="0.3">
      <c r="A48" s="157" t="s">
        <v>84</v>
      </c>
      <c r="B48" s="35"/>
      <c r="C48" s="35"/>
      <c r="D48" s="35"/>
      <c r="E48" s="243">
        <f>'9b. Summary Schedules-sf'!AA194</f>
        <v>-2504289.9638252901</v>
      </c>
      <c r="F48" s="243">
        <f>$E48*'11a. AF by class'!F44/'11a. AF by class'!$E44</f>
        <v>-1502570.0098681026</v>
      </c>
      <c r="G48" s="243">
        <f>$E48*'11a. AF by class'!G44/'11a. AF by class'!$E44</f>
        <v>-369531.51899144211</v>
      </c>
      <c r="H48" s="243">
        <f>$E48*'11a. AF by class'!H44/'11a. AF by class'!$E44</f>
        <v>-590722.70842871256</v>
      </c>
      <c r="I48" s="243">
        <f>$E48*'11a. AF by class'!I44/'11a. AF by class'!$E44</f>
        <v>-26793.452976486064</v>
      </c>
      <c r="J48" s="243">
        <f>$E48*'11a. AF by class'!J44/'11a. AF by class'!$E44</f>
        <v>-2365.2876585421732</v>
      </c>
      <c r="K48" s="243">
        <f>$E48*'11a. AF by class'!K44/'11a. AF by class'!$E44</f>
        <v>-512.47899268413755</v>
      </c>
      <c r="L48" s="243">
        <f>$E48*'11a. AF by class'!L44/'11a. AF by class'!$E44</f>
        <v>-91.983408943306728</v>
      </c>
      <c r="M48" s="243">
        <f>$E48*'11a. AF by class'!M44/'11a. AF by class'!$E44</f>
        <v>-4045.561730196549</v>
      </c>
      <c r="N48" s="244">
        <f>$E48*'11a. AF by class'!N44/'11a. AF by class'!$E44</f>
        <v>-7656.9617701806901</v>
      </c>
      <c r="O48" s="121"/>
      <c r="P48" s="121">
        <f>SUM(F48:O48)</f>
        <v>-2504289.9638252906</v>
      </c>
      <c r="Q48" s="121">
        <f>E48-P48</f>
        <v>0</v>
      </c>
    </row>
    <row r="49" spans="1:17" x14ac:dyDescent="0.3">
      <c r="A49" s="157"/>
      <c r="B49" s="35"/>
      <c r="C49" s="35"/>
      <c r="D49" s="35"/>
      <c r="E49" s="243"/>
      <c r="F49" s="243"/>
      <c r="G49" s="243"/>
      <c r="H49" s="243"/>
      <c r="I49" s="243"/>
      <c r="J49" s="243"/>
      <c r="K49" s="243"/>
      <c r="L49" s="243"/>
      <c r="M49" s="243"/>
      <c r="N49" s="244"/>
      <c r="O49" s="121"/>
      <c r="P49" s="121"/>
      <c r="Q49" s="121"/>
    </row>
    <row r="50" spans="1:17" x14ac:dyDescent="0.3">
      <c r="A50" s="157" t="s">
        <v>82</v>
      </c>
      <c r="B50" s="35"/>
      <c r="C50" s="35"/>
      <c r="D50" s="35"/>
      <c r="E50" s="243"/>
      <c r="F50" s="243"/>
      <c r="G50" s="243"/>
      <c r="H50" s="243"/>
      <c r="I50" s="243"/>
      <c r="J50" s="243"/>
      <c r="K50" s="243"/>
      <c r="L50" s="243"/>
      <c r="M50" s="243"/>
      <c r="N50" s="244"/>
      <c r="O50" s="121"/>
      <c r="P50" s="121"/>
      <c r="Q50" s="121"/>
    </row>
    <row r="51" spans="1:17" x14ac:dyDescent="0.3">
      <c r="A51" s="157"/>
      <c r="B51" s="35" t="s">
        <v>81</v>
      </c>
      <c r="C51" s="35"/>
      <c r="D51" s="35"/>
      <c r="E51" s="243">
        <f>'9b. Summary Schedules-sf'!AC194</f>
        <v>5018861.9211577978</v>
      </c>
      <c r="F51" s="243">
        <f>$E51*'11a. AF by class'!F47/'11a. AF by class'!$E47</f>
        <v>3612757.6019642456</v>
      </c>
      <c r="G51" s="243">
        <f>$E51*'11a. AF by class'!G47/'11a. AF by class'!$E47</f>
        <v>888496.24019776483</v>
      </c>
      <c r="H51" s="243">
        <f>$E51*'11a. AF by class'!H47/'11a. AF by class'!$E47</f>
        <v>473441.71242445189</v>
      </c>
      <c r="I51" s="243">
        <f>$E51*'11a. AF by class'!I47/'11a. AF by class'!$E47</f>
        <v>12884.358171393111</v>
      </c>
      <c r="J51" s="243">
        <f>$E51*'11a. AF by class'!J47/'11a. AF by class'!$E47</f>
        <v>1137.4126880092006</v>
      </c>
      <c r="K51" s="243">
        <f>$E51*'11a. AF by class'!K47/'11a. AF by class'!$E47</f>
        <v>246.4394157353268</v>
      </c>
      <c r="L51" s="243">
        <f>$E51*'11a. AF by class'!L47/'11a. AF by class'!$E47</f>
        <v>44.232715644802241</v>
      </c>
      <c r="M51" s="243">
        <f>$E51*'11a. AF by class'!M47/'11a. AF by class'!$E47</f>
        <v>11443.635433248124</v>
      </c>
      <c r="N51" s="244">
        <f>$E51*'11a. AF by class'!N47/'11a. AF by class'!$E47</f>
        <v>18410.288147304476</v>
      </c>
      <c r="O51" s="121"/>
      <c r="P51" s="121">
        <f>SUM(F51:O51)</f>
        <v>5018861.9211577969</v>
      </c>
      <c r="Q51" s="121">
        <f>E51-P51</f>
        <v>0</v>
      </c>
    </row>
    <row r="52" spans="1:17" x14ac:dyDescent="0.3">
      <c r="A52" s="157"/>
      <c r="B52" s="35" t="s">
        <v>1007</v>
      </c>
      <c r="C52" s="35"/>
      <c r="D52" s="35"/>
      <c r="E52" s="243">
        <f>'9b. Summary Schedules-sf'!AD194</f>
        <v>487700.05120909115</v>
      </c>
      <c r="F52" s="243">
        <f>$E52*'11a. AF by class'!F48/'11a. AF by class'!$E48</f>
        <v>169292.92984690331</v>
      </c>
      <c r="G52" s="243">
        <f>$E52*'11a. AF by class'!G48/'11a. AF by class'!$E48</f>
        <v>45428.031588469414</v>
      </c>
      <c r="H52" s="243">
        <f>$E52*'11a. AF by class'!H48/'11a. AF by class'!$E48</f>
        <v>110417.39946939955</v>
      </c>
      <c r="I52" s="243">
        <f>$E52*'11a. AF by class'!I48/'11a. AF by class'!$E48</f>
        <v>71650.243446141088</v>
      </c>
      <c r="J52" s="243">
        <f>$E52*'11a. AF by class'!J48/'11a. AF by class'!$E48</f>
        <v>34561.240601034115</v>
      </c>
      <c r="K52" s="243">
        <f>$E52*'11a. AF by class'!K48/'11a. AF by class'!$E48</f>
        <v>54212.229419724259</v>
      </c>
      <c r="L52" s="243">
        <f>$E52*'11a. AF by class'!L48/'11a. AF by class'!$E48</f>
        <v>0</v>
      </c>
      <c r="M52" s="243">
        <f>$E52*'11a. AF by class'!M48/'11a. AF by class'!$E48</f>
        <v>97.389437170848595</v>
      </c>
      <c r="N52" s="244">
        <f>$E52*'11a. AF by class'!N48/'11a. AF by class'!$E48</f>
        <v>2040.5874002485518</v>
      </c>
      <c r="O52" s="121"/>
      <c r="P52" s="121">
        <f>SUM(F52:O52)</f>
        <v>487700.05120909115</v>
      </c>
      <c r="Q52" s="121">
        <f>E52-P52</f>
        <v>0</v>
      </c>
    </row>
    <row r="53" spans="1:17" x14ac:dyDescent="0.3">
      <c r="A53" s="157"/>
      <c r="B53" s="35" t="s">
        <v>1008</v>
      </c>
      <c r="C53" s="35"/>
      <c r="D53" s="35"/>
      <c r="E53" s="580">
        <f>'9b. Summary Schedules-sf'!AE194</f>
        <v>0</v>
      </c>
      <c r="F53" s="580">
        <f>$E53*'11a. AF by class'!F49/'11a. AF by class'!$E49</f>
        <v>0</v>
      </c>
      <c r="G53" s="580">
        <f>$E53*'11a. AF by class'!G49/'11a. AF by class'!$E49</f>
        <v>0</v>
      </c>
      <c r="H53" s="580">
        <f>$E53*'11a. AF by class'!H49/'11a. AF by class'!$E49</f>
        <v>0</v>
      </c>
      <c r="I53" s="580">
        <f>$E53*'11a. AF by class'!I49/'11a. AF by class'!$E49</f>
        <v>0</v>
      </c>
      <c r="J53" s="580">
        <f>$E53*'11a. AF by class'!J49/'11a. AF by class'!$E49</f>
        <v>0</v>
      </c>
      <c r="K53" s="580">
        <f>$E53*'11a. AF by class'!K49/'11a. AF by class'!$E49</f>
        <v>0</v>
      </c>
      <c r="L53" s="580">
        <f>$E53*'11a. AF by class'!L49/'11a. AF by class'!$E49</f>
        <v>0</v>
      </c>
      <c r="M53" s="580">
        <f>$E53*'11a. AF by class'!M49/'11a. AF by class'!$E49</f>
        <v>0</v>
      </c>
      <c r="N53" s="600">
        <f>$E53*'11a. AF by class'!N49/'11a. AF by class'!$E49</f>
        <v>0</v>
      </c>
      <c r="O53" s="121"/>
      <c r="P53" s="121">
        <f>SUM(F53:O53)</f>
        <v>0</v>
      </c>
      <c r="Q53" s="121">
        <f>E53-P53</f>
        <v>0</v>
      </c>
    </row>
    <row r="54" spans="1:17" x14ac:dyDescent="0.3">
      <c r="A54" s="157"/>
      <c r="B54" s="35" t="s">
        <v>83</v>
      </c>
      <c r="C54" s="35"/>
      <c r="D54" s="35"/>
      <c r="E54" s="243">
        <f t="shared" ref="E54:N54" si="8">SUM(E51:E53)</f>
        <v>5506561.972366889</v>
      </c>
      <c r="F54" s="243">
        <f t="shared" si="8"/>
        <v>3782050.5318111489</v>
      </c>
      <c r="G54" s="243">
        <f t="shared" si="8"/>
        <v>933924.27178623423</v>
      </c>
      <c r="H54" s="243">
        <f t="shared" si="8"/>
        <v>583859.11189385143</v>
      </c>
      <c r="I54" s="243">
        <f t="shared" si="8"/>
        <v>84534.601617534194</v>
      </c>
      <c r="J54" s="243">
        <f t="shared" si="8"/>
        <v>35698.653289043315</v>
      </c>
      <c r="K54" s="243">
        <f t="shared" si="8"/>
        <v>54458.668835459583</v>
      </c>
      <c r="L54" s="243">
        <f t="shared" si="8"/>
        <v>44.232715644802241</v>
      </c>
      <c r="M54" s="243">
        <f t="shared" si="8"/>
        <v>11541.024870418973</v>
      </c>
      <c r="N54" s="244">
        <f t="shared" si="8"/>
        <v>20450.875547553027</v>
      </c>
      <c r="O54" s="121"/>
      <c r="P54" s="121">
        <f>SUM(F54:O54)</f>
        <v>5506561.972366889</v>
      </c>
      <c r="Q54" s="121">
        <f>E54-P54</f>
        <v>0</v>
      </c>
    </row>
    <row r="55" spans="1:17" x14ac:dyDescent="0.3">
      <c r="A55" s="157"/>
      <c r="B55" s="35"/>
      <c r="C55" s="35"/>
      <c r="D55" s="35"/>
      <c r="E55" s="243"/>
      <c r="F55" s="243"/>
      <c r="G55" s="243"/>
      <c r="H55" s="243"/>
      <c r="I55" s="243"/>
      <c r="J55" s="243"/>
      <c r="K55" s="243"/>
      <c r="L55" s="243"/>
      <c r="M55" s="243"/>
      <c r="N55" s="244"/>
      <c r="O55" s="121"/>
      <c r="P55" s="121"/>
      <c r="Q55" s="121"/>
    </row>
    <row r="56" spans="1:17" x14ac:dyDescent="0.3">
      <c r="A56" s="157" t="s">
        <v>912</v>
      </c>
      <c r="B56" s="35"/>
      <c r="C56" s="35"/>
      <c r="D56" s="53"/>
      <c r="E56" s="243"/>
      <c r="F56" s="243"/>
      <c r="G56" s="243"/>
      <c r="H56" s="243"/>
      <c r="I56" s="243"/>
      <c r="J56" s="243"/>
      <c r="K56" s="243"/>
      <c r="L56" s="243"/>
      <c r="M56" s="243"/>
      <c r="N56" s="244"/>
      <c r="O56" s="121"/>
      <c r="P56" s="121"/>
      <c r="Q56" s="121"/>
    </row>
    <row r="57" spans="1:17" x14ac:dyDescent="0.3">
      <c r="A57" s="157"/>
      <c r="B57" s="35" t="s">
        <v>1006</v>
      </c>
      <c r="C57" s="35"/>
      <c r="D57" s="53"/>
      <c r="E57" s="580">
        <f>'9b. Summary Schedules-sf'!AG194</f>
        <v>2061214.2903129475</v>
      </c>
      <c r="F57" s="580">
        <f>$E57*'11a. AF by class'!F53/'11a. AF by class'!$E53</f>
        <v>715499.22003141197</v>
      </c>
      <c r="G57" s="580">
        <f>$E57*'11a. AF by class'!G53/'11a. AF by class'!$E53</f>
        <v>191996.9203587315</v>
      </c>
      <c r="H57" s="580">
        <f>$E57*'11a. AF by class'!H53/'11a. AF by class'!$E53</f>
        <v>466667.82404733344</v>
      </c>
      <c r="I57" s="580">
        <f>$E57*'11a. AF by class'!I53/'11a. AF by class'!$E53</f>
        <v>302822.41170458711</v>
      </c>
      <c r="J57" s="580">
        <f>$E57*'11a. AF by class'!J53/'11a. AF by class'!$E53</f>
        <v>146069.54180378732</v>
      </c>
      <c r="K57" s="580">
        <f>$E57*'11a. AF by class'!K53/'11a. AF by class'!$E53</f>
        <v>229122.43234879657</v>
      </c>
      <c r="L57" s="580">
        <f>$E57*'11a. AF by class'!L53/'11a. AF by class'!$E53</f>
        <v>0</v>
      </c>
      <c r="M57" s="580">
        <f>$E57*'11a. AF by class'!M53/'11a. AF by class'!$E53</f>
        <v>411.60647640782145</v>
      </c>
      <c r="N57" s="600">
        <f>$E57*'11a. AF by class'!N53/'11a. AF by class'!$E53</f>
        <v>8624.333541891694</v>
      </c>
      <c r="O57" s="121"/>
      <c r="P57" s="121">
        <f>SUM(F57:O57)</f>
        <v>2061214.2903129472</v>
      </c>
      <c r="Q57" s="121">
        <f>E57-P57</f>
        <v>0</v>
      </c>
    </row>
    <row r="58" spans="1:17" x14ac:dyDescent="0.3">
      <c r="A58" s="157"/>
      <c r="B58" s="35" t="s">
        <v>1014</v>
      </c>
      <c r="C58" s="35"/>
      <c r="D58" s="53"/>
      <c r="E58" s="243">
        <f t="shared" ref="E58:N58" si="9">SUM(E57:E57)</f>
        <v>2061214.2903129475</v>
      </c>
      <c r="F58" s="243">
        <f t="shared" si="9"/>
        <v>715499.22003141197</v>
      </c>
      <c r="G58" s="243">
        <f t="shared" si="9"/>
        <v>191996.9203587315</v>
      </c>
      <c r="H58" s="243">
        <f t="shared" si="9"/>
        <v>466667.82404733344</v>
      </c>
      <c r="I58" s="243">
        <f t="shared" si="9"/>
        <v>302822.41170458711</v>
      </c>
      <c r="J58" s="243">
        <f t="shared" si="9"/>
        <v>146069.54180378732</v>
      </c>
      <c r="K58" s="243">
        <f t="shared" si="9"/>
        <v>229122.43234879657</v>
      </c>
      <c r="L58" s="243">
        <f t="shared" si="9"/>
        <v>0</v>
      </c>
      <c r="M58" s="243">
        <f t="shared" si="9"/>
        <v>411.60647640782145</v>
      </c>
      <c r="N58" s="244">
        <f t="shared" si="9"/>
        <v>8624.333541891694</v>
      </c>
      <c r="O58" s="121"/>
      <c r="P58" s="121">
        <f>SUM(F58:O58)</f>
        <v>2061214.2903129472</v>
      </c>
      <c r="Q58" s="121">
        <f>E58-P58</f>
        <v>0</v>
      </c>
    </row>
    <row r="59" spans="1:17" x14ac:dyDescent="0.3">
      <c r="A59" s="157"/>
      <c r="B59" s="35"/>
      <c r="C59" s="35"/>
      <c r="D59" s="35"/>
      <c r="E59" s="243"/>
      <c r="F59" s="243"/>
      <c r="G59" s="243"/>
      <c r="H59" s="243"/>
      <c r="I59" s="243"/>
      <c r="J59" s="243"/>
      <c r="K59" s="243"/>
      <c r="L59" s="243"/>
      <c r="M59" s="243"/>
      <c r="N59" s="244"/>
      <c r="O59" s="121"/>
      <c r="P59" s="121"/>
      <c r="Q59" s="121"/>
    </row>
    <row r="60" spans="1:17" x14ac:dyDescent="0.3">
      <c r="A60" s="157" t="s">
        <v>913</v>
      </c>
      <c r="B60" s="35"/>
      <c r="C60" s="35"/>
      <c r="D60" s="35"/>
      <c r="E60" s="243">
        <f>'9b. Summary Schedules-sf'!AH194</f>
        <v>-1376319.7059726343</v>
      </c>
      <c r="F60" s="243">
        <f>$E60*'11a. AF by class'!F56/'11a. AF by class'!$E56</f>
        <v>-547396.74015795207</v>
      </c>
      <c r="G60" s="243">
        <f>$E60*'11a. AF by class'!G56/'11a. AF by class'!$E56</f>
        <v>-140326.01232306263</v>
      </c>
      <c r="H60" s="243">
        <f>$E60*'11a. AF by class'!H56/'11a. AF by class'!$E56</f>
        <v>-322702.80638612359</v>
      </c>
      <c r="I60" s="243">
        <f>$E60*'11a. AF by class'!I56/'11a. AF by class'!$E56</f>
        <v>-181485.80692157932</v>
      </c>
      <c r="J60" s="243">
        <f>$E60*'11a. AF by class'!J56/'11a. AF by class'!$E56</f>
        <v>-78718.311497611678</v>
      </c>
      <c r="K60" s="243">
        <f>$E60*'11a. AF by class'!K56/'11a. AF by class'!$E56</f>
        <v>-105687.46169246481</v>
      </c>
      <c r="L60" s="243">
        <f>$E60*'11a. AF by class'!L56/'11a. AF by class'!$E56</f>
        <v>0</v>
      </c>
      <c r="M60" s="243">
        <f>$E60*'11a. AF by class'!M56/'11a. AF by class'!$E56</f>
        <v>0</v>
      </c>
      <c r="N60" s="244">
        <f>$E60*'11a. AF by class'!N56/'11a. AF by class'!$E56</f>
        <v>-2.5669938400230401</v>
      </c>
      <c r="O60" s="121"/>
      <c r="P60" s="121">
        <f>SUM(F60:O60)</f>
        <v>-1376319.7059726343</v>
      </c>
      <c r="Q60" s="121">
        <f>E60-P60</f>
        <v>0</v>
      </c>
    </row>
    <row r="61" spans="1:17" x14ac:dyDescent="0.3">
      <c r="A61" s="157"/>
      <c r="B61" s="35"/>
      <c r="C61" s="35"/>
      <c r="D61" s="35"/>
      <c r="E61" s="243"/>
      <c r="F61" s="243"/>
      <c r="G61" s="243"/>
      <c r="H61" s="243"/>
      <c r="I61" s="243"/>
      <c r="J61" s="243"/>
      <c r="K61" s="243"/>
      <c r="L61" s="243"/>
      <c r="M61" s="243"/>
      <c r="N61" s="244"/>
      <c r="O61" s="121"/>
      <c r="P61" s="121"/>
      <c r="Q61" s="121"/>
    </row>
    <row r="62" spans="1:17" x14ac:dyDescent="0.3">
      <c r="A62" s="157" t="s">
        <v>40</v>
      </c>
      <c r="B62" s="35"/>
      <c r="C62" s="35"/>
      <c r="D62" s="35"/>
      <c r="E62" s="243">
        <f>SUM(E18,E20,E22,E41,E46,E48,E54,E58,E60)</f>
        <v>133009713.94724047</v>
      </c>
      <c r="F62" s="243">
        <f t="shared" ref="F62:N62" si="10">SUM(F18,F20,F22,F41,F46,F48,F54,F58,F60)</f>
        <v>58946723.528614812</v>
      </c>
      <c r="G62" s="243">
        <f t="shared" si="10"/>
        <v>16631996.818048963</v>
      </c>
      <c r="H62" s="243">
        <f t="shared" si="10"/>
        <v>27677033.869478978</v>
      </c>
      <c r="I62" s="243">
        <f t="shared" si="10"/>
        <v>13195442.099120852</v>
      </c>
      <c r="J62" s="243">
        <f t="shared" si="10"/>
        <v>5123668.9240086013</v>
      </c>
      <c r="K62" s="243">
        <f t="shared" si="10"/>
        <v>7461565.2212426839</v>
      </c>
      <c r="L62" s="243">
        <f t="shared" si="10"/>
        <v>1657045.8333995214</v>
      </c>
      <c r="M62" s="243">
        <f t="shared" si="10"/>
        <v>73290.303263435693</v>
      </c>
      <c r="N62" s="244">
        <f t="shared" si="10"/>
        <v>2242947.3500626115</v>
      </c>
      <c r="O62" s="121"/>
      <c r="P62" s="121">
        <f>SUM(F62:O62)</f>
        <v>133009713.94724046</v>
      </c>
      <c r="Q62" s="121">
        <f>E62-P62</f>
        <v>0</v>
      </c>
    </row>
    <row r="63" spans="1:17" ht="13.5" thickBot="1" x14ac:dyDescent="0.35">
      <c r="A63" s="33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161"/>
    </row>
  </sheetData>
  <customSheetViews>
    <customSheetView guid="{121E4431-22F3-11D5-8242-00600818425F}" scale="75" showRuler="0">
      <pane xSplit="2" ySplit="7" topLeftCell="C56" activePane="bottomRight" state="frozen"/>
      <selection pane="bottomRight" activeCell="A64" sqref="A64"/>
      <pageMargins left="0" right="0" top="0.5" bottom="0.4" header="0.2" footer="0.2"/>
      <printOptions horizontalCentered="1" gridLines="1"/>
      <pageSetup scale="65" orientation="landscape" horizontalDpi="300" verticalDpi="300" r:id="rId1"/>
      <headerFooter alignWithMargins="0">
        <oddFooter>&amp;L&amp;8&amp;F &amp;C&amp;8&amp;A
page &amp;P&amp;R&amp;8&amp;D
&amp;T</oddFooter>
      </headerFooter>
    </customSheetView>
    <customSheetView guid="{26EFD302-2526-11D5-9AB1-0060975861A8}" scale="75" showPageBreaks="1" printArea="1" showRuler="0">
      <pane xSplit="2" ySplit="7" topLeftCell="C56" activePane="bottomRight" state="frozen"/>
      <selection pane="bottomRight" activeCell="A64" sqref="A64"/>
      <pageMargins left="0" right="0" top="0.5" bottom="0.4" header="0.2" footer="0.2"/>
      <printOptions horizontalCentered="1" gridLines="1"/>
      <pageSetup scale="65" orientation="landscape" horizontalDpi="300" verticalDpi="300" r:id="rId2"/>
      <headerFooter alignWithMargins="0">
        <oddFooter>&amp;L&amp;8&amp;F &amp;C&amp;8&amp;A
page &amp;P&amp;R&amp;8&amp;D
&amp;T</oddFooter>
      </headerFooter>
    </customSheetView>
    <customSheetView guid="{44D25261-300E-11D5-83AB-006008184210}" scale="75" showPageBreaks="1" printArea="1" showRuler="0">
      <pane xSplit="2" ySplit="7" topLeftCell="C56" activePane="bottomRight" state="frozen"/>
      <selection pane="bottomRight" activeCell="A64" sqref="A64"/>
      <pageMargins left="0" right="0" top="0.5" bottom="0.4" header="0.2" footer="0.2"/>
      <printOptions horizontalCentered="1" gridLines="1"/>
      <pageSetup scale="65" orientation="landscape" horizontalDpi="300" verticalDpi="300" r:id="rId3"/>
      <headerFooter alignWithMargins="0">
        <oddFooter>&amp;L&amp;8&amp;F 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65" orientation="landscape" horizontalDpi="300" verticalDpi="300" r:id="rId4"/>
  <headerFooter alignWithMargins="0">
    <oddFooter>&amp;L&amp;8&amp;F &amp;C&amp;8&amp;A
page &amp;P&amp;R&amp;8&amp;D
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81"/>
  <sheetViews>
    <sheetView zoomScale="75" zoomScaleNormal="75" workbookViewId="0">
      <pane xSplit="2" ySplit="7" topLeftCell="C8" activePane="bottomRight" state="frozen"/>
      <selection activeCell="C9" sqref="C9"/>
      <selection pane="topRight" activeCell="C9" sqref="C9"/>
      <selection pane="bottomLeft" activeCell="C9" sqref="C9"/>
      <selection pane="bottomRight" activeCell="C8" sqref="C8"/>
    </sheetView>
  </sheetViews>
  <sheetFormatPr defaultColWidth="9.1796875" defaultRowHeight="13" x14ac:dyDescent="0.3"/>
  <cols>
    <col min="1" max="1" width="4.54296875" style="32" customWidth="1"/>
    <col min="2" max="2" width="32.1796875" style="32" customWidth="1"/>
    <col min="3" max="3" width="12.81640625" style="32" customWidth="1"/>
    <col min="4" max="4" width="11.453125" style="32" customWidth="1"/>
    <col min="5" max="8" width="15" style="32" customWidth="1"/>
    <col min="9" max="16" width="12.54296875" style="32" customWidth="1"/>
    <col min="17" max="17" width="12.453125" style="32" customWidth="1"/>
    <col min="18" max="18" width="13.81640625" style="32" customWidth="1"/>
    <col min="19" max="20" width="9.1796875" style="32"/>
    <col min="21" max="21" width="11.453125" style="32" bestFit="1" customWidth="1"/>
    <col min="22" max="22" width="8.54296875" style="32" bestFit="1" customWidth="1"/>
    <col min="23" max="16384" width="9.1796875" style="32"/>
  </cols>
  <sheetData>
    <row r="1" spans="1:54" s="309" customFormat="1" x14ac:dyDescent="0.3">
      <c r="A1" s="301" t="str">
        <f>'1. RB-i'!$A$1</f>
        <v>CPS Energy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1"/>
      <c r="O1" s="308"/>
      <c r="P1" s="308"/>
      <c r="R1" s="15"/>
      <c r="S1" s="15"/>
    </row>
    <row r="2" spans="1:54" s="309" customFormat="1" x14ac:dyDescent="0.3">
      <c r="A2" s="307" t="s">
        <v>1255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12"/>
      <c r="O2" s="167"/>
      <c r="P2" s="167"/>
    </row>
    <row r="3" spans="1:54" s="309" customFormat="1" x14ac:dyDescent="0.3">
      <c r="A3" s="307" t="str">
        <f>'10c. Cash by class'!A3</f>
        <v>Based on FYE 2017 Test Year</v>
      </c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12"/>
      <c r="O3" s="57"/>
      <c r="P3" s="5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  <c r="AP3" s="167"/>
      <c r="AQ3" s="167"/>
      <c r="AR3" s="167"/>
      <c r="AS3" s="167"/>
      <c r="AT3" s="167"/>
      <c r="AU3" s="167"/>
      <c r="AV3" s="167"/>
      <c r="AW3" s="167"/>
      <c r="AX3" s="167"/>
      <c r="AY3" s="167"/>
      <c r="AZ3" s="167"/>
      <c r="BA3" s="167"/>
      <c r="BB3" s="167"/>
    </row>
    <row r="4" spans="1:54" s="5" customFormat="1" x14ac:dyDescent="0.3">
      <c r="A4" s="307"/>
      <c r="B4" s="288"/>
      <c r="C4" s="288"/>
      <c r="D4" s="288"/>
      <c r="E4" s="288"/>
      <c r="F4" s="288"/>
      <c r="G4" s="288"/>
      <c r="H4" s="288"/>
      <c r="I4" s="288"/>
      <c r="J4" s="288"/>
      <c r="K4" s="288"/>
      <c r="L4" s="288"/>
      <c r="M4" s="288"/>
      <c r="N4" s="298"/>
    </row>
    <row r="5" spans="1:54" s="5" customFormat="1" x14ac:dyDescent="0.3">
      <c r="A5" s="304"/>
      <c r="B5" s="196"/>
      <c r="C5" s="196"/>
      <c r="D5" s="196"/>
      <c r="E5" s="196"/>
      <c r="F5" s="196"/>
      <c r="G5" s="196"/>
      <c r="H5" s="199"/>
      <c r="I5" s="199"/>
      <c r="J5" s="199"/>
      <c r="K5" s="196"/>
      <c r="L5" s="196"/>
      <c r="M5" s="196"/>
      <c r="N5" s="305"/>
      <c r="P5" s="5" t="s">
        <v>832</v>
      </c>
    </row>
    <row r="6" spans="1:54" s="5" customFormat="1" x14ac:dyDescent="0.3">
      <c r="A6" s="304"/>
      <c r="B6" s="196"/>
      <c r="C6" s="196" t="s">
        <v>359</v>
      </c>
      <c r="D6" s="196"/>
      <c r="E6" s="196" t="s">
        <v>355</v>
      </c>
      <c r="F6" s="196" t="s">
        <v>961</v>
      </c>
      <c r="G6" s="196" t="s">
        <v>962</v>
      </c>
      <c r="H6" s="196" t="s">
        <v>963</v>
      </c>
      <c r="I6" s="196" t="s">
        <v>964</v>
      </c>
      <c r="J6" s="196" t="s">
        <v>965</v>
      </c>
      <c r="K6" s="196" t="s">
        <v>966</v>
      </c>
      <c r="L6" s="196" t="s">
        <v>967</v>
      </c>
      <c r="M6" s="196" t="s">
        <v>968</v>
      </c>
      <c r="N6" s="305" t="s">
        <v>932</v>
      </c>
      <c r="P6" s="5" t="s">
        <v>833</v>
      </c>
      <c r="Q6" s="5" t="s">
        <v>824</v>
      </c>
    </row>
    <row r="7" spans="1:54" s="5" customFormat="1" ht="13.5" thickBot="1" x14ac:dyDescent="0.35">
      <c r="A7" s="299"/>
      <c r="B7" s="282"/>
      <c r="C7" s="282"/>
      <c r="D7" s="282"/>
      <c r="E7" s="282" t="s">
        <v>816</v>
      </c>
      <c r="F7" s="282" t="s">
        <v>817</v>
      </c>
      <c r="G7" s="282" t="s">
        <v>818</v>
      </c>
      <c r="H7" s="282" t="s">
        <v>819</v>
      </c>
      <c r="I7" s="282" t="s">
        <v>820</v>
      </c>
      <c r="J7" s="282" t="s">
        <v>821</v>
      </c>
      <c r="K7" s="282" t="s">
        <v>822</v>
      </c>
      <c r="L7" s="282" t="s">
        <v>823</v>
      </c>
      <c r="M7" s="282" t="s">
        <v>908</v>
      </c>
      <c r="N7" s="300" t="s">
        <v>914</v>
      </c>
    </row>
    <row r="8" spans="1:54" x14ac:dyDescent="0.3">
      <c r="A8" s="157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158"/>
      <c r="O8" s="35"/>
      <c r="P8" s="35"/>
    </row>
    <row r="9" spans="1:54" x14ac:dyDescent="0.3">
      <c r="A9" s="157" t="s">
        <v>544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158"/>
    </row>
    <row r="10" spans="1:54" x14ac:dyDescent="0.3">
      <c r="A10" s="157"/>
      <c r="B10" s="35" t="s">
        <v>969</v>
      </c>
      <c r="C10" s="35"/>
      <c r="D10" s="35"/>
      <c r="E10" s="243">
        <f>'9b. Summary Schedules-sf'!E174</f>
        <v>0</v>
      </c>
      <c r="F10" s="243">
        <f>$E10*'11a. AF by class'!F10/'11a. AF by class'!$E10</f>
        <v>0</v>
      </c>
      <c r="G10" s="243">
        <f>$E10*'11a. AF by class'!G10/'11a. AF by class'!$E10</f>
        <v>0</v>
      </c>
      <c r="H10" s="243">
        <f>$E10*'11a. AF by class'!H10/'11a. AF by class'!$E10</f>
        <v>0</v>
      </c>
      <c r="I10" s="243">
        <f>$E10*'11a. AF by class'!I10/'11a. AF by class'!$E10</f>
        <v>0</v>
      </c>
      <c r="J10" s="243">
        <f>$E10*'11a. AF by class'!J10/'11a. AF by class'!$E10</f>
        <v>0</v>
      </c>
      <c r="K10" s="243">
        <f>$E10*'11a. AF by class'!K10/'11a. AF by class'!$E10</f>
        <v>0</v>
      </c>
      <c r="L10" s="243">
        <f>$E10*'11a. AF by class'!L10/'11a. AF by class'!$E10</f>
        <v>0</v>
      </c>
      <c r="M10" s="243">
        <f>$E10*'11a. AF by class'!M10/'11a. AF by class'!$E10</f>
        <v>0</v>
      </c>
      <c r="N10" s="244">
        <f>$E10*'11a. AF by class'!N10/'11a. AF by class'!$E10</f>
        <v>0</v>
      </c>
      <c r="P10" s="32">
        <f>SUM(F10:O10)</f>
        <v>0</v>
      </c>
      <c r="Q10" s="32">
        <f>E10-P10</f>
        <v>0</v>
      </c>
    </row>
    <row r="11" spans="1:54" x14ac:dyDescent="0.3">
      <c r="A11" s="157"/>
      <c r="B11" s="35" t="s">
        <v>1140</v>
      </c>
      <c r="C11" s="35"/>
      <c r="D11" s="35"/>
      <c r="E11" s="642"/>
      <c r="F11" s="642"/>
      <c r="G11" s="642"/>
      <c r="H11" s="642"/>
      <c r="I11" s="642"/>
      <c r="J11" s="642"/>
      <c r="K11" s="642"/>
      <c r="L11" s="642"/>
      <c r="M11" s="642"/>
      <c r="N11" s="643"/>
      <c r="O11" s="644"/>
      <c r="P11" s="644"/>
      <c r="Q11" s="644"/>
    </row>
    <row r="12" spans="1:54" x14ac:dyDescent="0.3">
      <c r="A12" s="157"/>
      <c r="B12" s="35" t="s">
        <v>1139</v>
      </c>
      <c r="C12" s="35"/>
      <c r="D12" s="35"/>
      <c r="E12" s="642"/>
      <c r="F12" s="642"/>
      <c r="G12" s="642"/>
      <c r="H12" s="642"/>
      <c r="I12" s="642"/>
      <c r="J12" s="642"/>
      <c r="K12" s="642"/>
      <c r="L12" s="642"/>
      <c r="M12" s="642"/>
      <c r="N12" s="643"/>
      <c r="O12" s="644"/>
      <c r="P12" s="644"/>
      <c r="Q12" s="644"/>
    </row>
    <row r="13" spans="1:54" x14ac:dyDescent="0.3">
      <c r="A13" s="157"/>
      <c r="B13" s="35" t="s">
        <v>947</v>
      </c>
      <c r="C13" s="35"/>
      <c r="D13" s="35"/>
      <c r="E13" s="642"/>
      <c r="F13" s="642"/>
      <c r="G13" s="642"/>
      <c r="H13" s="642"/>
      <c r="I13" s="642"/>
      <c r="J13" s="642"/>
      <c r="K13" s="642"/>
      <c r="L13" s="642"/>
      <c r="M13" s="642"/>
      <c r="N13" s="643"/>
      <c r="O13" s="644"/>
      <c r="P13" s="644"/>
      <c r="Q13" s="644"/>
    </row>
    <row r="14" spans="1:54" x14ac:dyDescent="0.3">
      <c r="A14" s="157"/>
      <c r="B14" s="35"/>
      <c r="C14" s="35"/>
      <c r="D14" s="35"/>
      <c r="E14" s="243"/>
      <c r="F14" s="243"/>
      <c r="G14" s="243"/>
      <c r="H14" s="243"/>
      <c r="I14" s="243"/>
      <c r="J14" s="243"/>
      <c r="K14" s="243"/>
      <c r="L14" s="243"/>
      <c r="M14" s="243"/>
      <c r="N14" s="244"/>
    </row>
    <row r="15" spans="1:54" x14ac:dyDescent="0.3">
      <c r="A15" s="157"/>
      <c r="B15" s="35" t="s">
        <v>970</v>
      </c>
      <c r="C15" s="35"/>
      <c r="D15" s="35"/>
      <c r="E15" s="243">
        <f>'9b. Summary Schedules-sf'!I174</f>
        <v>0</v>
      </c>
      <c r="F15" s="243">
        <f>$E15*'11a. AF by class'!F11/'11a. AF by class'!$E11</f>
        <v>0</v>
      </c>
      <c r="G15" s="243">
        <f>$E15*'11a. AF by class'!G11/'11a. AF by class'!$E11</f>
        <v>0</v>
      </c>
      <c r="H15" s="243">
        <f>$E15*'11a. AF by class'!H11/'11a. AF by class'!$E11</f>
        <v>0</v>
      </c>
      <c r="I15" s="243">
        <f>$E15*'11a. AF by class'!I11/'11a. AF by class'!$E11</f>
        <v>0</v>
      </c>
      <c r="J15" s="243">
        <f>$E15*'11a. AF by class'!J11/'11a. AF by class'!$E11</f>
        <v>0</v>
      </c>
      <c r="K15" s="243">
        <f>$E15*'11a. AF by class'!K11/'11a. AF by class'!$E11</f>
        <v>0</v>
      </c>
      <c r="L15" s="243">
        <f>$E15*'11a. AF by class'!L11/'11a. AF by class'!$E11</f>
        <v>0</v>
      </c>
      <c r="M15" s="243">
        <f>$E15*'11a. AF by class'!M11/'11a. AF by class'!$E11</f>
        <v>0</v>
      </c>
      <c r="N15" s="244">
        <f>$E15*'11a. AF by class'!N11/'11a. AF by class'!$E11</f>
        <v>0</v>
      </c>
      <c r="P15" s="32">
        <f>SUM(F15:O15)</f>
        <v>0</v>
      </c>
      <c r="Q15" s="32">
        <f>E15-P15</f>
        <v>0</v>
      </c>
    </row>
    <row r="16" spans="1:54" x14ac:dyDescent="0.3">
      <c r="A16" s="157"/>
      <c r="B16" s="35" t="s">
        <v>971</v>
      </c>
      <c r="C16" s="35"/>
      <c r="D16" s="35"/>
      <c r="E16" s="35">
        <f>E10+E15</f>
        <v>0</v>
      </c>
      <c r="F16" s="35">
        <f t="shared" ref="F16:P16" si="0">F10+F15</f>
        <v>0</v>
      </c>
      <c r="G16" s="35">
        <f t="shared" si="0"/>
        <v>0</v>
      </c>
      <c r="H16" s="35">
        <f t="shared" si="0"/>
        <v>0</v>
      </c>
      <c r="I16" s="35">
        <f t="shared" si="0"/>
        <v>0</v>
      </c>
      <c r="J16" s="35">
        <f t="shared" si="0"/>
        <v>0</v>
      </c>
      <c r="K16" s="35">
        <f t="shared" si="0"/>
        <v>0</v>
      </c>
      <c r="L16" s="35">
        <f t="shared" si="0"/>
        <v>0</v>
      </c>
      <c r="M16" s="35">
        <f t="shared" si="0"/>
        <v>0</v>
      </c>
      <c r="N16" s="158">
        <f t="shared" si="0"/>
        <v>0</v>
      </c>
      <c r="O16" s="35"/>
      <c r="P16" s="35">
        <f t="shared" si="0"/>
        <v>0</v>
      </c>
      <c r="Q16" s="32">
        <f>E16-P16</f>
        <v>0</v>
      </c>
    </row>
    <row r="17" spans="1:17" x14ac:dyDescent="0.3">
      <c r="A17" s="157"/>
      <c r="B17" s="35" t="s">
        <v>617</v>
      </c>
      <c r="C17" s="35" t="s">
        <v>980</v>
      </c>
      <c r="D17" s="35"/>
      <c r="E17" s="243">
        <f>'9b. Summary Schedules-sf'!J174</f>
        <v>317042422.25951999</v>
      </c>
      <c r="F17" s="243">
        <f>$E17*'11a. AF by class'!F13/'11a. AF by class'!$E13</f>
        <v>107421713.86848</v>
      </c>
      <c r="G17" s="243">
        <f>$E17*'11a. AF by class'!G13/'11a. AF by class'!$E13</f>
        <v>28825521.628799997</v>
      </c>
      <c r="H17" s="243">
        <f>$E17*'11a. AF by class'!H13/'11a. AF by class'!$E13</f>
        <v>70063329.299280003</v>
      </c>
      <c r="I17" s="243">
        <f>$E17*'11a. AF by class'!I13/'11a. AF by class'!$E13</f>
        <v>45497176.394640006</v>
      </c>
      <c r="J17" s="243">
        <f>$E17*'11a. AF by class'!J13/'11a. AF by class'!$E13</f>
        <v>22019527.455839999</v>
      </c>
      <c r="K17" s="243">
        <f>$E17*'11a. AF by class'!K13/'11a. AF by class'!$E13</f>
        <v>35258916.896640003</v>
      </c>
      <c r="L17" s="243">
        <f>$E17*'11a. AF by class'!L13/'11a. AF by class'!$E13</f>
        <v>6599622.8495999994</v>
      </c>
      <c r="M17" s="243">
        <f>$E17*'11a. AF by class'!M13/'11a. AF by class'!$E13</f>
        <v>61796.675520000004</v>
      </c>
      <c r="N17" s="244">
        <f>$E17*'11a. AF by class'!N13/'11a. AF by class'!$E13</f>
        <v>1294817.1907200001</v>
      </c>
      <c r="P17" s="32">
        <f>SUM(F17:O17)</f>
        <v>317042422.25952005</v>
      </c>
      <c r="Q17" s="32">
        <f>E17-P17</f>
        <v>0</v>
      </c>
    </row>
    <row r="18" spans="1:17" x14ac:dyDescent="0.3">
      <c r="A18" s="157"/>
      <c r="B18" s="35" t="s">
        <v>972</v>
      </c>
      <c r="C18" s="35"/>
      <c r="D18" s="35"/>
      <c r="E18" s="243">
        <f>SUM(E16:E17)</f>
        <v>317042422.25951999</v>
      </c>
      <c r="F18" s="243">
        <f t="shared" ref="F18:N18" si="1">SUM(F16:F17)</f>
        <v>107421713.86848</v>
      </c>
      <c r="G18" s="243">
        <f t="shared" si="1"/>
        <v>28825521.628799997</v>
      </c>
      <c r="H18" s="243">
        <f t="shared" si="1"/>
        <v>70063329.299280003</v>
      </c>
      <c r="I18" s="243">
        <f t="shared" si="1"/>
        <v>45497176.394640006</v>
      </c>
      <c r="J18" s="243">
        <f t="shared" si="1"/>
        <v>22019527.455839999</v>
      </c>
      <c r="K18" s="243">
        <f t="shared" si="1"/>
        <v>35258916.896640003</v>
      </c>
      <c r="L18" s="243">
        <f t="shared" si="1"/>
        <v>6599622.8495999994</v>
      </c>
      <c r="M18" s="243">
        <f t="shared" si="1"/>
        <v>61796.675520000004</v>
      </c>
      <c r="N18" s="244">
        <f t="shared" si="1"/>
        <v>1294817.1907200001</v>
      </c>
      <c r="P18" s="32">
        <f>SUM(F18:O18)</f>
        <v>317042422.25952005</v>
      </c>
      <c r="Q18" s="32">
        <f>E18-P18</f>
        <v>0</v>
      </c>
    </row>
    <row r="19" spans="1:17" x14ac:dyDescent="0.3">
      <c r="A19" s="157"/>
      <c r="B19" s="35"/>
      <c r="C19" s="35"/>
      <c r="D19" s="35"/>
      <c r="E19" s="243"/>
      <c r="F19" s="243"/>
      <c r="G19" s="243"/>
      <c r="H19" s="243"/>
      <c r="I19" s="243"/>
      <c r="J19" s="243"/>
      <c r="K19" s="243"/>
      <c r="L19" s="243"/>
      <c r="M19" s="243"/>
      <c r="N19" s="244"/>
    </row>
    <row r="20" spans="1:17" x14ac:dyDescent="0.3">
      <c r="A20" s="157" t="s">
        <v>984</v>
      </c>
      <c r="B20" s="35"/>
      <c r="C20" s="35"/>
      <c r="D20" s="35"/>
      <c r="E20" s="243">
        <f>'9b. Summary Schedules-sf'!K174</f>
        <v>0</v>
      </c>
      <c r="F20" s="243">
        <f>$E20*'11a. AF by class'!F16/'11a. AF by class'!$E16</f>
        <v>0</v>
      </c>
      <c r="G20" s="243">
        <f>$E20*'11a. AF by class'!G16/'11a. AF by class'!$E16</f>
        <v>0</v>
      </c>
      <c r="H20" s="243">
        <f>$E20*'11a. AF by class'!H16/'11a. AF by class'!$E16</f>
        <v>0</v>
      </c>
      <c r="I20" s="243">
        <f>$E20*'11a. AF by class'!I16/'11a. AF by class'!$E16</f>
        <v>0</v>
      </c>
      <c r="J20" s="243">
        <f>$E20*'11a. AF by class'!J16/'11a. AF by class'!$E16</f>
        <v>0</v>
      </c>
      <c r="K20" s="243">
        <f>$E20*'11a. AF by class'!K16/'11a. AF by class'!$E16</f>
        <v>0</v>
      </c>
      <c r="L20" s="243">
        <f>$E20*'11a. AF by class'!L16/'11a. AF by class'!$E16</f>
        <v>0</v>
      </c>
      <c r="M20" s="243">
        <f>$E20*'11a. AF by class'!M16/'11a. AF by class'!$E16</f>
        <v>0</v>
      </c>
      <c r="N20" s="244">
        <f>$E20*'11a. AF by class'!N16/'11a. AF by class'!$E16</f>
        <v>0</v>
      </c>
      <c r="P20" s="32">
        <f>SUM(F20:O20)</f>
        <v>0</v>
      </c>
      <c r="Q20" s="32">
        <f>E20-P20</f>
        <v>0</v>
      </c>
    </row>
    <row r="21" spans="1:17" x14ac:dyDescent="0.3">
      <c r="A21" s="157"/>
      <c r="B21" s="35"/>
      <c r="C21" s="35"/>
      <c r="D21" s="35"/>
      <c r="E21" s="243"/>
      <c r="F21" s="243"/>
      <c r="G21" s="243"/>
      <c r="H21" s="243"/>
      <c r="I21" s="243"/>
      <c r="J21" s="243"/>
      <c r="K21" s="243"/>
      <c r="L21" s="243"/>
      <c r="M21" s="243"/>
      <c r="N21" s="244"/>
    </row>
    <row r="22" spans="1:17" x14ac:dyDescent="0.3">
      <c r="A22" s="157" t="s">
        <v>366</v>
      </c>
      <c r="B22" s="35"/>
      <c r="C22" s="35"/>
      <c r="D22" s="35"/>
      <c r="E22" s="243">
        <f>'9b. Summary Schedules-sf'!L174</f>
        <v>0</v>
      </c>
      <c r="F22" s="243">
        <f>$E22*'11a. AF by class'!F18/'11a. AF by class'!$E18</f>
        <v>0</v>
      </c>
      <c r="G22" s="243">
        <f>$E22*'11a. AF by class'!G18/'11a. AF by class'!$E18</f>
        <v>0</v>
      </c>
      <c r="H22" s="243">
        <f>$E22*'11a. AF by class'!H18/'11a. AF by class'!$E18</f>
        <v>0</v>
      </c>
      <c r="I22" s="243">
        <f>$E22*'11a. AF by class'!I18/'11a. AF by class'!$E18</f>
        <v>0</v>
      </c>
      <c r="J22" s="243">
        <f>$E22*'11a. AF by class'!J18/'11a. AF by class'!$E18</f>
        <v>0</v>
      </c>
      <c r="K22" s="243">
        <f>$E22*'11a. AF by class'!K18/'11a. AF by class'!$E18</f>
        <v>0</v>
      </c>
      <c r="L22" s="243">
        <f>$E22*'11a. AF by class'!L18/'11a. AF by class'!$E18</f>
        <v>0</v>
      </c>
      <c r="M22" s="243">
        <f>$E22*'11a. AF by class'!M18/'11a. AF by class'!$E18</f>
        <v>0</v>
      </c>
      <c r="N22" s="244">
        <f>$E22*'11a. AF by class'!N18/'11a. AF by class'!$E18</f>
        <v>0</v>
      </c>
      <c r="P22" s="32">
        <f>SUM(F22:O22)</f>
        <v>0</v>
      </c>
      <c r="Q22" s="32">
        <f>E22-P22</f>
        <v>0</v>
      </c>
    </row>
    <row r="23" spans="1:17" x14ac:dyDescent="0.3">
      <c r="A23" s="157"/>
      <c r="B23" s="35"/>
      <c r="C23" s="35"/>
      <c r="D23" s="35"/>
      <c r="E23" s="243"/>
      <c r="F23" s="243"/>
      <c r="G23" s="243"/>
      <c r="H23" s="243"/>
      <c r="I23" s="243"/>
      <c r="J23" s="243"/>
      <c r="K23" s="243"/>
      <c r="L23" s="243"/>
      <c r="M23" s="243"/>
      <c r="N23" s="244"/>
    </row>
    <row r="24" spans="1:17" x14ac:dyDescent="0.3">
      <c r="A24" s="157" t="s">
        <v>367</v>
      </c>
      <c r="B24" s="35"/>
      <c r="C24" s="35"/>
      <c r="D24" s="35"/>
      <c r="E24" s="243"/>
      <c r="F24" s="243"/>
      <c r="G24" s="243"/>
      <c r="H24" s="243"/>
      <c r="I24" s="243"/>
      <c r="J24" s="243"/>
      <c r="K24" s="243"/>
      <c r="L24" s="243"/>
      <c r="M24" s="243"/>
      <c r="N24" s="244"/>
    </row>
    <row r="25" spans="1:17" x14ac:dyDescent="0.3">
      <c r="A25" s="157"/>
      <c r="B25" s="35" t="s">
        <v>973</v>
      </c>
      <c r="C25" s="35"/>
      <c r="D25" s="35"/>
      <c r="E25" s="243"/>
      <c r="F25" s="243"/>
      <c r="G25" s="243"/>
      <c r="H25" s="243"/>
      <c r="I25" s="243"/>
      <c r="J25" s="243"/>
      <c r="K25" s="243"/>
      <c r="L25" s="243"/>
      <c r="M25" s="243"/>
      <c r="N25" s="244"/>
    </row>
    <row r="26" spans="1:17" x14ac:dyDescent="0.3">
      <c r="A26" s="157"/>
      <c r="B26" s="159" t="s">
        <v>974</v>
      </c>
      <c r="C26" s="35"/>
      <c r="D26" s="35"/>
      <c r="E26" s="243">
        <f>'9b. Summary Schedules-sf'!N174</f>
        <v>0</v>
      </c>
      <c r="F26" s="243">
        <f>$E26*'11a. AF by class'!F22/'11a. AF by class'!$E22</f>
        <v>0</v>
      </c>
      <c r="G26" s="243">
        <f>$E26*'11a. AF by class'!G22/'11a. AF by class'!$E22</f>
        <v>0</v>
      </c>
      <c r="H26" s="243">
        <f>$E26*'11a. AF by class'!H22/'11a. AF by class'!$E22</f>
        <v>0</v>
      </c>
      <c r="I26" s="243">
        <f>$E26*'11a. AF by class'!I22/'11a. AF by class'!$E22</f>
        <v>0</v>
      </c>
      <c r="J26" s="243">
        <f>$E26*'11a. AF by class'!J22/'11a. AF by class'!$E22</f>
        <v>0</v>
      </c>
      <c r="K26" s="243">
        <f>$E26*'11a. AF by class'!K22/'11a. AF by class'!$E22</f>
        <v>0</v>
      </c>
      <c r="L26" s="243">
        <f>$E26*'11a. AF by class'!L22/'11a. AF by class'!$E22</f>
        <v>0</v>
      </c>
      <c r="M26" s="243">
        <f>$E26*'11a. AF by class'!M22/'11a. AF by class'!$E22</f>
        <v>0</v>
      </c>
      <c r="N26" s="244">
        <f>$E26*'11a. AF by class'!N22/'11a. AF by class'!$E22</f>
        <v>0</v>
      </c>
      <c r="P26" s="32">
        <f>SUM(F26:O26)</f>
        <v>0</v>
      </c>
      <c r="Q26" s="32">
        <f>E26-P26</f>
        <v>0</v>
      </c>
    </row>
    <row r="27" spans="1:17" x14ac:dyDescent="0.3">
      <c r="A27" s="157"/>
      <c r="B27" s="159" t="s">
        <v>975</v>
      </c>
      <c r="C27" s="35"/>
      <c r="D27" s="35"/>
      <c r="E27" s="243">
        <f>'9b. Summary Schedules-sf'!O174</f>
        <v>0</v>
      </c>
      <c r="F27" s="243">
        <f>$E27*'11a. AF by class'!F23/'11a. AF by class'!$E23</f>
        <v>0</v>
      </c>
      <c r="G27" s="243">
        <f>$E27*'11a. AF by class'!G23/'11a. AF by class'!$E23</f>
        <v>0</v>
      </c>
      <c r="H27" s="243">
        <f>$E27*'11a. AF by class'!H23/'11a. AF by class'!$E23</f>
        <v>0</v>
      </c>
      <c r="I27" s="243">
        <f>$E27*'11a. AF by class'!I23/'11a. AF by class'!$E23</f>
        <v>0</v>
      </c>
      <c r="J27" s="243">
        <f>$E27*'11a. AF by class'!J23/'11a. AF by class'!$E23</f>
        <v>0</v>
      </c>
      <c r="K27" s="243">
        <f>$E27*'11a. AF by class'!K23/'11a. AF by class'!$E23</f>
        <v>0</v>
      </c>
      <c r="L27" s="243">
        <f>$E27*'11a. AF by class'!L23/'11a. AF by class'!$E23</f>
        <v>0</v>
      </c>
      <c r="M27" s="243">
        <f>$E27*'11a. AF by class'!M23/'11a. AF by class'!$E23</f>
        <v>0</v>
      </c>
      <c r="N27" s="244">
        <f>$E27*'11a. AF by class'!N23/'11a. AF by class'!$E23</f>
        <v>0</v>
      </c>
      <c r="P27" s="32">
        <f>SUM(F27:O27)</f>
        <v>0</v>
      </c>
      <c r="Q27" s="32">
        <f>E27-P27</f>
        <v>0</v>
      </c>
    </row>
    <row r="28" spans="1:17" x14ac:dyDescent="0.3">
      <c r="A28" s="157"/>
      <c r="B28" s="159" t="s">
        <v>976</v>
      </c>
      <c r="C28" s="35"/>
      <c r="D28" s="35"/>
      <c r="E28" s="243">
        <f>'9b. Summary Schedules-sf'!P174</f>
        <v>0</v>
      </c>
      <c r="F28" s="243">
        <f>$E28*'11a. AF by class'!F24/'11a. AF by class'!$E24</f>
        <v>0</v>
      </c>
      <c r="G28" s="243">
        <f>$E28*'11a. AF by class'!G24/'11a. AF by class'!$E24</f>
        <v>0</v>
      </c>
      <c r="H28" s="243">
        <f>$E28*'11a. AF by class'!H24/'11a. AF by class'!$E24</f>
        <v>0</v>
      </c>
      <c r="I28" s="243">
        <f>$E28*'11a. AF by class'!I24/'11a. AF by class'!$E24</f>
        <v>0</v>
      </c>
      <c r="J28" s="243">
        <f>$E28*'11a. AF by class'!J24/'11a. AF by class'!$E24</f>
        <v>0</v>
      </c>
      <c r="K28" s="243">
        <f>$E28*'11a. AF by class'!K24/'11a. AF by class'!$E24</f>
        <v>0</v>
      </c>
      <c r="L28" s="243">
        <f>$E28*'11a. AF by class'!L24/'11a. AF by class'!$E24</f>
        <v>0</v>
      </c>
      <c r="M28" s="243">
        <f>$E28*'11a. AF by class'!M24/'11a. AF by class'!$E24</f>
        <v>0</v>
      </c>
      <c r="N28" s="244">
        <f>$E28*'11a. AF by class'!N24/'11a. AF by class'!$E24</f>
        <v>0</v>
      </c>
      <c r="P28" s="32">
        <f>SUM(F28:O28)</f>
        <v>0</v>
      </c>
      <c r="Q28" s="32">
        <f>E28-P28</f>
        <v>0</v>
      </c>
    </row>
    <row r="29" spans="1:17" x14ac:dyDescent="0.3">
      <c r="A29" s="157"/>
      <c r="B29" s="159" t="s">
        <v>931</v>
      </c>
      <c r="C29" s="35"/>
      <c r="D29" s="35"/>
      <c r="E29" s="580">
        <f>'9b. Summary Schedules-sf'!Q174</f>
        <v>0</v>
      </c>
      <c r="F29" s="580">
        <f>$E29*'11a. AF by class'!F25/'11a. AF by class'!$E25</f>
        <v>0</v>
      </c>
      <c r="G29" s="580">
        <f>$E29*'11a. AF by class'!G25/'11a. AF by class'!$E25</f>
        <v>0</v>
      </c>
      <c r="H29" s="580">
        <f>$E29*'11a. AF by class'!H25/'11a. AF by class'!$E25</f>
        <v>0</v>
      </c>
      <c r="I29" s="580">
        <f>$E29*'11a. AF by class'!I25/'11a. AF by class'!$E25</f>
        <v>0</v>
      </c>
      <c r="J29" s="580">
        <f>$E29*'11a. AF by class'!J25/'11a. AF by class'!$E25</f>
        <v>0</v>
      </c>
      <c r="K29" s="580">
        <f>$E29*'11a. AF by class'!K25/'11a. AF by class'!$E25</f>
        <v>0</v>
      </c>
      <c r="L29" s="580">
        <f>$E29*'11a. AF by class'!L25/'11a. AF by class'!$E25</f>
        <v>0</v>
      </c>
      <c r="M29" s="580">
        <f>$E29*'11a. AF by class'!M25/'11a. AF by class'!$E25</f>
        <v>0</v>
      </c>
      <c r="N29" s="600">
        <f>$E29*'11a. AF by class'!N25/'11a. AF by class'!$E25</f>
        <v>0</v>
      </c>
      <c r="P29" s="32">
        <f>SUM(F29:O29)</f>
        <v>0</v>
      </c>
      <c r="Q29" s="32">
        <f>E29-P29</f>
        <v>0</v>
      </c>
    </row>
    <row r="30" spans="1:17" x14ac:dyDescent="0.3">
      <c r="A30" s="157"/>
      <c r="B30" s="35" t="s">
        <v>977</v>
      </c>
      <c r="C30" s="35"/>
      <c r="D30" s="35"/>
      <c r="E30" s="243">
        <f>SUM(E26:E29)</f>
        <v>0</v>
      </c>
      <c r="F30" s="243">
        <f t="shared" ref="F30:N30" si="2">SUM(F26:F29)</f>
        <v>0</v>
      </c>
      <c r="G30" s="243">
        <f t="shared" si="2"/>
        <v>0</v>
      </c>
      <c r="H30" s="243">
        <f t="shared" si="2"/>
        <v>0</v>
      </c>
      <c r="I30" s="243">
        <f t="shared" si="2"/>
        <v>0</v>
      </c>
      <c r="J30" s="243">
        <f t="shared" si="2"/>
        <v>0</v>
      </c>
      <c r="K30" s="243">
        <f t="shared" si="2"/>
        <v>0</v>
      </c>
      <c r="L30" s="243">
        <f t="shared" si="2"/>
        <v>0</v>
      </c>
      <c r="M30" s="243">
        <f t="shared" si="2"/>
        <v>0</v>
      </c>
      <c r="N30" s="244">
        <f t="shared" si="2"/>
        <v>0</v>
      </c>
      <c r="P30" s="32">
        <f>SUM(F30:O30)</f>
        <v>0</v>
      </c>
      <c r="Q30" s="32">
        <f>E30-P30</f>
        <v>0</v>
      </c>
    </row>
    <row r="31" spans="1:17" x14ac:dyDescent="0.3">
      <c r="A31" s="157"/>
      <c r="B31" s="35"/>
      <c r="C31" s="35"/>
      <c r="D31" s="35"/>
      <c r="E31" s="243"/>
      <c r="F31" s="243"/>
      <c r="G31" s="243"/>
      <c r="H31" s="243"/>
      <c r="I31" s="243"/>
      <c r="J31" s="243"/>
      <c r="K31" s="243"/>
      <c r="L31" s="243"/>
      <c r="M31" s="243"/>
      <c r="N31" s="244"/>
    </row>
    <row r="32" spans="1:17" x14ac:dyDescent="0.3">
      <c r="A32" s="157"/>
      <c r="B32" s="35" t="s">
        <v>978</v>
      </c>
      <c r="C32" s="35"/>
      <c r="D32" s="35"/>
      <c r="E32" s="243"/>
      <c r="F32" s="243"/>
      <c r="G32" s="243"/>
      <c r="H32" s="243"/>
      <c r="I32" s="243"/>
      <c r="J32" s="243"/>
      <c r="K32" s="243"/>
      <c r="L32" s="243"/>
      <c r="M32" s="243"/>
      <c r="N32" s="244"/>
    </row>
    <row r="33" spans="1:17" x14ac:dyDescent="0.3">
      <c r="A33" s="157"/>
      <c r="B33" s="159" t="s">
        <v>975</v>
      </c>
      <c r="C33" s="35"/>
      <c r="D33" s="35"/>
      <c r="E33" s="243">
        <f>'9b. Summary Schedules-sf'!R174</f>
        <v>0</v>
      </c>
      <c r="F33" s="243">
        <f>$E33*'11a. AF by class'!F29/'11a. AF by class'!$E29</f>
        <v>0</v>
      </c>
      <c r="G33" s="243">
        <f>$E33*'11a. AF by class'!G29/'11a. AF by class'!$E29</f>
        <v>0</v>
      </c>
      <c r="H33" s="243">
        <f>$E33*'11a. AF by class'!H29/'11a. AF by class'!$E29</f>
        <v>0</v>
      </c>
      <c r="I33" s="243">
        <f>$E33*'11a. AF by class'!I29/'11a. AF by class'!$E29</f>
        <v>0</v>
      </c>
      <c r="J33" s="243">
        <f>$E33*'11a. AF by class'!J29/'11a. AF by class'!$E29</f>
        <v>0</v>
      </c>
      <c r="K33" s="243">
        <f>$E33*'11a. AF by class'!K29/'11a. AF by class'!$E29</f>
        <v>0</v>
      </c>
      <c r="L33" s="243">
        <f>$E33*'11a. AF by class'!L29/'11a. AF by class'!$E29</f>
        <v>0</v>
      </c>
      <c r="M33" s="243">
        <f>$E33*'11a. AF by class'!M29/'11a. AF by class'!$E29</f>
        <v>0</v>
      </c>
      <c r="N33" s="244">
        <f>$E33*'11a. AF by class'!N29/'11a. AF by class'!$E29</f>
        <v>0</v>
      </c>
      <c r="P33" s="32">
        <f t="shared" ref="P33:P39" si="3">SUM(F33:O33)</f>
        <v>0</v>
      </c>
      <c r="Q33" s="32">
        <f t="shared" ref="Q33:Q39" si="4">E33-P33</f>
        <v>0</v>
      </c>
    </row>
    <row r="34" spans="1:17" x14ac:dyDescent="0.3">
      <c r="A34" s="157"/>
      <c r="B34" s="159" t="s">
        <v>976</v>
      </c>
      <c r="C34" s="35"/>
      <c r="D34" s="35"/>
      <c r="E34" s="243">
        <f>'9b. Summary Schedules-sf'!S174</f>
        <v>0</v>
      </c>
      <c r="F34" s="243">
        <f>$E34*'11a. AF by class'!F30/'11a. AF by class'!$E30</f>
        <v>0</v>
      </c>
      <c r="G34" s="243">
        <f>$E34*'11a. AF by class'!G30/'11a. AF by class'!$E30</f>
        <v>0</v>
      </c>
      <c r="H34" s="243">
        <f>$E34*'11a. AF by class'!H30/'11a. AF by class'!$E30</f>
        <v>0</v>
      </c>
      <c r="I34" s="243">
        <f>$E34*'11a. AF by class'!I30/'11a. AF by class'!$E30</f>
        <v>0</v>
      </c>
      <c r="J34" s="243">
        <f>$E34*'11a. AF by class'!J30/'11a. AF by class'!$E30</f>
        <v>0</v>
      </c>
      <c r="K34" s="243">
        <f>$E34*'11a. AF by class'!K30/'11a. AF by class'!$E30</f>
        <v>0</v>
      </c>
      <c r="L34" s="243">
        <f>$E34*'11a. AF by class'!L30/'11a. AF by class'!$E30</f>
        <v>0</v>
      </c>
      <c r="M34" s="243">
        <f>$E34*'11a. AF by class'!M30/'11a. AF by class'!$E30</f>
        <v>0</v>
      </c>
      <c r="N34" s="244">
        <f>$E34*'11a. AF by class'!N30/'11a. AF by class'!$E30</f>
        <v>0</v>
      </c>
      <c r="P34" s="32">
        <f t="shared" si="3"/>
        <v>0</v>
      </c>
      <c r="Q34" s="32">
        <f t="shared" si="4"/>
        <v>0</v>
      </c>
    </row>
    <row r="35" spans="1:17" x14ac:dyDescent="0.3">
      <c r="A35" s="157"/>
      <c r="B35" s="159" t="s">
        <v>931</v>
      </c>
      <c r="C35" s="35"/>
      <c r="D35" s="35"/>
      <c r="E35" s="243">
        <f>'9b. Summary Schedules-sf'!T174</f>
        <v>0</v>
      </c>
      <c r="F35" s="243">
        <f>$E35*'11a. AF by class'!F31/'11a. AF by class'!$E31</f>
        <v>0</v>
      </c>
      <c r="G35" s="243">
        <f>$E35*'11a. AF by class'!G31/'11a. AF by class'!$E31</f>
        <v>0</v>
      </c>
      <c r="H35" s="243">
        <f>$E35*'11a. AF by class'!H31/'11a. AF by class'!$E31</f>
        <v>0</v>
      </c>
      <c r="I35" s="243">
        <f>$E35*'11a. AF by class'!I31/'11a. AF by class'!$E31</f>
        <v>0</v>
      </c>
      <c r="J35" s="243">
        <f>$E35*'11a. AF by class'!J31/'11a. AF by class'!$E31</f>
        <v>0</v>
      </c>
      <c r="K35" s="243">
        <f>$E35*'11a. AF by class'!K31/'11a. AF by class'!$E31</f>
        <v>0</v>
      </c>
      <c r="L35" s="243">
        <f>$E35*'11a. AF by class'!L31/'11a. AF by class'!$E31</f>
        <v>0</v>
      </c>
      <c r="M35" s="243">
        <f>$E35*'11a. AF by class'!M31/'11a. AF by class'!$E31</f>
        <v>0</v>
      </c>
      <c r="N35" s="244">
        <f>$E35*'11a. AF by class'!N31/'11a. AF by class'!$E31</f>
        <v>0</v>
      </c>
      <c r="P35" s="32">
        <f t="shared" si="3"/>
        <v>0</v>
      </c>
      <c r="Q35" s="32">
        <f t="shared" si="4"/>
        <v>0</v>
      </c>
    </row>
    <row r="36" spans="1:17" x14ac:dyDescent="0.3">
      <c r="A36" s="157"/>
      <c r="B36" s="159" t="s">
        <v>456</v>
      </c>
      <c r="C36" s="35"/>
      <c r="D36" s="35"/>
      <c r="E36" s="243">
        <f>'9b. Summary Schedules-sf'!U174</f>
        <v>0</v>
      </c>
      <c r="F36" s="243">
        <f>$E36*'11a. AF by class'!F32/'11a. AF by class'!$E32</f>
        <v>0</v>
      </c>
      <c r="G36" s="243">
        <f>$E36*'11a. AF by class'!G32/'11a. AF by class'!$E32</f>
        <v>0</v>
      </c>
      <c r="H36" s="243">
        <f>$E36*'11a. AF by class'!H32/'11a. AF by class'!$E32</f>
        <v>0</v>
      </c>
      <c r="I36" s="243">
        <f>$E36*'11a. AF by class'!I32/'11a. AF by class'!$E32</f>
        <v>0</v>
      </c>
      <c r="J36" s="243">
        <f>$E36*'11a. AF by class'!J32/'11a. AF by class'!$E32</f>
        <v>0</v>
      </c>
      <c r="K36" s="243">
        <f>$E36*'11a. AF by class'!K32/'11a. AF by class'!$E32</f>
        <v>0</v>
      </c>
      <c r="L36" s="243">
        <f>$E36*'11a. AF by class'!L32/'11a. AF by class'!$E32</f>
        <v>0</v>
      </c>
      <c r="M36" s="243">
        <f>$E36*'11a. AF by class'!M32/'11a. AF by class'!$E32</f>
        <v>0</v>
      </c>
      <c r="N36" s="244">
        <f>$E36*'11a. AF by class'!N32/'11a. AF by class'!$E32</f>
        <v>0</v>
      </c>
      <c r="P36" s="32">
        <f t="shared" si="3"/>
        <v>0</v>
      </c>
      <c r="Q36" s="32">
        <f t="shared" si="4"/>
        <v>0</v>
      </c>
    </row>
    <row r="37" spans="1:17" x14ac:dyDescent="0.3">
      <c r="A37" s="157"/>
      <c r="B37" s="159" t="s">
        <v>932</v>
      </c>
      <c r="C37" s="35"/>
      <c r="D37" s="35"/>
      <c r="E37" s="243">
        <f>'9b. Summary Schedules-sf'!V174</f>
        <v>0</v>
      </c>
      <c r="F37" s="243">
        <f>$E37*'11a. AF by class'!F33/'11a. AF by class'!$E33</f>
        <v>0</v>
      </c>
      <c r="G37" s="243">
        <f>$E37*'11a. AF by class'!G33/'11a. AF by class'!$E33</f>
        <v>0</v>
      </c>
      <c r="H37" s="243">
        <f>$E37*'11a. AF by class'!H33/'11a. AF by class'!$E33</f>
        <v>0</v>
      </c>
      <c r="I37" s="243">
        <f>$E37*'11a. AF by class'!I33/'11a. AF by class'!$E33</f>
        <v>0</v>
      </c>
      <c r="J37" s="243">
        <f>$E37*'11a. AF by class'!J33/'11a. AF by class'!$E33</f>
        <v>0</v>
      </c>
      <c r="K37" s="243">
        <f>$E37*'11a. AF by class'!K33/'11a. AF by class'!$E33</f>
        <v>0</v>
      </c>
      <c r="L37" s="243">
        <f>$E37*'11a. AF by class'!L33/'11a. AF by class'!$E33</f>
        <v>0</v>
      </c>
      <c r="M37" s="243">
        <f>$E37*'11a. AF by class'!M33/'11a. AF by class'!$E33</f>
        <v>0</v>
      </c>
      <c r="N37" s="244">
        <f>$E37*'11a. AF by class'!N33/'11a. AF by class'!$E33</f>
        <v>0</v>
      </c>
      <c r="P37" s="32">
        <f t="shared" si="3"/>
        <v>0</v>
      </c>
      <c r="Q37" s="32">
        <f t="shared" si="4"/>
        <v>0</v>
      </c>
    </row>
    <row r="38" spans="1:17" x14ac:dyDescent="0.3">
      <c r="A38" s="157"/>
      <c r="B38" s="159" t="s">
        <v>1013</v>
      </c>
      <c r="C38" s="35"/>
      <c r="D38" s="35"/>
      <c r="E38" s="580">
        <f>'9b. Summary Schedules-sf'!W174</f>
        <v>0</v>
      </c>
      <c r="F38" s="580">
        <f>$E38*'11a. AF by class'!F34/'11a. AF by class'!$E34</f>
        <v>0</v>
      </c>
      <c r="G38" s="580">
        <f>$E38*'11a. AF by class'!G34/'11a. AF by class'!$E34</f>
        <v>0</v>
      </c>
      <c r="H38" s="580">
        <f>$E38*'11a. AF by class'!H34/'11a. AF by class'!$E34</f>
        <v>0</v>
      </c>
      <c r="I38" s="580">
        <f>$E38*'11a. AF by class'!I34/'11a. AF by class'!$E34</f>
        <v>0</v>
      </c>
      <c r="J38" s="580">
        <f>$E38*'11a. AF by class'!J34/'11a. AF by class'!$E34</f>
        <v>0</v>
      </c>
      <c r="K38" s="580">
        <f>$E38*'11a. AF by class'!K34/'11a. AF by class'!$E34</f>
        <v>0</v>
      </c>
      <c r="L38" s="580">
        <f>$E38*'11a. AF by class'!L34/'11a. AF by class'!$E34</f>
        <v>0</v>
      </c>
      <c r="M38" s="580">
        <f>$E38*'11a. AF by class'!M34/'11a. AF by class'!$E34</f>
        <v>0</v>
      </c>
      <c r="N38" s="600">
        <f>$E38*'11a. AF by class'!N34/'11a. AF by class'!$E34</f>
        <v>0</v>
      </c>
      <c r="P38" s="32">
        <f t="shared" si="3"/>
        <v>0</v>
      </c>
      <c r="Q38" s="32">
        <f t="shared" si="4"/>
        <v>0</v>
      </c>
    </row>
    <row r="39" spans="1:17" x14ac:dyDescent="0.3">
      <c r="A39" s="157"/>
      <c r="B39" s="35" t="s">
        <v>979</v>
      </c>
      <c r="C39" s="35"/>
      <c r="D39" s="35"/>
      <c r="E39" s="243">
        <f t="shared" ref="E39:N39" si="5">SUM(E33:E38)</f>
        <v>0</v>
      </c>
      <c r="F39" s="243">
        <f t="shared" si="5"/>
        <v>0</v>
      </c>
      <c r="G39" s="243">
        <f t="shared" si="5"/>
        <v>0</v>
      </c>
      <c r="H39" s="243">
        <f t="shared" si="5"/>
        <v>0</v>
      </c>
      <c r="I39" s="243">
        <f t="shared" si="5"/>
        <v>0</v>
      </c>
      <c r="J39" s="243">
        <f t="shared" si="5"/>
        <v>0</v>
      </c>
      <c r="K39" s="243">
        <f t="shared" si="5"/>
        <v>0</v>
      </c>
      <c r="L39" s="243">
        <f t="shared" si="5"/>
        <v>0</v>
      </c>
      <c r="M39" s="243">
        <f t="shared" si="5"/>
        <v>0</v>
      </c>
      <c r="N39" s="244">
        <f t="shared" si="5"/>
        <v>0</v>
      </c>
      <c r="P39" s="32">
        <f t="shared" si="3"/>
        <v>0</v>
      </c>
      <c r="Q39" s="32">
        <f t="shared" si="4"/>
        <v>0</v>
      </c>
    </row>
    <row r="40" spans="1:17" x14ac:dyDescent="0.3">
      <c r="A40" s="157"/>
      <c r="B40" s="35"/>
      <c r="C40" s="35"/>
      <c r="D40" s="35"/>
      <c r="E40" s="243"/>
      <c r="F40" s="243"/>
      <c r="G40" s="243"/>
      <c r="H40" s="243"/>
      <c r="I40" s="243"/>
      <c r="J40" s="243"/>
      <c r="K40" s="243"/>
      <c r="L40" s="243"/>
      <c r="M40" s="243"/>
      <c r="N40" s="244"/>
    </row>
    <row r="41" spans="1:17" x14ac:dyDescent="0.3">
      <c r="A41" s="157"/>
      <c r="B41" s="35" t="s">
        <v>543</v>
      </c>
      <c r="C41" s="35"/>
      <c r="D41" s="35"/>
      <c r="E41" s="243">
        <f t="shared" ref="E41:N41" si="6">SUM(E30,E39)</f>
        <v>0</v>
      </c>
      <c r="F41" s="243">
        <f t="shared" si="6"/>
        <v>0</v>
      </c>
      <c r="G41" s="243">
        <f t="shared" si="6"/>
        <v>0</v>
      </c>
      <c r="H41" s="243">
        <f t="shared" si="6"/>
        <v>0</v>
      </c>
      <c r="I41" s="243">
        <f t="shared" si="6"/>
        <v>0</v>
      </c>
      <c r="J41" s="243">
        <f t="shared" si="6"/>
        <v>0</v>
      </c>
      <c r="K41" s="243">
        <f t="shared" si="6"/>
        <v>0</v>
      </c>
      <c r="L41" s="243">
        <f t="shared" si="6"/>
        <v>0</v>
      </c>
      <c r="M41" s="243">
        <f t="shared" si="6"/>
        <v>0</v>
      </c>
      <c r="N41" s="244">
        <f t="shared" si="6"/>
        <v>0</v>
      </c>
      <c r="P41" s="32">
        <f>SUM(F41:O41)</f>
        <v>0</v>
      </c>
      <c r="Q41" s="32">
        <f>E41-P41</f>
        <v>0</v>
      </c>
    </row>
    <row r="42" spans="1:17" x14ac:dyDescent="0.3">
      <c r="A42" s="157"/>
      <c r="B42" s="35"/>
      <c r="C42" s="35"/>
      <c r="D42" s="35"/>
      <c r="E42" s="243"/>
      <c r="F42" s="243"/>
      <c r="G42" s="243"/>
      <c r="H42" s="243"/>
      <c r="I42" s="243"/>
      <c r="J42" s="243"/>
      <c r="K42" s="243"/>
      <c r="L42" s="243"/>
      <c r="M42" s="243"/>
      <c r="N42" s="244"/>
    </row>
    <row r="43" spans="1:17" x14ac:dyDescent="0.3">
      <c r="A43" s="157" t="s">
        <v>907</v>
      </c>
      <c r="B43" s="35"/>
      <c r="C43" s="35"/>
      <c r="D43" s="35"/>
      <c r="E43" s="243"/>
      <c r="F43" s="243"/>
      <c r="G43" s="243"/>
      <c r="H43" s="243"/>
      <c r="I43" s="243"/>
      <c r="J43" s="243"/>
      <c r="K43" s="243"/>
      <c r="L43" s="243"/>
      <c r="M43" s="243"/>
      <c r="N43" s="244"/>
    </row>
    <row r="44" spans="1:17" x14ac:dyDescent="0.3">
      <c r="A44" s="157"/>
      <c r="B44" s="35" t="s">
        <v>907</v>
      </c>
      <c r="C44" s="35"/>
      <c r="D44" s="35"/>
      <c r="E44" s="243">
        <f>'9b. Summary Schedules-sf'!Y174</f>
        <v>0</v>
      </c>
      <c r="F44" s="243">
        <f>$E44*'11a. AF by class'!F40/'11a. AF by class'!$E40</f>
        <v>0</v>
      </c>
      <c r="G44" s="243">
        <f>$E44*'11a. AF by class'!G40/'11a. AF by class'!$E40</f>
        <v>0</v>
      </c>
      <c r="H44" s="243">
        <f>$E44*'11a. AF by class'!H40/'11a. AF by class'!$E40</f>
        <v>0</v>
      </c>
      <c r="I44" s="243">
        <f>$E44*'11a. AF by class'!I40/'11a. AF by class'!$E40</f>
        <v>0</v>
      </c>
      <c r="J44" s="243">
        <f>$E44*'11a. AF by class'!J40/'11a. AF by class'!$E40</f>
        <v>0</v>
      </c>
      <c r="K44" s="243">
        <f>$E44*'11a. AF by class'!K40/'11a. AF by class'!$E40</f>
        <v>0</v>
      </c>
      <c r="L44" s="243">
        <f>$E44*'11a. AF by class'!L40/'11a. AF by class'!$E40</f>
        <v>0</v>
      </c>
      <c r="M44" s="243">
        <f>$E44*'11a. AF by class'!M40/'11a. AF by class'!$E40</f>
        <v>0</v>
      </c>
      <c r="N44" s="244">
        <f>$E44*'11a. AF by class'!N40/'11a. AF by class'!$E40</f>
        <v>0</v>
      </c>
      <c r="P44" s="32">
        <f>SUM(F44:O44)</f>
        <v>0</v>
      </c>
      <c r="Q44" s="32">
        <f>E44-P44</f>
        <v>0</v>
      </c>
    </row>
    <row r="45" spans="1:17" x14ac:dyDescent="0.3">
      <c r="A45" s="157"/>
      <c r="B45" s="35" t="s">
        <v>996</v>
      </c>
      <c r="C45" s="35"/>
      <c r="D45" s="35"/>
      <c r="E45" s="580">
        <f>'9b. Summary Schedules-sf'!Z174</f>
        <v>0</v>
      </c>
      <c r="F45" s="580">
        <f>$E45*'11a. AF by class'!F41/'11a. AF by class'!$E41</f>
        <v>0</v>
      </c>
      <c r="G45" s="580">
        <f>$E45*'11a. AF by class'!G41/'11a. AF by class'!$E41</f>
        <v>0</v>
      </c>
      <c r="H45" s="580">
        <f>$E45*'11a. AF by class'!H41/'11a. AF by class'!$E41</f>
        <v>0</v>
      </c>
      <c r="I45" s="580">
        <f>$E45*'11a. AF by class'!I41/'11a. AF by class'!$E41</f>
        <v>0</v>
      </c>
      <c r="J45" s="580">
        <f>$E45*'11a. AF by class'!J41/'11a. AF by class'!$E41</f>
        <v>0</v>
      </c>
      <c r="K45" s="580">
        <f>$E45*'11a. AF by class'!K41/'11a. AF by class'!$E41</f>
        <v>0</v>
      </c>
      <c r="L45" s="580">
        <f>$E45*'11a. AF by class'!L41/'11a. AF by class'!$E41</f>
        <v>0</v>
      </c>
      <c r="M45" s="580">
        <f>$E45*'11a. AF by class'!M41/'11a. AF by class'!$E41</f>
        <v>0</v>
      </c>
      <c r="N45" s="600">
        <f>$E45*'11a. AF by class'!N41/'11a. AF by class'!$E41</f>
        <v>0</v>
      </c>
      <c r="P45" s="32">
        <f>SUM(F45:O45)</f>
        <v>0</v>
      </c>
      <c r="Q45" s="32">
        <f>E45-P45</f>
        <v>0</v>
      </c>
    </row>
    <row r="46" spans="1:17" x14ac:dyDescent="0.3">
      <c r="A46" s="157"/>
      <c r="B46" s="35" t="s">
        <v>997</v>
      </c>
      <c r="C46" s="35"/>
      <c r="D46" s="35"/>
      <c r="E46" s="243">
        <f>E44+E45</f>
        <v>0</v>
      </c>
      <c r="F46" s="243">
        <f t="shared" ref="F46:N46" si="7">SUM(F44:F45)</f>
        <v>0</v>
      </c>
      <c r="G46" s="243">
        <f t="shared" si="7"/>
        <v>0</v>
      </c>
      <c r="H46" s="243">
        <f t="shared" si="7"/>
        <v>0</v>
      </c>
      <c r="I46" s="243">
        <f t="shared" si="7"/>
        <v>0</v>
      </c>
      <c r="J46" s="243">
        <f t="shared" si="7"/>
        <v>0</v>
      </c>
      <c r="K46" s="243">
        <f t="shared" si="7"/>
        <v>0</v>
      </c>
      <c r="L46" s="243">
        <f t="shared" si="7"/>
        <v>0</v>
      </c>
      <c r="M46" s="243">
        <f t="shared" si="7"/>
        <v>0</v>
      </c>
      <c r="N46" s="244">
        <f t="shared" si="7"/>
        <v>0</v>
      </c>
      <c r="P46" s="32">
        <f>SUM(F46:O46)</f>
        <v>0</v>
      </c>
      <c r="Q46" s="32">
        <f>E46-P46</f>
        <v>0</v>
      </c>
    </row>
    <row r="47" spans="1:17" x14ac:dyDescent="0.3">
      <c r="A47" s="157"/>
      <c r="B47" s="35"/>
      <c r="C47" s="35"/>
      <c r="D47" s="35"/>
      <c r="E47" s="243"/>
      <c r="F47" s="243"/>
      <c r="G47" s="243"/>
      <c r="H47" s="243"/>
      <c r="I47" s="243"/>
      <c r="J47" s="243"/>
      <c r="K47" s="243"/>
      <c r="L47" s="243"/>
      <c r="M47" s="243"/>
      <c r="N47" s="244"/>
    </row>
    <row r="48" spans="1:17" x14ac:dyDescent="0.3">
      <c r="A48" s="157" t="s">
        <v>84</v>
      </c>
      <c r="B48" s="35"/>
      <c r="C48" s="35"/>
      <c r="D48" s="35"/>
      <c r="E48" s="243">
        <f>'9b. Summary Schedules-sf'!AA174</f>
        <v>0</v>
      </c>
      <c r="F48" s="243">
        <f>$E48*'11a. AF by class'!F44/'11a. AF by class'!$E44</f>
        <v>0</v>
      </c>
      <c r="G48" s="243">
        <f>$E48*'11a. AF by class'!G44/'11a. AF by class'!$E44</f>
        <v>0</v>
      </c>
      <c r="H48" s="243">
        <f>$E48*'11a. AF by class'!H44/'11a. AF by class'!$E44</f>
        <v>0</v>
      </c>
      <c r="I48" s="243">
        <f>$E48*'11a. AF by class'!I44/'11a. AF by class'!$E44</f>
        <v>0</v>
      </c>
      <c r="J48" s="243">
        <f>$E48*'11a. AF by class'!J44/'11a. AF by class'!$E44</f>
        <v>0</v>
      </c>
      <c r="K48" s="243">
        <f>$E48*'11a. AF by class'!K44/'11a. AF by class'!$E44</f>
        <v>0</v>
      </c>
      <c r="L48" s="243">
        <f>$E48*'11a. AF by class'!L44/'11a. AF by class'!$E44</f>
        <v>0</v>
      </c>
      <c r="M48" s="243">
        <f>$E48*'11a. AF by class'!M44/'11a. AF by class'!$E44</f>
        <v>0</v>
      </c>
      <c r="N48" s="244">
        <f>$E48*'11a. AF by class'!N44/'11a. AF by class'!$E44</f>
        <v>0</v>
      </c>
      <c r="P48" s="32">
        <f>SUM(F48:O48)</f>
        <v>0</v>
      </c>
      <c r="Q48" s="32">
        <f>E48-P48</f>
        <v>0</v>
      </c>
    </row>
    <row r="49" spans="1:17" x14ac:dyDescent="0.3">
      <c r="A49" s="157"/>
      <c r="B49" s="35"/>
      <c r="C49" s="35"/>
      <c r="D49" s="35"/>
      <c r="E49" s="243"/>
      <c r="F49" s="243"/>
      <c r="G49" s="243"/>
      <c r="H49" s="243"/>
      <c r="I49" s="243"/>
      <c r="J49" s="243"/>
      <c r="K49" s="243"/>
      <c r="L49" s="243"/>
      <c r="M49" s="243"/>
      <c r="N49" s="244"/>
    </row>
    <row r="50" spans="1:17" x14ac:dyDescent="0.3">
      <c r="A50" s="157" t="s">
        <v>82</v>
      </c>
      <c r="B50" s="35"/>
      <c r="C50" s="35"/>
      <c r="D50" s="35"/>
      <c r="E50" s="243"/>
      <c r="F50" s="243"/>
      <c r="G50" s="243"/>
      <c r="H50" s="243"/>
      <c r="I50" s="243"/>
      <c r="J50" s="243"/>
      <c r="K50" s="243"/>
      <c r="L50" s="243"/>
      <c r="M50" s="243"/>
      <c r="N50" s="244"/>
    </row>
    <row r="51" spans="1:17" x14ac:dyDescent="0.3">
      <c r="A51" s="157"/>
      <c r="B51" s="35" t="s">
        <v>81</v>
      </c>
      <c r="C51" s="35"/>
      <c r="D51" s="35"/>
      <c r="E51" s="243">
        <f>'9b. Summary Schedules-sf'!AC174</f>
        <v>0</v>
      </c>
      <c r="F51" s="243">
        <f>$E51*'11a. AF by class'!F47/'11a. AF by class'!$E47</f>
        <v>0</v>
      </c>
      <c r="G51" s="243">
        <f>$E51*'11a. AF by class'!G47/'11a. AF by class'!$E47</f>
        <v>0</v>
      </c>
      <c r="H51" s="243">
        <f>$E51*'11a. AF by class'!H47/'11a. AF by class'!$E47</f>
        <v>0</v>
      </c>
      <c r="I51" s="243">
        <f>$E51*'11a. AF by class'!I47/'11a. AF by class'!$E47</f>
        <v>0</v>
      </c>
      <c r="J51" s="243">
        <f>$E51*'11a. AF by class'!J47/'11a. AF by class'!$E47</f>
        <v>0</v>
      </c>
      <c r="K51" s="243">
        <f>$E51*'11a. AF by class'!K47/'11a. AF by class'!$E47</f>
        <v>0</v>
      </c>
      <c r="L51" s="243">
        <f>$E51*'11a. AF by class'!L47/'11a. AF by class'!$E47</f>
        <v>0</v>
      </c>
      <c r="M51" s="243">
        <f>$E51*'11a. AF by class'!M47/'11a. AF by class'!$E47</f>
        <v>0</v>
      </c>
      <c r="N51" s="244">
        <f>$E51*'11a. AF by class'!N47/'11a. AF by class'!$E47</f>
        <v>0</v>
      </c>
      <c r="P51" s="32">
        <f>SUM(F51:O51)</f>
        <v>0</v>
      </c>
      <c r="Q51" s="32">
        <f>E51-P51</f>
        <v>0</v>
      </c>
    </row>
    <row r="52" spans="1:17" x14ac:dyDescent="0.3">
      <c r="A52" s="157"/>
      <c r="B52" s="35" t="s">
        <v>1007</v>
      </c>
      <c r="C52" s="35"/>
      <c r="D52" s="35"/>
      <c r="E52" s="243">
        <f>'9b. Summary Schedules-sf'!AD174</f>
        <v>0</v>
      </c>
      <c r="F52" s="243">
        <f>$E52*'11a. AF by class'!F48/'11a. AF by class'!$E48</f>
        <v>0</v>
      </c>
      <c r="G52" s="243">
        <f>$E52*'11a. AF by class'!G48/'11a. AF by class'!$E48</f>
        <v>0</v>
      </c>
      <c r="H52" s="243">
        <f>$E52*'11a. AF by class'!H48/'11a. AF by class'!$E48</f>
        <v>0</v>
      </c>
      <c r="I52" s="243">
        <f>$E52*'11a. AF by class'!I48/'11a. AF by class'!$E48</f>
        <v>0</v>
      </c>
      <c r="J52" s="243">
        <f>$E52*'11a. AF by class'!J48/'11a. AF by class'!$E48</f>
        <v>0</v>
      </c>
      <c r="K52" s="243">
        <f>$E52*'11a. AF by class'!K48/'11a. AF by class'!$E48</f>
        <v>0</v>
      </c>
      <c r="L52" s="243">
        <f>$E52*'11a. AF by class'!L48/'11a. AF by class'!$E48</f>
        <v>0</v>
      </c>
      <c r="M52" s="243">
        <f>$E52*'11a. AF by class'!M48/'11a. AF by class'!$E48</f>
        <v>0</v>
      </c>
      <c r="N52" s="244">
        <f>$E52*'11a. AF by class'!N48/'11a. AF by class'!$E48</f>
        <v>0</v>
      </c>
      <c r="P52" s="32">
        <f>SUM(F52:O52)</f>
        <v>0</v>
      </c>
      <c r="Q52" s="32">
        <f>E52-P52</f>
        <v>0</v>
      </c>
    </row>
    <row r="53" spans="1:17" x14ac:dyDescent="0.3">
      <c r="A53" s="157"/>
      <c r="B53" s="35" t="s">
        <v>1008</v>
      </c>
      <c r="C53" s="35"/>
      <c r="D53" s="35"/>
      <c r="E53" s="580">
        <f>'9b. Summary Schedules-sf'!AE174</f>
        <v>0</v>
      </c>
      <c r="F53" s="580">
        <f>$E53*'11a. AF by class'!F49/'11a. AF by class'!$E49</f>
        <v>0</v>
      </c>
      <c r="G53" s="580">
        <f>$E53*'11a. AF by class'!G49/'11a. AF by class'!$E49</f>
        <v>0</v>
      </c>
      <c r="H53" s="580">
        <f>$E53*'11a. AF by class'!H49/'11a. AF by class'!$E49</f>
        <v>0</v>
      </c>
      <c r="I53" s="580">
        <f>$E53*'11a. AF by class'!I49/'11a. AF by class'!$E49</f>
        <v>0</v>
      </c>
      <c r="J53" s="580">
        <f>$E53*'11a. AF by class'!J49/'11a. AF by class'!$E49</f>
        <v>0</v>
      </c>
      <c r="K53" s="580">
        <f>$E53*'11a. AF by class'!K49/'11a. AF by class'!$E49</f>
        <v>0</v>
      </c>
      <c r="L53" s="580">
        <f>$E53*'11a. AF by class'!L49/'11a. AF by class'!$E49</f>
        <v>0</v>
      </c>
      <c r="M53" s="580">
        <f>$E53*'11a. AF by class'!M49/'11a. AF by class'!$E49</f>
        <v>0</v>
      </c>
      <c r="N53" s="600">
        <f>$E53*'11a. AF by class'!N49/'11a. AF by class'!$E49</f>
        <v>0</v>
      </c>
      <c r="P53" s="32">
        <f>SUM(F53:O53)</f>
        <v>0</v>
      </c>
      <c r="Q53" s="32">
        <f>E53-P53</f>
        <v>0</v>
      </c>
    </row>
    <row r="54" spans="1:17" x14ac:dyDescent="0.3">
      <c r="A54" s="157"/>
      <c r="B54" s="35" t="s">
        <v>83</v>
      </c>
      <c r="C54" s="35"/>
      <c r="D54" s="35"/>
      <c r="E54" s="243">
        <f t="shared" ref="E54:N54" si="8">SUM(E51:E53)</f>
        <v>0</v>
      </c>
      <c r="F54" s="243">
        <f t="shared" si="8"/>
        <v>0</v>
      </c>
      <c r="G54" s="243">
        <f t="shared" si="8"/>
        <v>0</v>
      </c>
      <c r="H54" s="243">
        <f t="shared" si="8"/>
        <v>0</v>
      </c>
      <c r="I54" s="243">
        <f t="shared" si="8"/>
        <v>0</v>
      </c>
      <c r="J54" s="243">
        <f t="shared" si="8"/>
        <v>0</v>
      </c>
      <c r="K54" s="243">
        <f t="shared" si="8"/>
        <v>0</v>
      </c>
      <c r="L54" s="243">
        <f t="shared" si="8"/>
        <v>0</v>
      </c>
      <c r="M54" s="243">
        <f t="shared" si="8"/>
        <v>0</v>
      </c>
      <c r="N54" s="244">
        <f t="shared" si="8"/>
        <v>0</v>
      </c>
      <c r="P54" s="32">
        <f>SUM(F54:O54)</f>
        <v>0</v>
      </c>
      <c r="Q54" s="32">
        <f>E54-P54</f>
        <v>0</v>
      </c>
    </row>
    <row r="55" spans="1:17" x14ac:dyDescent="0.3">
      <c r="A55" s="157"/>
      <c r="B55" s="35"/>
      <c r="C55" s="35"/>
      <c r="D55" s="35"/>
      <c r="E55" s="243"/>
      <c r="F55" s="243"/>
      <c r="G55" s="243"/>
      <c r="H55" s="243"/>
      <c r="I55" s="243"/>
      <c r="J55" s="243"/>
      <c r="K55" s="243"/>
      <c r="L55" s="243"/>
      <c r="M55" s="243"/>
      <c r="N55" s="244"/>
    </row>
    <row r="56" spans="1:17" x14ac:dyDescent="0.3">
      <c r="A56" s="157" t="s">
        <v>912</v>
      </c>
      <c r="B56" s="35"/>
      <c r="C56" s="35"/>
      <c r="D56" s="53"/>
      <c r="E56" s="243"/>
      <c r="F56" s="243"/>
      <c r="G56" s="243"/>
      <c r="H56" s="243"/>
      <c r="I56" s="243"/>
      <c r="J56" s="243"/>
      <c r="K56" s="243"/>
      <c r="L56" s="243"/>
      <c r="M56" s="243"/>
      <c r="N56" s="244"/>
    </row>
    <row r="57" spans="1:17" x14ac:dyDescent="0.3">
      <c r="A57" s="157"/>
      <c r="B57" s="35" t="s">
        <v>1006</v>
      </c>
      <c r="C57" s="35"/>
      <c r="D57" s="53"/>
      <c r="E57" s="580">
        <f>'9b. Summary Schedules-sf'!AG174</f>
        <v>0</v>
      </c>
      <c r="F57" s="580">
        <f>$E57*'11a. AF by class'!F53/'11a. AF by class'!$E53</f>
        <v>0</v>
      </c>
      <c r="G57" s="580">
        <f>$E57*'11a. AF by class'!G53/'11a. AF by class'!$E53</f>
        <v>0</v>
      </c>
      <c r="H57" s="580">
        <f>$E57*'11a. AF by class'!H53/'11a. AF by class'!$E53</f>
        <v>0</v>
      </c>
      <c r="I57" s="580">
        <f>$E57*'11a. AF by class'!I53/'11a. AF by class'!$E53</f>
        <v>0</v>
      </c>
      <c r="J57" s="580">
        <f>$E57*'11a. AF by class'!J53/'11a. AF by class'!$E53</f>
        <v>0</v>
      </c>
      <c r="K57" s="580">
        <f>$E57*'11a. AF by class'!K53/'11a. AF by class'!$E53</f>
        <v>0</v>
      </c>
      <c r="L57" s="580">
        <f>$E57*'11a. AF by class'!L53/'11a. AF by class'!$E53</f>
        <v>0</v>
      </c>
      <c r="M57" s="580">
        <f>$E57*'11a. AF by class'!M53/'11a. AF by class'!$E53</f>
        <v>0</v>
      </c>
      <c r="N57" s="600">
        <f>$E57*'11a. AF by class'!N53/'11a. AF by class'!$E53</f>
        <v>0</v>
      </c>
      <c r="P57" s="32">
        <f>SUM(F57:O57)</f>
        <v>0</v>
      </c>
      <c r="Q57" s="32">
        <f>E57-P57</f>
        <v>0</v>
      </c>
    </row>
    <row r="58" spans="1:17" x14ac:dyDescent="0.3">
      <c r="A58" s="157"/>
      <c r="B58" s="35" t="s">
        <v>1014</v>
      </c>
      <c r="C58" s="35"/>
      <c r="D58" s="53"/>
      <c r="E58" s="243">
        <f t="shared" ref="E58:N58" si="9">SUM(E57:E57)</f>
        <v>0</v>
      </c>
      <c r="F58" s="243">
        <f t="shared" si="9"/>
        <v>0</v>
      </c>
      <c r="G58" s="243">
        <f t="shared" si="9"/>
        <v>0</v>
      </c>
      <c r="H58" s="243">
        <f t="shared" si="9"/>
        <v>0</v>
      </c>
      <c r="I58" s="243">
        <f t="shared" si="9"/>
        <v>0</v>
      </c>
      <c r="J58" s="243">
        <f t="shared" si="9"/>
        <v>0</v>
      </c>
      <c r="K58" s="243">
        <f t="shared" si="9"/>
        <v>0</v>
      </c>
      <c r="L58" s="243">
        <f t="shared" si="9"/>
        <v>0</v>
      </c>
      <c r="M58" s="243">
        <f t="shared" si="9"/>
        <v>0</v>
      </c>
      <c r="N58" s="244">
        <f t="shared" si="9"/>
        <v>0</v>
      </c>
      <c r="P58" s="32">
        <f>SUM(F58:O58)</f>
        <v>0</v>
      </c>
      <c r="Q58" s="32">
        <f>E58-P58</f>
        <v>0</v>
      </c>
    </row>
    <row r="59" spans="1:17" x14ac:dyDescent="0.3">
      <c r="A59" s="157"/>
      <c r="B59" s="35"/>
      <c r="C59" s="35"/>
      <c r="D59" s="35"/>
      <c r="E59" s="243"/>
      <c r="F59" s="243"/>
      <c r="G59" s="243"/>
      <c r="H59" s="243"/>
      <c r="I59" s="243"/>
      <c r="J59" s="243"/>
      <c r="K59" s="243"/>
      <c r="L59" s="243"/>
      <c r="M59" s="243"/>
      <c r="N59" s="244"/>
    </row>
    <row r="60" spans="1:17" x14ac:dyDescent="0.3">
      <c r="A60" s="157" t="s">
        <v>913</v>
      </c>
      <c r="B60" s="35"/>
      <c r="C60" s="35"/>
      <c r="D60" s="35"/>
      <c r="E60" s="243">
        <f>'9b. Summary Schedules-sf'!AH174</f>
        <v>0</v>
      </c>
      <c r="F60" s="243">
        <f>$E60*'11a. AF by class'!F56/'11a. AF by class'!$E56</f>
        <v>0</v>
      </c>
      <c r="G60" s="243">
        <f>$E60*'11a. AF by class'!G56/'11a. AF by class'!$E56</f>
        <v>0</v>
      </c>
      <c r="H60" s="243">
        <f>$E60*'11a. AF by class'!H56/'11a. AF by class'!$E56</f>
        <v>0</v>
      </c>
      <c r="I60" s="243">
        <f>$E60*'11a. AF by class'!I56/'11a. AF by class'!$E56</f>
        <v>0</v>
      </c>
      <c r="J60" s="243">
        <f>$E60*'11a. AF by class'!J56/'11a. AF by class'!$E56</f>
        <v>0</v>
      </c>
      <c r="K60" s="243">
        <f>$E60*'11a. AF by class'!K56/'11a. AF by class'!$E56</f>
        <v>0</v>
      </c>
      <c r="L60" s="243">
        <f>$E60*'11a. AF by class'!L56/'11a. AF by class'!$E56</f>
        <v>0</v>
      </c>
      <c r="M60" s="243">
        <f>$E60*'11a. AF by class'!M56/'11a. AF by class'!$E56</f>
        <v>0</v>
      </c>
      <c r="N60" s="244">
        <f>$E60*'11a. AF by class'!N56/'11a. AF by class'!$E56</f>
        <v>0</v>
      </c>
      <c r="P60" s="32">
        <f>SUM(F60:O60)</f>
        <v>0</v>
      </c>
      <c r="Q60" s="32">
        <f>E60-P60</f>
        <v>0</v>
      </c>
    </row>
    <row r="61" spans="1:17" x14ac:dyDescent="0.3">
      <c r="A61" s="157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158"/>
    </row>
    <row r="62" spans="1:17" x14ac:dyDescent="0.3">
      <c r="A62" s="157" t="s">
        <v>1015</v>
      </c>
      <c r="B62" s="35"/>
      <c r="C62" s="35"/>
      <c r="D62" s="35"/>
      <c r="E62" s="35">
        <f>SUM(E18,E20,E22,E41,E46,E48,E54,E58,E60)</f>
        <v>317042422.25951999</v>
      </c>
      <c r="F62" s="35">
        <f t="shared" ref="F62:N62" si="10">SUM(F18,F20,F22,F41,F46,F48,F54,F58,F60)</f>
        <v>107421713.86848</v>
      </c>
      <c r="G62" s="35">
        <f t="shared" si="10"/>
        <v>28825521.628799997</v>
      </c>
      <c r="H62" s="35">
        <f t="shared" si="10"/>
        <v>70063329.299280003</v>
      </c>
      <c r="I62" s="35">
        <f t="shared" si="10"/>
        <v>45497176.394640006</v>
      </c>
      <c r="J62" s="35">
        <f t="shared" si="10"/>
        <v>22019527.455839999</v>
      </c>
      <c r="K62" s="35">
        <f t="shared" si="10"/>
        <v>35258916.896640003</v>
      </c>
      <c r="L62" s="35">
        <f t="shared" si="10"/>
        <v>6599622.8495999994</v>
      </c>
      <c r="M62" s="35">
        <f t="shared" si="10"/>
        <v>61796.675520000004</v>
      </c>
      <c r="N62" s="158">
        <f t="shared" si="10"/>
        <v>1294817.1907200001</v>
      </c>
      <c r="P62" s="32">
        <f>SUM(F62:O62)</f>
        <v>317042422.25952005</v>
      </c>
      <c r="Q62" s="32">
        <f>E62-P62</f>
        <v>0</v>
      </c>
    </row>
    <row r="63" spans="1:17" ht="13.5" thickBot="1" x14ac:dyDescent="0.35">
      <c r="A63" s="33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161"/>
    </row>
    <row r="71" spans="4:4" x14ac:dyDescent="0.3">
      <c r="D71" s="16"/>
    </row>
    <row r="72" spans="4:4" x14ac:dyDescent="0.3">
      <c r="D72" s="16"/>
    </row>
    <row r="73" spans="4:4" x14ac:dyDescent="0.3">
      <c r="D73" s="16"/>
    </row>
    <row r="74" spans="4:4" x14ac:dyDescent="0.3">
      <c r="D74" s="16"/>
    </row>
    <row r="75" spans="4:4" x14ac:dyDescent="0.3">
      <c r="D75" s="16"/>
    </row>
    <row r="76" spans="4:4" x14ac:dyDescent="0.3">
      <c r="D76" s="16"/>
    </row>
    <row r="77" spans="4:4" x14ac:dyDescent="0.3">
      <c r="D77" s="16"/>
    </row>
    <row r="78" spans="4:4" x14ac:dyDescent="0.3">
      <c r="D78" s="16"/>
    </row>
    <row r="79" spans="4:4" x14ac:dyDescent="0.3">
      <c r="D79" s="16"/>
    </row>
    <row r="80" spans="4:4" x14ac:dyDescent="0.3">
      <c r="D80" s="16"/>
    </row>
    <row r="81" spans="4:4" x14ac:dyDescent="0.3">
      <c r="D81" s="16"/>
    </row>
  </sheetData>
  <customSheetViews>
    <customSheetView guid="{121E4431-22F3-11D5-8242-00600818425F}" scale="75" showRuler="0">
      <pane xSplit="2" ySplit="7" topLeftCell="C8" activePane="bottomRight" state="frozen"/>
      <selection pane="bottomRight" activeCell="E11" sqref="E11"/>
      <pageMargins left="0" right="0" top="0.5" bottom="0.4" header="0.2" footer="0.2"/>
      <printOptions horizontalCentered="1" gridLines="1"/>
      <pageSetup scale="65" orientation="landscape" horizontalDpi="300" vertic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showRuler="0">
      <pane xSplit="2" ySplit="7" topLeftCell="C8" activePane="bottomRight" state="frozen"/>
      <selection pane="bottomRight" activeCell="E11" sqref="E11"/>
      <pageMargins left="0" right="0" top="0.5" bottom="0.4" header="0.2" footer="0.2"/>
      <printOptions horizontalCentered="1" gridLines="1"/>
      <pageSetup scale="65" orientation="landscape" horizontalDpi="300" vertic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showRuler="0">
      <pane xSplit="2" ySplit="7" topLeftCell="C8" activePane="bottomRight" state="frozen"/>
      <selection pane="bottomRight" activeCell="E11" sqref="E11"/>
      <pageMargins left="0" right="0" top="0.5" bottom="0.4" header="0.2" footer="0.2"/>
      <printOptions horizontalCentered="1" gridLines="1"/>
      <pageSetup scale="65" orientation="landscape" horizontalDpi="300" verticalDpi="30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65" orientation="landscape" horizontalDpi="300" verticalDpi="300" r:id="rId4"/>
  <headerFooter alignWithMargins="0">
    <oddFooter>&amp;L&amp;8&amp;F&amp;C&amp;8&amp;A
page &amp;P&amp;R&amp;8&amp;D
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81"/>
  <sheetViews>
    <sheetView zoomScale="75" zoomScaleNormal="75" workbookViewId="0">
      <pane xSplit="2" ySplit="7" topLeftCell="C8" activePane="bottomRight" state="frozen"/>
      <selection activeCell="C9" sqref="C9"/>
      <selection pane="topRight" activeCell="C9" sqref="C9"/>
      <selection pane="bottomLeft" activeCell="C9" sqref="C9"/>
      <selection pane="bottomRight" activeCell="E11" sqref="E11:Q13"/>
    </sheetView>
  </sheetViews>
  <sheetFormatPr defaultColWidth="9.1796875" defaultRowHeight="13" x14ac:dyDescent="0.3"/>
  <cols>
    <col min="1" max="1" width="4.54296875" style="32" customWidth="1"/>
    <col min="2" max="2" width="32.1796875" style="32" customWidth="1"/>
    <col min="3" max="3" width="12.81640625" style="32" customWidth="1"/>
    <col min="4" max="4" width="11.453125" style="32" customWidth="1"/>
    <col min="5" max="8" width="15" style="32" customWidth="1"/>
    <col min="9" max="16" width="12.54296875" style="32" customWidth="1"/>
    <col min="17" max="17" width="12.453125" style="32" customWidth="1"/>
    <col min="18" max="18" width="13.81640625" style="32" customWidth="1"/>
    <col min="19" max="20" width="9.1796875" style="32"/>
    <col min="21" max="21" width="11.453125" style="32" bestFit="1" customWidth="1"/>
    <col min="22" max="22" width="8.54296875" style="32" bestFit="1" customWidth="1"/>
    <col min="23" max="16384" width="9.1796875" style="32"/>
  </cols>
  <sheetData>
    <row r="1" spans="1:54" x14ac:dyDescent="0.3">
      <c r="A1" s="301" t="str">
        <f>'1. RB-i'!$A$1</f>
        <v>CPS Energy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1"/>
      <c r="O1" s="42"/>
      <c r="P1" s="42"/>
      <c r="S1" s="1"/>
      <c r="T1" s="1"/>
    </row>
    <row r="2" spans="1:54" x14ac:dyDescent="0.3">
      <c r="A2" s="307" t="s">
        <v>1254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12"/>
      <c r="O2" s="35"/>
      <c r="P2" s="35"/>
    </row>
    <row r="3" spans="1:54" x14ac:dyDescent="0.3">
      <c r="A3" s="307" t="str">
        <f>'10d-1. Fuel by class'!A3</f>
        <v>Based on FYE 2017 Test Year</v>
      </c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12"/>
      <c r="O3" s="31"/>
      <c r="P3" s="31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</row>
    <row r="4" spans="1:54" s="5" customFormat="1" x14ac:dyDescent="0.3">
      <c r="A4" s="304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305"/>
    </row>
    <row r="5" spans="1:54" s="5" customFormat="1" x14ac:dyDescent="0.3">
      <c r="A5" s="304"/>
      <c r="B5" s="196"/>
      <c r="C5" s="196"/>
      <c r="D5" s="196"/>
      <c r="E5" s="196"/>
      <c r="F5" s="196"/>
      <c r="G5" s="196"/>
      <c r="H5" s="199"/>
      <c r="I5" s="199"/>
      <c r="J5" s="199"/>
      <c r="K5" s="196"/>
      <c r="L5" s="196"/>
      <c r="M5" s="196"/>
      <c r="N5" s="305"/>
      <c r="P5" s="5" t="s">
        <v>832</v>
      </c>
    </row>
    <row r="6" spans="1:54" s="5" customFormat="1" x14ac:dyDescent="0.3">
      <c r="A6" s="304"/>
      <c r="B6" s="196"/>
      <c r="C6" s="196" t="s">
        <v>359</v>
      </c>
      <c r="D6" s="196"/>
      <c r="E6" s="196" t="s">
        <v>355</v>
      </c>
      <c r="F6" s="196" t="s">
        <v>961</v>
      </c>
      <c r="G6" s="196" t="s">
        <v>962</v>
      </c>
      <c r="H6" s="196" t="s">
        <v>963</v>
      </c>
      <c r="I6" s="196" t="s">
        <v>964</v>
      </c>
      <c r="J6" s="196" t="s">
        <v>965</v>
      </c>
      <c r="K6" s="196" t="s">
        <v>966</v>
      </c>
      <c r="L6" s="196" t="s">
        <v>967</v>
      </c>
      <c r="M6" s="196" t="s">
        <v>968</v>
      </c>
      <c r="N6" s="305" t="s">
        <v>932</v>
      </c>
      <c r="P6" s="5" t="s">
        <v>833</v>
      </c>
      <c r="Q6" s="5" t="s">
        <v>824</v>
      </c>
    </row>
    <row r="7" spans="1:54" s="5" customFormat="1" ht="13.5" thickBot="1" x14ac:dyDescent="0.35">
      <c r="A7" s="299"/>
      <c r="B7" s="282"/>
      <c r="C7" s="282"/>
      <c r="D7" s="282"/>
      <c r="E7" s="282" t="s">
        <v>816</v>
      </c>
      <c r="F7" s="282" t="s">
        <v>817</v>
      </c>
      <c r="G7" s="282" t="s">
        <v>818</v>
      </c>
      <c r="H7" s="282" t="s">
        <v>819</v>
      </c>
      <c r="I7" s="282" t="s">
        <v>820</v>
      </c>
      <c r="J7" s="282" t="s">
        <v>821</v>
      </c>
      <c r="K7" s="282" t="s">
        <v>822</v>
      </c>
      <c r="L7" s="282" t="s">
        <v>823</v>
      </c>
      <c r="M7" s="282" t="s">
        <v>908</v>
      </c>
      <c r="N7" s="300" t="s">
        <v>914</v>
      </c>
    </row>
    <row r="8" spans="1:54" x14ac:dyDescent="0.3">
      <c r="A8" s="157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158"/>
      <c r="O8" s="35"/>
      <c r="P8" s="35"/>
    </row>
    <row r="9" spans="1:54" x14ac:dyDescent="0.3">
      <c r="A9" s="157" t="s">
        <v>544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158"/>
    </row>
    <row r="10" spans="1:54" x14ac:dyDescent="0.3">
      <c r="A10" s="157"/>
      <c r="B10" s="35" t="s">
        <v>969</v>
      </c>
      <c r="C10" s="35"/>
      <c r="D10" s="35"/>
      <c r="E10" s="243">
        <f>'9b. Summary Schedules-sf'!E196</f>
        <v>0</v>
      </c>
      <c r="F10" s="243">
        <f>$E10*'11a. AF by class'!F10/'11a. AF by class'!$E10</f>
        <v>0</v>
      </c>
      <c r="G10" s="243">
        <f>$E10*'11a. AF by class'!G10/'11a. AF by class'!$E10</f>
        <v>0</v>
      </c>
      <c r="H10" s="243">
        <f>$E10*'11a. AF by class'!H10/'11a. AF by class'!$E10</f>
        <v>0</v>
      </c>
      <c r="I10" s="243">
        <f>$E10*'11a. AF by class'!I10/'11a. AF by class'!$E10</f>
        <v>0</v>
      </c>
      <c r="J10" s="243">
        <f>$E10*'11a. AF by class'!J10/'11a. AF by class'!$E10</f>
        <v>0</v>
      </c>
      <c r="K10" s="243">
        <f>$E10*'11a. AF by class'!K10/'11a. AF by class'!$E10</f>
        <v>0</v>
      </c>
      <c r="L10" s="243">
        <f>$E10*'11a. AF by class'!L10/'11a. AF by class'!$E10</f>
        <v>0</v>
      </c>
      <c r="M10" s="243">
        <f>$E10*'11a. AF by class'!M10/'11a. AF by class'!$E10</f>
        <v>0</v>
      </c>
      <c r="N10" s="244">
        <f>$E10*'11a. AF by class'!N10/'11a. AF by class'!$E10</f>
        <v>0</v>
      </c>
      <c r="P10" s="32">
        <f>SUM(F10:O10)</f>
        <v>0</v>
      </c>
      <c r="Q10" s="32">
        <f>E10-P10</f>
        <v>0</v>
      </c>
    </row>
    <row r="11" spans="1:54" x14ac:dyDescent="0.3">
      <c r="A11" s="157"/>
      <c r="B11" s="35" t="s">
        <v>1140</v>
      </c>
      <c r="C11" s="35"/>
      <c r="D11" s="35"/>
      <c r="E11" s="642"/>
      <c r="F11" s="642"/>
      <c r="G11" s="642"/>
      <c r="H11" s="642"/>
      <c r="I11" s="642"/>
      <c r="J11" s="642"/>
      <c r="K11" s="642"/>
      <c r="L11" s="642"/>
      <c r="M11" s="642"/>
      <c r="N11" s="643"/>
      <c r="O11" s="644"/>
      <c r="P11" s="644"/>
      <c r="Q11" s="644"/>
      <c r="S11" s="16"/>
    </row>
    <row r="12" spans="1:54" x14ac:dyDescent="0.3">
      <c r="A12" s="157"/>
      <c r="B12" s="35" t="s">
        <v>1139</v>
      </c>
      <c r="C12" s="35"/>
      <c r="D12" s="35"/>
      <c r="E12" s="642"/>
      <c r="F12" s="642"/>
      <c r="G12" s="642"/>
      <c r="H12" s="642"/>
      <c r="I12" s="642"/>
      <c r="J12" s="642"/>
      <c r="K12" s="642"/>
      <c r="L12" s="642"/>
      <c r="M12" s="642"/>
      <c r="N12" s="643"/>
      <c r="O12" s="644"/>
      <c r="P12" s="644"/>
      <c r="Q12" s="644"/>
      <c r="S12" s="16"/>
    </row>
    <row r="13" spans="1:54" x14ac:dyDescent="0.3">
      <c r="A13" s="157"/>
      <c r="B13" s="35" t="s">
        <v>947</v>
      </c>
      <c r="C13" s="35"/>
      <c r="D13" s="35"/>
      <c r="E13" s="642"/>
      <c r="F13" s="642"/>
      <c r="G13" s="642"/>
      <c r="H13" s="642"/>
      <c r="I13" s="642"/>
      <c r="J13" s="642"/>
      <c r="K13" s="642"/>
      <c r="L13" s="642"/>
      <c r="M13" s="642"/>
      <c r="N13" s="643"/>
      <c r="O13" s="644"/>
      <c r="P13" s="644"/>
      <c r="Q13" s="644"/>
      <c r="S13" s="16"/>
    </row>
    <row r="14" spans="1:54" x14ac:dyDescent="0.3">
      <c r="A14" s="157"/>
      <c r="B14" s="35"/>
      <c r="C14" s="35"/>
      <c r="D14" s="35"/>
      <c r="E14" s="243"/>
      <c r="F14" s="243"/>
      <c r="G14" s="243"/>
      <c r="H14" s="243"/>
      <c r="I14" s="243"/>
      <c r="J14" s="243"/>
      <c r="K14" s="243"/>
      <c r="L14" s="243"/>
      <c r="M14" s="243"/>
      <c r="N14" s="244"/>
      <c r="S14" s="16"/>
    </row>
    <row r="15" spans="1:54" x14ac:dyDescent="0.3">
      <c r="A15" s="157"/>
      <c r="B15" s="35" t="s">
        <v>970</v>
      </c>
      <c r="C15" s="35"/>
      <c r="D15" s="35"/>
      <c r="E15" s="243">
        <f>'9b. Summary Schedules-sf'!I196</f>
        <v>0</v>
      </c>
      <c r="F15" s="243">
        <f>$E15*'11a. AF by class'!F11/'11a. AF by class'!$E11</f>
        <v>0</v>
      </c>
      <c r="G15" s="243">
        <f>$E15*'11a. AF by class'!G11/'11a. AF by class'!$E11</f>
        <v>0</v>
      </c>
      <c r="H15" s="243">
        <f>$E15*'11a. AF by class'!H11/'11a. AF by class'!$E11</f>
        <v>0</v>
      </c>
      <c r="I15" s="243">
        <f>$E15*'11a. AF by class'!I11/'11a. AF by class'!$E11</f>
        <v>0</v>
      </c>
      <c r="J15" s="243">
        <f>$E15*'11a. AF by class'!J11/'11a. AF by class'!$E11</f>
        <v>0</v>
      </c>
      <c r="K15" s="243">
        <f>$E15*'11a. AF by class'!K11/'11a. AF by class'!$E11</f>
        <v>0</v>
      </c>
      <c r="L15" s="243">
        <f>$E15*'11a. AF by class'!L11/'11a. AF by class'!$E11</f>
        <v>0</v>
      </c>
      <c r="M15" s="243">
        <f>$E15*'11a. AF by class'!M11/'11a. AF by class'!$E11</f>
        <v>0</v>
      </c>
      <c r="N15" s="244">
        <f>$E15*'11a. AF by class'!N11/'11a. AF by class'!$E11</f>
        <v>0</v>
      </c>
      <c r="P15" s="32">
        <f>SUM(F15:O15)</f>
        <v>0</v>
      </c>
      <c r="Q15" s="32">
        <f>E15-P15</f>
        <v>0</v>
      </c>
    </row>
    <row r="16" spans="1:54" x14ac:dyDescent="0.3">
      <c r="A16" s="157"/>
      <c r="B16" s="35" t="s">
        <v>971</v>
      </c>
      <c r="C16" s="35"/>
      <c r="D16" s="35"/>
      <c r="E16" s="35">
        <f>E10+E15</f>
        <v>0</v>
      </c>
      <c r="F16" s="35">
        <f t="shared" ref="F16:P16" si="0">F10+F15</f>
        <v>0</v>
      </c>
      <c r="G16" s="35">
        <f t="shared" si="0"/>
        <v>0</v>
      </c>
      <c r="H16" s="35">
        <f t="shared" si="0"/>
        <v>0</v>
      </c>
      <c r="I16" s="35">
        <f t="shared" si="0"/>
        <v>0</v>
      </c>
      <c r="J16" s="35">
        <f t="shared" si="0"/>
        <v>0</v>
      </c>
      <c r="K16" s="35">
        <f t="shared" si="0"/>
        <v>0</v>
      </c>
      <c r="L16" s="35">
        <f t="shared" si="0"/>
        <v>0</v>
      </c>
      <c r="M16" s="35">
        <f t="shared" si="0"/>
        <v>0</v>
      </c>
      <c r="N16" s="158">
        <f t="shared" si="0"/>
        <v>0</v>
      </c>
      <c r="O16" s="35"/>
      <c r="P16" s="35">
        <f t="shared" si="0"/>
        <v>0</v>
      </c>
      <c r="Q16" s="32">
        <f>E16-P16</f>
        <v>0</v>
      </c>
    </row>
    <row r="17" spans="1:17" x14ac:dyDescent="0.3">
      <c r="A17" s="157"/>
      <c r="B17" s="35" t="s">
        <v>617</v>
      </c>
      <c r="C17" s="35" t="s">
        <v>980</v>
      </c>
      <c r="D17" s="35"/>
      <c r="E17" s="243">
        <f>'9b. Summary Schedules-sf'!J196</f>
        <v>0</v>
      </c>
      <c r="F17" s="243">
        <f>$E17*'11a. AF by class'!F13/'11a. AF by class'!$E13</f>
        <v>0</v>
      </c>
      <c r="G17" s="243">
        <f>$E17*'11a. AF by class'!G13/'11a. AF by class'!$E13</f>
        <v>0</v>
      </c>
      <c r="H17" s="243">
        <f>$E17*'11a. AF by class'!H13/'11a. AF by class'!$E13</f>
        <v>0</v>
      </c>
      <c r="I17" s="243">
        <f>$E17*'11a. AF by class'!I13/'11a. AF by class'!$E13</f>
        <v>0</v>
      </c>
      <c r="J17" s="243">
        <f>$E17*'11a. AF by class'!J13/'11a. AF by class'!$E13</f>
        <v>0</v>
      </c>
      <c r="K17" s="243">
        <f>$E17*'11a. AF by class'!K13/'11a. AF by class'!$E13</f>
        <v>0</v>
      </c>
      <c r="L17" s="243">
        <f>$E17*'11a. AF by class'!L13/'11a. AF by class'!$E13</f>
        <v>0</v>
      </c>
      <c r="M17" s="243">
        <f>$E17*'11a. AF by class'!M13/'11a. AF by class'!$E13</f>
        <v>0</v>
      </c>
      <c r="N17" s="244">
        <f>$E17*'11a. AF by class'!N13/'11a. AF by class'!$E13</f>
        <v>0</v>
      </c>
      <c r="P17" s="32">
        <f>SUM(F17:O17)</f>
        <v>0</v>
      </c>
      <c r="Q17" s="32">
        <f>E17-P17</f>
        <v>0</v>
      </c>
    </row>
    <row r="18" spans="1:17" x14ac:dyDescent="0.3">
      <c r="A18" s="157"/>
      <c r="B18" s="35" t="s">
        <v>972</v>
      </c>
      <c r="C18" s="35"/>
      <c r="D18" s="35"/>
      <c r="E18" s="243">
        <f t="shared" ref="E18:N18" si="1">SUM(E16:E17)</f>
        <v>0</v>
      </c>
      <c r="F18" s="243">
        <f t="shared" si="1"/>
        <v>0</v>
      </c>
      <c r="G18" s="243">
        <f t="shared" si="1"/>
        <v>0</v>
      </c>
      <c r="H18" s="243">
        <f t="shared" si="1"/>
        <v>0</v>
      </c>
      <c r="I18" s="243">
        <f t="shared" si="1"/>
        <v>0</v>
      </c>
      <c r="J18" s="243">
        <f t="shared" si="1"/>
        <v>0</v>
      </c>
      <c r="K18" s="243">
        <f t="shared" si="1"/>
        <v>0</v>
      </c>
      <c r="L18" s="243">
        <f t="shared" si="1"/>
        <v>0</v>
      </c>
      <c r="M18" s="243">
        <f t="shared" si="1"/>
        <v>0</v>
      </c>
      <c r="N18" s="244">
        <f t="shared" si="1"/>
        <v>0</v>
      </c>
      <c r="P18" s="32">
        <f>SUM(F18:O18)</f>
        <v>0</v>
      </c>
      <c r="Q18" s="32">
        <f>E18-P18</f>
        <v>0</v>
      </c>
    </row>
    <row r="19" spans="1:17" x14ac:dyDescent="0.3">
      <c r="A19" s="157"/>
      <c r="B19" s="35"/>
      <c r="C19" s="35"/>
      <c r="D19" s="35"/>
      <c r="E19" s="243"/>
      <c r="F19" s="243"/>
      <c r="G19" s="243"/>
      <c r="H19" s="243"/>
      <c r="I19" s="243"/>
      <c r="J19" s="243"/>
      <c r="K19" s="243"/>
      <c r="L19" s="243"/>
      <c r="M19" s="243"/>
      <c r="N19" s="244"/>
    </row>
    <row r="20" spans="1:17" x14ac:dyDescent="0.3">
      <c r="A20" s="157" t="s">
        <v>984</v>
      </c>
      <c r="B20" s="35"/>
      <c r="C20" s="35"/>
      <c r="D20" s="35"/>
      <c r="E20" s="243">
        <f>'9b. Summary Schedules-sf'!K196</f>
        <v>0</v>
      </c>
      <c r="F20" s="243">
        <f>$E20*'11a. AF by class'!F16/'11a. AF by class'!$E16</f>
        <v>0</v>
      </c>
      <c r="G20" s="243">
        <f>$E20*'11a. AF by class'!G16/'11a. AF by class'!$E16</f>
        <v>0</v>
      </c>
      <c r="H20" s="243">
        <f>$E20*'11a. AF by class'!H16/'11a. AF by class'!$E16</f>
        <v>0</v>
      </c>
      <c r="I20" s="243">
        <f>$E20*'11a. AF by class'!I16/'11a. AF by class'!$E16</f>
        <v>0</v>
      </c>
      <c r="J20" s="243">
        <f>$E20*'11a. AF by class'!J16/'11a. AF by class'!$E16</f>
        <v>0</v>
      </c>
      <c r="K20" s="243">
        <f>$E20*'11a. AF by class'!K16/'11a. AF by class'!$E16</f>
        <v>0</v>
      </c>
      <c r="L20" s="243">
        <f>$E20*'11a. AF by class'!L16/'11a. AF by class'!$E16</f>
        <v>0</v>
      </c>
      <c r="M20" s="243">
        <f>$E20*'11a. AF by class'!M16/'11a. AF by class'!$E16</f>
        <v>0</v>
      </c>
      <c r="N20" s="244">
        <f>$E20*'11a. AF by class'!N16/'11a. AF by class'!$E16</f>
        <v>0</v>
      </c>
      <c r="P20" s="32">
        <f>SUM(F20:O20)</f>
        <v>0</v>
      </c>
      <c r="Q20" s="32">
        <f>E20-P20</f>
        <v>0</v>
      </c>
    </row>
    <row r="21" spans="1:17" x14ac:dyDescent="0.3">
      <c r="A21" s="157"/>
      <c r="B21" s="35"/>
      <c r="C21" s="35"/>
      <c r="D21" s="35"/>
      <c r="E21" s="243"/>
      <c r="F21" s="243"/>
      <c r="G21" s="243"/>
      <c r="H21" s="243"/>
      <c r="I21" s="243"/>
      <c r="J21" s="243"/>
      <c r="K21" s="243"/>
      <c r="L21" s="243"/>
      <c r="M21" s="243"/>
      <c r="N21" s="244"/>
    </row>
    <row r="22" spans="1:17" x14ac:dyDescent="0.3">
      <c r="A22" s="157" t="s">
        <v>366</v>
      </c>
      <c r="B22" s="35"/>
      <c r="C22" s="35"/>
      <c r="D22" s="35"/>
      <c r="E22" s="243">
        <f>'9b. Summary Schedules-sf'!L196</f>
        <v>60215752.567019694</v>
      </c>
      <c r="F22" s="243">
        <f>$E22*'11a. AF by class'!F18/'11a. AF by class'!$E18</f>
        <v>25380620.402390152</v>
      </c>
      <c r="G22" s="243">
        <f>$E22*'11a. AF by class'!G18/'11a. AF by class'!$E18</f>
        <v>5760957.4634842165</v>
      </c>
      <c r="H22" s="243">
        <f>$E22*'11a. AF by class'!H18/'11a. AF by class'!$E18</f>
        <v>11937679.299332533</v>
      </c>
      <c r="I22" s="243">
        <f>$E22*'11a. AF by class'!I18/'11a. AF by class'!$E18</f>
        <v>8014757.3898473149</v>
      </c>
      <c r="J22" s="243">
        <f>$E22*'11a. AF by class'!J18/'11a. AF by class'!$E18</f>
        <v>3176962.7345390208</v>
      </c>
      <c r="K22" s="243">
        <f>$E22*'11a. AF by class'!K18/'11a. AF by class'!$E18</f>
        <v>4678116.9289494818</v>
      </c>
      <c r="L22" s="243">
        <f>$E22*'11a. AF by class'!L18/'11a. AF by class'!$E18</f>
        <v>1260126.717192736</v>
      </c>
      <c r="M22" s="243">
        <f>$E22*'11a. AF by class'!M18/'11a. AF by class'!$E18</f>
        <v>6531.631284224788</v>
      </c>
      <c r="N22" s="244">
        <f>$E22*'11a. AF by class'!N18/'11a. AF by class'!$E18</f>
        <v>0</v>
      </c>
      <c r="P22" s="32">
        <f>SUM(F22:O22)</f>
        <v>60215752.567019679</v>
      </c>
      <c r="Q22" s="32">
        <f>E22-P22</f>
        <v>0</v>
      </c>
    </row>
    <row r="23" spans="1:17" x14ac:dyDescent="0.3">
      <c r="A23" s="157"/>
      <c r="B23" s="35"/>
      <c r="C23" s="35"/>
      <c r="D23" s="35"/>
      <c r="E23" s="243"/>
      <c r="F23" s="243"/>
      <c r="G23" s="243"/>
      <c r="H23" s="243"/>
      <c r="I23" s="243"/>
      <c r="J23" s="243"/>
      <c r="K23" s="243"/>
      <c r="L23" s="243"/>
      <c r="M23" s="243"/>
      <c r="N23" s="244"/>
    </row>
    <row r="24" spans="1:17" x14ac:dyDescent="0.3">
      <c r="A24" s="157" t="s">
        <v>367</v>
      </c>
      <c r="B24" s="35"/>
      <c r="C24" s="35"/>
      <c r="D24" s="35"/>
      <c r="E24" s="243"/>
      <c r="F24" s="243"/>
      <c r="G24" s="243"/>
      <c r="H24" s="243"/>
      <c r="I24" s="243"/>
      <c r="J24" s="243"/>
      <c r="K24" s="243"/>
      <c r="L24" s="243"/>
      <c r="M24" s="243"/>
      <c r="N24" s="244"/>
    </row>
    <row r="25" spans="1:17" x14ac:dyDescent="0.3">
      <c r="A25" s="157"/>
      <c r="B25" s="35" t="s">
        <v>973</v>
      </c>
      <c r="C25" s="35"/>
      <c r="D25" s="35"/>
      <c r="E25" s="243"/>
      <c r="F25" s="243"/>
      <c r="G25" s="243"/>
      <c r="H25" s="243"/>
      <c r="I25" s="243"/>
      <c r="J25" s="243"/>
      <c r="K25" s="243"/>
      <c r="L25" s="243"/>
      <c r="M25" s="243"/>
      <c r="N25" s="244"/>
    </row>
    <row r="26" spans="1:17" x14ac:dyDescent="0.3">
      <c r="A26" s="157"/>
      <c r="B26" s="159" t="s">
        <v>974</v>
      </c>
      <c r="C26" s="35"/>
      <c r="D26" s="35"/>
      <c r="E26" s="243">
        <f>'9b. Summary Schedules-sf'!N196</f>
        <v>0</v>
      </c>
      <c r="F26" s="243">
        <f>$E26*'11a. AF by class'!F22/'11a. AF by class'!$E22</f>
        <v>0</v>
      </c>
      <c r="G26" s="243">
        <f>$E26*'11a. AF by class'!G22/'11a. AF by class'!$E22</f>
        <v>0</v>
      </c>
      <c r="H26" s="243">
        <f>$E26*'11a. AF by class'!H22/'11a. AF by class'!$E22</f>
        <v>0</v>
      </c>
      <c r="I26" s="243">
        <f>$E26*'11a. AF by class'!I22/'11a. AF by class'!$E22</f>
        <v>0</v>
      </c>
      <c r="J26" s="243">
        <f>$E26*'11a. AF by class'!J22/'11a. AF by class'!$E22</f>
        <v>0</v>
      </c>
      <c r="K26" s="243">
        <f>$E26*'11a. AF by class'!K22/'11a. AF by class'!$E22</f>
        <v>0</v>
      </c>
      <c r="L26" s="243">
        <f>$E26*'11a. AF by class'!L22/'11a. AF by class'!$E22</f>
        <v>0</v>
      </c>
      <c r="M26" s="243">
        <f>$E26*'11a. AF by class'!M22/'11a. AF by class'!$E22</f>
        <v>0</v>
      </c>
      <c r="N26" s="244">
        <f>$E26*'11a. AF by class'!N22/'11a. AF by class'!$E22</f>
        <v>0</v>
      </c>
      <c r="P26" s="32">
        <f>SUM(F26:O26)</f>
        <v>0</v>
      </c>
      <c r="Q26" s="32">
        <f>E26-P26</f>
        <v>0</v>
      </c>
    </row>
    <row r="27" spans="1:17" x14ac:dyDescent="0.3">
      <c r="A27" s="157"/>
      <c r="B27" s="159" t="s">
        <v>975</v>
      </c>
      <c r="C27" s="35"/>
      <c r="D27" s="35"/>
      <c r="E27" s="243">
        <f>'9b. Summary Schedules-sf'!O196</f>
        <v>0</v>
      </c>
      <c r="F27" s="243">
        <f>$E27*'11a. AF by class'!F23/'11a. AF by class'!$E23</f>
        <v>0</v>
      </c>
      <c r="G27" s="243">
        <f>$E27*'11a. AF by class'!G23/'11a. AF by class'!$E23</f>
        <v>0</v>
      </c>
      <c r="H27" s="243">
        <f>$E27*'11a. AF by class'!H23/'11a. AF by class'!$E23</f>
        <v>0</v>
      </c>
      <c r="I27" s="243">
        <f>$E27*'11a. AF by class'!I23/'11a. AF by class'!$E23</f>
        <v>0</v>
      </c>
      <c r="J27" s="243">
        <f>$E27*'11a. AF by class'!J23/'11a. AF by class'!$E23</f>
        <v>0</v>
      </c>
      <c r="K27" s="243">
        <f>$E27*'11a. AF by class'!K23/'11a. AF by class'!$E23</f>
        <v>0</v>
      </c>
      <c r="L27" s="243">
        <f>$E27*'11a. AF by class'!L23/'11a. AF by class'!$E23</f>
        <v>0</v>
      </c>
      <c r="M27" s="243">
        <f>$E27*'11a. AF by class'!M23/'11a. AF by class'!$E23</f>
        <v>0</v>
      </c>
      <c r="N27" s="244">
        <f>$E27*'11a. AF by class'!N23/'11a. AF by class'!$E23</f>
        <v>0</v>
      </c>
      <c r="P27" s="32">
        <f>SUM(F27:O27)</f>
        <v>0</v>
      </c>
      <c r="Q27" s="32">
        <f>E27-P27</f>
        <v>0</v>
      </c>
    </row>
    <row r="28" spans="1:17" x14ac:dyDescent="0.3">
      <c r="A28" s="157"/>
      <c r="B28" s="159" t="s">
        <v>976</v>
      </c>
      <c r="C28" s="35"/>
      <c r="D28" s="35"/>
      <c r="E28" s="243">
        <f>'9b. Summary Schedules-sf'!P196</f>
        <v>0</v>
      </c>
      <c r="F28" s="243">
        <f>$E28*'11a. AF by class'!F24/'11a. AF by class'!$E24</f>
        <v>0</v>
      </c>
      <c r="G28" s="243">
        <f>$E28*'11a. AF by class'!G24/'11a. AF by class'!$E24</f>
        <v>0</v>
      </c>
      <c r="H28" s="243">
        <f>$E28*'11a. AF by class'!H24/'11a. AF by class'!$E24</f>
        <v>0</v>
      </c>
      <c r="I28" s="243">
        <f>$E28*'11a. AF by class'!I24/'11a. AF by class'!$E24</f>
        <v>0</v>
      </c>
      <c r="J28" s="243">
        <f>$E28*'11a. AF by class'!J24/'11a. AF by class'!$E24</f>
        <v>0</v>
      </c>
      <c r="K28" s="243">
        <f>$E28*'11a. AF by class'!K24/'11a. AF by class'!$E24</f>
        <v>0</v>
      </c>
      <c r="L28" s="243">
        <f>$E28*'11a. AF by class'!L24/'11a. AF by class'!$E24</f>
        <v>0</v>
      </c>
      <c r="M28" s="243">
        <f>$E28*'11a. AF by class'!M24/'11a. AF by class'!$E24</f>
        <v>0</v>
      </c>
      <c r="N28" s="244">
        <f>$E28*'11a. AF by class'!N24/'11a. AF by class'!$E24</f>
        <v>0</v>
      </c>
      <c r="P28" s="32">
        <f>SUM(F28:O28)</f>
        <v>0</v>
      </c>
      <c r="Q28" s="32">
        <f>E28-P28</f>
        <v>0</v>
      </c>
    </row>
    <row r="29" spans="1:17" x14ac:dyDescent="0.3">
      <c r="A29" s="157"/>
      <c r="B29" s="159" t="s">
        <v>931</v>
      </c>
      <c r="C29" s="35"/>
      <c r="D29" s="35"/>
      <c r="E29" s="580">
        <f>'9b. Summary Schedules-sf'!Q196</f>
        <v>0</v>
      </c>
      <c r="F29" s="580">
        <f>$E29*'11a. AF by class'!F25/'11a. AF by class'!$E25</f>
        <v>0</v>
      </c>
      <c r="G29" s="580">
        <f>$E29*'11a. AF by class'!G25/'11a. AF by class'!$E25</f>
        <v>0</v>
      </c>
      <c r="H29" s="580">
        <f>$E29*'11a. AF by class'!H25/'11a. AF by class'!$E25</f>
        <v>0</v>
      </c>
      <c r="I29" s="580">
        <f>$E29*'11a. AF by class'!I25/'11a. AF by class'!$E25</f>
        <v>0</v>
      </c>
      <c r="J29" s="580">
        <f>$E29*'11a. AF by class'!J25/'11a. AF by class'!$E25</f>
        <v>0</v>
      </c>
      <c r="K29" s="580">
        <f>$E29*'11a. AF by class'!K25/'11a. AF by class'!$E25</f>
        <v>0</v>
      </c>
      <c r="L29" s="580">
        <f>$E29*'11a. AF by class'!L25/'11a. AF by class'!$E25</f>
        <v>0</v>
      </c>
      <c r="M29" s="580">
        <f>$E29*'11a. AF by class'!M25/'11a. AF by class'!$E25</f>
        <v>0</v>
      </c>
      <c r="N29" s="600">
        <f>$E29*'11a. AF by class'!N25/'11a. AF by class'!$E25</f>
        <v>0</v>
      </c>
      <c r="P29" s="32">
        <f>SUM(F29:O29)</f>
        <v>0</v>
      </c>
      <c r="Q29" s="32">
        <f>E29-P29</f>
        <v>0</v>
      </c>
    </row>
    <row r="30" spans="1:17" x14ac:dyDescent="0.3">
      <c r="A30" s="157"/>
      <c r="B30" s="35" t="s">
        <v>977</v>
      </c>
      <c r="C30" s="35"/>
      <c r="D30" s="35"/>
      <c r="E30" s="243">
        <f t="shared" ref="E30:N30" si="2">SUM(E26:E29)</f>
        <v>0</v>
      </c>
      <c r="F30" s="243">
        <f t="shared" si="2"/>
        <v>0</v>
      </c>
      <c r="G30" s="243">
        <f t="shared" si="2"/>
        <v>0</v>
      </c>
      <c r="H30" s="243">
        <f t="shared" si="2"/>
        <v>0</v>
      </c>
      <c r="I30" s="243">
        <f t="shared" si="2"/>
        <v>0</v>
      </c>
      <c r="J30" s="243">
        <f t="shared" si="2"/>
        <v>0</v>
      </c>
      <c r="K30" s="243">
        <f t="shared" si="2"/>
        <v>0</v>
      </c>
      <c r="L30" s="243">
        <f t="shared" si="2"/>
        <v>0</v>
      </c>
      <c r="M30" s="243">
        <f t="shared" si="2"/>
        <v>0</v>
      </c>
      <c r="N30" s="244">
        <f t="shared" si="2"/>
        <v>0</v>
      </c>
      <c r="P30" s="32">
        <f>SUM(F30:O30)</f>
        <v>0</v>
      </c>
      <c r="Q30" s="32">
        <f>E30-P30</f>
        <v>0</v>
      </c>
    </row>
    <row r="31" spans="1:17" x14ac:dyDescent="0.3">
      <c r="A31" s="157"/>
      <c r="B31" s="35"/>
      <c r="C31" s="35"/>
      <c r="D31" s="35"/>
      <c r="E31" s="243"/>
      <c r="F31" s="243"/>
      <c r="G31" s="243"/>
      <c r="H31" s="243"/>
      <c r="I31" s="243"/>
      <c r="J31" s="243"/>
      <c r="K31" s="243"/>
      <c r="L31" s="243"/>
      <c r="M31" s="243"/>
      <c r="N31" s="244"/>
    </row>
    <row r="32" spans="1:17" x14ac:dyDescent="0.3">
      <c r="A32" s="157"/>
      <c r="B32" s="35" t="s">
        <v>978</v>
      </c>
      <c r="C32" s="35"/>
      <c r="D32" s="35"/>
      <c r="E32" s="243"/>
      <c r="F32" s="243"/>
      <c r="G32" s="243"/>
      <c r="H32" s="243"/>
      <c r="I32" s="243"/>
      <c r="J32" s="243"/>
      <c r="K32" s="243"/>
      <c r="L32" s="243"/>
      <c r="M32" s="243"/>
      <c r="N32" s="244"/>
    </row>
    <row r="33" spans="1:17" x14ac:dyDescent="0.3">
      <c r="A33" s="157"/>
      <c r="B33" s="159" t="s">
        <v>975</v>
      </c>
      <c r="C33" s="35"/>
      <c r="D33" s="35"/>
      <c r="E33" s="243">
        <f>'9b. Summary Schedules-sf'!R196</f>
        <v>0</v>
      </c>
      <c r="F33" s="243">
        <f>$E33*'11a. AF by class'!F29/'11a. AF by class'!$E29</f>
        <v>0</v>
      </c>
      <c r="G33" s="243">
        <f>$E33*'11a. AF by class'!G29/'11a. AF by class'!$E29</f>
        <v>0</v>
      </c>
      <c r="H33" s="243">
        <f>$E33*'11a. AF by class'!H29/'11a. AF by class'!$E29</f>
        <v>0</v>
      </c>
      <c r="I33" s="243">
        <f>$E33*'11a. AF by class'!I29/'11a. AF by class'!$E29</f>
        <v>0</v>
      </c>
      <c r="J33" s="243">
        <f>$E33*'11a. AF by class'!J29/'11a. AF by class'!$E29</f>
        <v>0</v>
      </c>
      <c r="K33" s="243">
        <f>$E33*'11a. AF by class'!K29/'11a. AF by class'!$E29</f>
        <v>0</v>
      </c>
      <c r="L33" s="243">
        <f>$E33*'11a. AF by class'!L29/'11a. AF by class'!$E29</f>
        <v>0</v>
      </c>
      <c r="M33" s="243">
        <f>$E33*'11a. AF by class'!M29/'11a. AF by class'!$E29</f>
        <v>0</v>
      </c>
      <c r="N33" s="244">
        <f>$E33*'11a. AF by class'!N29/'11a. AF by class'!$E29</f>
        <v>0</v>
      </c>
      <c r="P33" s="32">
        <f t="shared" ref="P33:P39" si="3">SUM(F33:O33)</f>
        <v>0</v>
      </c>
      <c r="Q33" s="32">
        <f t="shared" ref="Q33:Q39" si="4">E33-P33</f>
        <v>0</v>
      </c>
    </row>
    <row r="34" spans="1:17" x14ac:dyDescent="0.3">
      <c r="A34" s="157"/>
      <c r="B34" s="159" t="s">
        <v>976</v>
      </c>
      <c r="C34" s="35"/>
      <c r="D34" s="35"/>
      <c r="E34" s="243">
        <f>'9b. Summary Schedules-sf'!S196</f>
        <v>0</v>
      </c>
      <c r="F34" s="243">
        <f>$E34*'11a. AF by class'!F30/'11a. AF by class'!$E30</f>
        <v>0</v>
      </c>
      <c r="G34" s="243">
        <f>$E34*'11a. AF by class'!G30/'11a. AF by class'!$E30</f>
        <v>0</v>
      </c>
      <c r="H34" s="243">
        <f>$E34*'11a. AF by class'!H30/'11a. AF by class'!$E30</f>
        <v>0</v>
      </c>
      <c r="I34" s="243">
        <f>$E34*'11a. AF by class'!I30/'11a. AF by class'!$E30</f>
        <v>0</v>
      </c>
      <c r="J34" s="243">
        <f>$E34*'11a. AF by class'!J30/'11a. AF by class'!$E30</f>
        <v>0</v>
      </c>
      <c r="K34" s="243">
        <f>$E34*'11a. AF by class'!K30/'11a. AF by class'!$E30</f>
        <v>0</v>
      </c>
      <c r="L34" s="243">
        <f>$E34*'11a. AF by class'!L30/'11a. AF by class'!$E30</f>
        <v>0</v>
      </c>
      <c r="M34" s="243">
        <f>$E34*'11a. AF by class'!M30/'11a. AF by class'!$E30</f>
        <v>0</v>
      </c>
      <c r="N34" s="244">
        <f>$E34*'11a. AF by class'!N30/'11a. AF by class'!$E30</f>
        <v>0</v>
      </c>
      <c r="P34" s="32">
        <f t="shared" si="3"/>
        <v>0</v>
      </c>
      <c r="Q34" s="32">
        <f t="shared" si="4"/>
        <v>0</v>
      </c>
    </row>
    <row r="35" spans="1:17" x14ac:dyDescent="0.3">
      <c r="A35" s="157"/>
      <c r="B35" s="159" t="s">
        <v>931</v>
      </c>
      <c r="C35" s="35"/>
      <c r="D35" s="35"/>
      <c r="E35" s="243">
        <f>'9b. Summary Schedules-sf'!T196</f>
        <v>0</v>
      </c>
      <c r="F35" s="243">
        <f>$E35*'11a. AF by class'!F31/'11a. AF by class'!$E31</f>
        <v>0</v>
      </c>
      <c r="G35" s="243">
        <f>$E35*'11a. AF by class'!G31/'11a. AF by class'!$E31</f>
        <v>0</v>
      </c>
      <c r="H35" s="243">
        <f>$E35*'11a. AF by class'!H31/'11a. AF by class'!$E31</f>
        <v>0</v>
      </c>
      <c r="I35" s="243">
        <f>$E35*'11a. AF by class'!I31/'11a. AF by class'!$E31</f>
        <v>0</v>
      </c>
      <c r="J35" s="243">
        <f>$E35*'11a. AF by class'!J31/'11a. AF by class'!$E31</f>
        <v>0</v>
      </c>
      <c r="K35" s="243">
        <f>$E35*'11a. AF by class'!K31/'11a. AF by class'!$E31</f>
        <v>0</v>
      </c>
      <c r="L35" s="243">
        <f>$E35*'11a. AF by class'!L31/'11a. AF by class'!$E31</f>
        <v>0</v>
      </c>
      <c r="M35" s="243">
        <f>$E35*'11a. AF by class'!M31/'11a. AF by class'!$E31</f>
        <v>0</v>
      </c>
      <c r="N35" s="244">
        <f>$E35*'11a. AF by class'!N31/'11a. AF by class'!$E31</f>
        <v>0</v>
      </c>
      <c r="P35" s="32">
        <f t="shared" si="3"/>
        <v>0</v>
      </c>
      <c r="Q35" s="32">
        <f t="shared" si="4"/>
        <v>0</v>
      </c>
    </row>
    <row r="36" spans="1:17" x14ac:dyDescent="0.3">
      <c r="A36" s="157"/>
      <c r="B36" s="159" t="s">
        <v>456</v>
      </c>
      <c r="C36" s="35"/>
      <c r="D36" s="35"/>
      <c r="E36" s="243">
        <f>'9b. Summary Schedules-sf'!U196</f>
        <v>0</v>
      </c>
      <c r="F36" s="243">
        <f>$E36*'11a. AF by class'!F32/'11a. AF by class'!$E32</f>
        <v>0</v>
      </c>
      <c r="G36" s="243">
        <f>$E36*'11a. AF by class'!G32/'11a. AF by class'!$E32</f>
        <v>0</v>
      </c>
      <c r="H36" s="243">
        <f>$E36*'11a. AF by class'!H32/'11a. AF by class'!$E32</f>
        <v>0</v>
      </c>
      <c r="I36" s="243">
        <f>$E36*'11a. AF by class'!I32/'11a. AF by class'!$E32</f>
        <v>0</v>
      </c>
      <c r="J36" s="243">
        <f>$E36*'11a. AF by class'!J32/'11a. AF by class'!$E32</f>
        <v>0</v>
      </c>
      <c r="K36" s="243">
        <f>$E36*'11a. AF by class'!K32/'11a. AF by class'!$E32</f>
        <v>0</v>
      </c>
      <c r="L36" s="243">
        <f>$E36*'11a. AF by class'!L32/'11a. AF by class'!$E32</f>
        <v>0</v>
      </c>
      <c r="M36" s="243">
        <f>$E36*'11a. AF by class'!M32/'11a. AF by class'!$E32</f>
        <v>0</v>
      </c>
      <c r="N36" s="244">
        <f>$E36*'11a. AF by class'!N32/'11a. AF by class'!$E32</f>
        <v>0</v>
      </c>
      <c r="P36" s="32">
        <f t="shared" si="3"/>
        <v>0</v>
      </c>
      <c r="Q36" s="32">
        <f t="shared" si="4"/>
        <v>0</v>
      </c>
    </row>
    <row r="37" spans="1:17" x14ac:dyDescent="0.3">
      <c r="A37" s="157"/>
      <c r="B37" s="159" t="s">
        <v>932</v>
      </c>
      <c r="C37" s="35"/>
      <c r="D37" s="35"/>
      <c r="E37" s="243">
        <f>'9b. Summary Schedules-sf'!V196</f>
        <v>0</v>
      </c>
      <c r="F37" s="243">
        <f>$E37*'11a. AF by class'!F33/'11a. AF by class'!$E33</f>
        <v>0</v>
      </c>
      <c r="G37" s="243">
        <f>$E37*'11a. AF by class'!G33/'11a. AF by class'!$E33</f>
        <v>0</v>
      </c>
      <c r="H37" s="243">
        <f>$E37*'11a. AF by class'!H33/'11a. AF by class'!$E33</f>
        <v>0</v>
      </c>
      <c r="I37" s="243">
        <f>$E37*'11a. AF by class'!I33/'11a. AF by class'!$E33</f>
        <v>0</v>
      </c>
      <c r="J37" s="243">
        <f>$E37*'11a. AF by class'!J33/'11a. AF by class'!$E33</f>
        <v>0</v>
      </c>
      <c r="K37" s="243">
        <f>$E37*'11a. AF by class'!K33/'11a. AF by class'!$E33</f>
        <v>0</v>
      </c>
      <c r="L37" s="243">
        <f>$E37*'11a. AF by class'!L33/'11a. AF by class'!$E33</f>
        <v>0</v>
      </c>
      <c r="M37" s="243">
        <f>$E37*'11a. AF by class'!M33/'11a. AF by class'!$E33</f>
        <v>0</v>
      </c>
      <c r="N37" s="244">
        <f>$E37*'11a. AF by class'!N33/'11a. AF by class'!$E33</f>
        <v>0</v>
      </c>
      <c r="P37" s="32">
        <f t="shared" si="3"/>
        <v>0</v>
      </c>
      <c r="Q37" s="32">
        <f t="shared" si="4"/>
        <v>0</v>
      </c>
    </row>
    <row r="38" spans="1:17" x14ac:dyDescent="0.3">
      <c r="A38" s="157"/>
      <c r="B38" s="159" t="s">
        <v>1013</v>
      </c>
      <c r="C38" s="35"/>
      <c r="D38" s="35"/>
      <c r="E38" s="580">
        <f>'9b. Summary Schedules-sf'!W196</f>
        <v>0</v>
      </c>
      <c r="F38" s="580">
        <f>$E38*'11a. AF by class'!F34/'11a. AF by class'!$E34</f>
        <v>0</v>
      </c>
      <c r="G38" s="580">
        <f>$E38*'11a. AF by class'!G34/'11a. AF by class'!$E34</f>
        <v>0</v>
      </c>
      <c r="H38" s="580">
        <f>$E38*'11a. AF by class'!H34/'11a. AF by class'!$E34</f>
        <v>0</v>
      </c>
      <c r="I38" s="580">
        <f>$E38*'11a. AF by class'!I34/'11a. AF by class'!$E34</f>
        <v>0</v>
      </c>
      <c r="J38" s="580">
        <f>$E38*'11a. AF by class'!J34/'11a. AF by class'!$E34</f>
        <v>0</v>
      </c>
      <c r="K38" s="580">
        <f>$E38*'11a. AF by class'!K34/'11a. AF by class'!$E34</f>
        <v>0</v>
      </c>
      <c r="L38" s="580">
        <f>$E38*'11a. AF by class'!L34/'11a. AF by class'!$E34</f>
        <v>0</v>
      </c>
      <c r="M38" s="580">
        <f>$E38*'11a. AF by class'!M34/'11a. AF by class'!$E34</f>
        <v>0</v>
      </c>
      <c r="N38" s="600">
        <f>$E38*'11a. AF by class'!N34/'11a. AF by class'!$E34</f>
        <v>0</v>
      </c>
      <c r="P38" s="32">
        <f t="shared" si="3"/>
        <v>0</v>
      </c>
      <c r="Q38" s="32">
        <f t="shared" si="4"/>
        <v>0</v>
      </c>
    </row>
    <row r="39" spans="1:17" x14ac:dyDescent="0.3">
      <c r="A39" s="157"/>
      <c r="B39" s="35" t="s">
        <v>979</v>
      </c>
      <c r="C39" s="35"/>
      <c r="D39" s="35"/>
      <c r="E39" s="243">
        <f t="shared" ref="E39:N39" si="5">SUM(E33:E38)</f>
        <v>0</v>
      </c>
      <c r="F39" s="243">
        <f t="shared" si="5"/>
        <v>0</v>
      </c>
      <c r="G39" s="243">
        <f t="shared" si="5"/>
        <v>0</v>
      </c>
      <c r="H39" s="243">
        <f t="shared" si="5"/>
        <v>0</v>
      </c>
      <c r="I39" s="243">
        <f t="shared" si="5"/>
        <v>0</v>
      </c>
      <c r="J39" s="243">
        <f t="shared" si="5"/>
        <v>0</v>
      </c>
      <c r="K39" s="243">
        <f t="shared" si="5"/>
        <v>0</v>
      </c>
      <c r="L39" s="243">
        <f t="shared" si="5"/>
        <v>0</v>
      </c>
      <c r="M39" s="243">
        <f t="shared" si="5"/>
        <v>0</v>
      </c>
      <c r="N39" s="244">
        <f t="shared" si="5"/>
        <v>0</v>
      </c>
      <c r="P39" s="32">
        <f t="shared" si="3"/>
        <v>0</v>
      </c>
      <c r="Q39" s="32">
        <f t="shared" si="4"/>
        <v>0</v>
      </c>
    </row>
    <row r="40" spans="1:17" x14ac:dyDescent="0.3">
      <c r="A40" s="157"/>
      <c r="B40" s="35"/>
      <c r="C40" s="35"/>
      <c r="D40" s="35"/>
      <c r="E40" s="243"/>
      <c r="F40" s="243"/>
      <c r="G40" s="243"/>
      <c r="H40" s="243"/>
      <c r="I40" s="243"/>
      <c r="J40" s="243"/>
      <c r="K40" s="243"/>
      <c r="L40" s="243"/>
      <c r="M40" s="243"/>
      <c r="N40" s="244"/>
    </row>
    <row r="41" spans="1:17" x14ac:dyDescent="0.3">
      <c r="A41" s="157"/>
      <c r="B41" s="35" t="s">
        <v>543</v>
      </c>
      <c r="C41" s="35"/>
      <c r="D41" s="35"/>
      <c r="E41" s="243">
        <f t="shared" ref="E41:N41" si="6">SUM(E30,E39)</f>
        <v>0</v>
      </c>
      <c r="F41" s="243">
        <f t="shared" si="6"/>
        <v>0</v>
      </c>
      <c r="G41" s="243">
        <f t="shared" si="6"/>
        <v>0</v>
      </c>
      <c r="H41" s="243">
        <f t="shared" si="6"/>
        <v>0</v>
      </c>
      <c r="I41" s="243">
        <f t="shared" si="6"/>
        <v>0</v>
      </c>
      <c r="J41" s="243">
        <f t="shared" si="6"/>
        <v>0</v>
      </c>
      <c r="K41" s="243">
        <f t="shared" si="6"/>
        <v>0</v>
      </c>
      <c r="L41" s="243">
        <f t="shared" si="6"/>
        <v>0</v>
      </c>
      <c r="M41" s="243">
        <f t="shared" si="6"/>
        <v>0</v>
      </c>
      <c r="N41" s="244">
        <f t="shared" si="6"/>
        <v>0</v>
      </c>
      <c r="P41" s="32">
        <f>SUM(F41:O41)</f>
        <v>0</v>
      </c>
      <c r="Q41" s="32">
        <f>E41-P41</f>
        <v>0</v>
      </c>
    </row>
    <row r="42" spans="1:17" x14ac:dyDescent="0.3">
      <c r="A42" s="157"/>
      <c r="B42" s="35"/>
      <c r="C42" s="35"/>
      <c r="D42" s="35"/>
      <c r="E42" s="243"/>
      <c r="F42" s="243"/>
      <c r="G42" s="243"/>
      <c r="H42" s="243"/>
      <c r="I42" s="243"/>
      <c r="J42" s="243"/>
      <c r="K42" s="243"/>
      <c r="L42" s="243"/>
      <c r="M42" s="243"/>
      <c r="N42" s="244"/>
    </row>
    <row r="43" spans="1:17" x14ac:dyDescent="0.3">
      <c r="A43" s="157" t="s">
        <v>907</v>
      </c>
      <c r="B43" s="35"/>
      <c r="C43" s="35"/>
      <c r="D43" s="35"/>
      <c r="E43" s="243"/>
      <c r="F43" s="243"/>
      <c r="G43" s="243"/>
      <c r="H43" s="243"/>
      <c r="I43" s="243"/>
      <c r="J43" s="243"/>
      <c r="K43" s="243"/>
      <c r="L43" s="243"/>
      <c r="M43" s="243"/>
      <c r="N43" s="244"/>
    </row>
    <row r="44" spans="1:17" x14ac:dyDescent="0.3">
      <c r="A44" s="157"/>
      <c r="B44" s="35" t="s">
        <v>907</v>
      </c>
      <c r="C44" s="35"/>
      <c r="D44" s="35"/>
      <c r="E44" s="243">
        <f>'9b. Summary Schedules-sf'!Y196</f>
        <v>0</v>
      </c>
      <c r="F44" s="243">
        <f>$E44*'11a. AF by class'!F40/'11a. AF by class'!$E40</f>
        <v>0</v>
      </c>
      <c r="G44" s="243">
        <f>$E44*'11a. AF by class'!G40/'11a. AF by class'!$E40</f>
        <v>0</v>
      </c>
      <c r="H44" s="243">
        <f>$E44*'11a. AF by class'!H40/'11a. AF by class'!$E40</f>
        <v>0</v>
      </c>
      <c r="I44" s="243">
        <f>$E44*'11a. AF by class'!I40/'11a. AF by class'!$E40</f>
        <v>0</v>
      </c>
      <c r="J44" s="243">
        <f>$E44*'11a. AF by class'!J40/'11a. AF by class'!$E40</f>
        <v>0</v>
      </c>
      <c r="K44" s="243">
        <f>$E44*'11a. AF by class'!K40/'11a. AF by class'!$E40</f>
        <v>0</v>
      </c>
      <c r="L44" s="243">
        <f>$E44*'11a. AF by class'!L40/'11a. AF by class'!$E40</f>
        <v>0</v>
      </c>
      <c r="M44" s="243">
        <f>$E44*'11a. AF by class'!M40/'11a. AF by class'!$E40</f>
        <v>0</v>
      </c>
      <c r="N44" s="244">
        <f>$E44*'11a. AF by class'!N40/'11a. AF by class'!$E40</f>
        <v>0</v>
      </c>
      <c r="P44" s="32">
        <f>SUM(F44:O44)</f>
        <v>0</v>
      </c>
      <c r="Q44" s="32">
        <f>E44-P44</f>
        <v>0</v>
      </c>
    </row>
    <row r="45" spans="1:17" x14ac:dyDescent="0.3">
      <c r="A45" s="157"/>
      <c r="B45" s="35" t="s">
        <v>996</v>
      </c>
      <c r="C45" s="35"/>
      <c r="D45" s="35"/>
      <c r="E45" s="580">
        <f>'9b. Summary Schedules-sf'!Z196</f>
        <v>0</v>
      </c>
      <c r="F45" s="580">
        <f>$E45*'11a. AF by class'!F41/'11a. AF by class'!$E41</f>
        <v>0</v>
      </c>
      <c r="G45" s="580">
        <f>$E45*'11a. AF by class'!G41/'11a. AF by class'!$E41</f>
        <v>0</v>
      </c>
      <c r="H45" s="580">
        <f>$E45*'11a. AF by class'!H41/'11a. AF by class'!$E41</f>
        <v>0</v>
      </c>
      <c r="I45" s="580">
        <f>$E45*'11a. AF by class'!I41/'11a. AF by class'!$E41</f>
        <v>0</v>
      </c>
      <c r="J45" s="580">
        <f>$E45*'11a. AF by class'!J41/'11a. AF by class'!$E41</f>
        <v>0</v>
      </c>
      <c r="K45" s="580">
        <f>$E45*'11a. AF by class'!K41/'11a. AF by class'!$E41</f>
        <v>0</v>
      </c>
      <c r="L45" s="580">
        <f>$E45*'11a. AF by class'!L41/'11a. AF by class'!$E41</f>
        <v>0</v>
      </c>
      <c r="M45" s="580">
        <f>$E45*'11a. AF by class'!M41/'11a. AF by class'!$E41</f>
        <v>0</v>
      </c>
      <c r="N45" s="600">
        <f>$E45*'11a. AF by class'!N41/'11a. AF by class'!$E41</f>
        <v>0</v>
      </c>
      <c r="P45" s="32">
        <f>SUM(F45:O45)</f>
        <v>0</v>
      </c>
      <c r="Q45" s="32">
        <f>E45-P45</f>
        <v>0</v>
      </c>
    </row>
    <row r="46" spans="1:17" x14ac:dyDescent="0.3">
      <c r="A46" s="157"/>
      <c r="B46" s="35" t="s">
        <v>997</v>
      </c>
      <c r="C46" s="35"/>
      <c r="D46" s="35"/>
      <c r="E46" s="243">
        <f>E44+E45</f>
        <v>0</v>
      </c>
      <c r="F46" s="243">
        <f t="shared" ref="F46:N46" si="7">SUM(F44:F45)</f>
        <v>0</v>
      </c>
      <c r="G46" s="243">
        <f t="shared" si="7"/>
        <v>0</v>
      </c>
      <c r="H46" s="243">
        <f t="shared" si="7"/>
        <v>0</v>
      </c>
      <c r="I46" s="243">
        <f t="shared" si="7"/>
        <v>0</v>
      </c>
      <c r="J46" s="243">
        <f t="shared" si="7"/>
        <v>0</v>
      </c>
      <c r="K46" s="243">
        <f t="shared" si="7"/>
        <v>0</v>
      </c>
      <c r="L46" s="243">
        <f t="shared" si="7"/>
        <v>0</v>
      </c>
      <c r="M46" s="243">
        <f t="shared" si="7"/>
        <v>0</v>
      </c>
      <c r="N46" s="244">
        <f t="shared" si="7"/>
        <v>0</v>
      </c>
      <c r="P46" s="32">
        <f>SUM(F46:O46)</f>
        <v>0</v>
      </c>
      <c r="Q46" s="32">
        <f>E46-P46</f>
        <v>0</v>
      </c>
    </row>
    <row r="47" spans="1:17" x14ac:dyDescent="0.3">
      <c r="A47" s="157"/>
      <c r="B47" s="35"/>
      <c r="C47" s="35"/>
      <c r="D47" s="35"/>
      <c r="E47" s="243"/>
      <c r="F47" s="243"/>
      <c r="G47" s="243"/>
      <c r="H47" s="243"/>
      <c r="I47" s="243"/>
      <c r="J47" s="243"/>
      <c r="K47" s="243"/>
      <c r="L47" s="243"/>
      <c r="M47" s="243"/>
      <c r="N47" s="244"/>
    </row>
    <row r="48" spans="1:17" x14ac:dyDescent="0.3">
      <c r="A48" s="157" t="s">
        <v>84</v>
      </c>
      <c r="B48" s="35"/>
      <c r="C48" s="35"/>
      <c r="D48" s="35"/>
      <c r="E48" s="243">
        <f>'9b. Summary Schedules-sf'!AA196</f>
        <v>0</v>
      </c>
      <c r="F48" s="243">
        <f>$E48*'11a. AF by class'!F44/'11a. AF by class'!$E44</f>
        <v>0</v>
      </c>
      <c r="G48" s="243">
        <f>$E48*'11a. AF by class'!G44/'11a. AF by class'!$E44</f>
        <v>0</v>
      </c>
      <c r="H48" s="243">
        <f>$E48*'11a. AF by class'!H44/'11a. AF by class'!$E44</f>
        <v>0</v>
      </c>
      <c r="I48" s="243">
        <f>$E48*'11a. AF by class'!I44/'11a. AF by class'!$E44</f>
        <v>0</v>
      </c>
      <c r="J48" s="243">
        <f>$E48*'11a. AF by class'!J44/'11a. AF by class'!$E44</f>
        <v>0</v>
      </c>
      <c r="K48" s="243">
        <f>$E48*'11a. AF by class'!K44/'11a. AF by class'!$E44</f>
        <v>0</v>
      </c>
      <c r="L48" s="243">
        <f>$E48*'11a. AF by class'!L44/'11a. AF by class'!$E44</f>
        <v>0</v>
      </c>
      <c r="M48" s="243">
        <f>$E48*'11a. AF by class'!M44/'11a. AF by class'!$E44</f>
        <v>0</v>
      </c>
      <c r="N48" s="244">
        <f>$E48*'11a. AF by class'!N44/'11a. AF by class'!$E44</f>
        <v>0</v>
      </c>
      <c r="P48" s="32">
        <f>SUM(F48:O48)</f>
        <v>0</v>
      </c>
      <c r="Q48" s="32">
        <f>E48-P48</f>
        <v>0</v>
      </c>
    </row>
    <row r="49" spans="1:17" x14ac:dyDescent="0.3">
      <c r="A49" s="157"/>
      <c r="B49" s="35"/>
      <c r="C49" s="35"/>
      <c r="D49" s="35"/>
      <c r="E49" s="243"/>
      <c r="F49" s="243"/>
      <c r="G49" s="243"/>
      <c r="H49" s="243"/>
      <c r="I49" s="243"/>
      <c r="J49" s="243"/>
      <c r="K49" s="243"/>
      <c r="L49" s="243"/>
      <c r="M49" s="243"/>
      <c r="N49" s="244"/>
    </row>
    <row r="50" spans="1:17" x14ac:dyDescent="0.3">
      <c r="A50" s="157" t="s">
        <v>82</v>
      </c>
      <c r="B50" s="35"/>
      <c r="C50" s="35"/>
      <c r="D50" s="35"/>
      <c r="E50" s="243"/>
      <c r="F50" s="243"/>
      <c r="G50" s="243"/>
      <c r="H50" s="243"/>
      <c r="I50" s="243"/>
      <c r="J50" s="243"/>
      <c r="K50" s="243"/>
      <c r="L50" s="243"/>
      <c r="M50" s="243"/>
      <c r="N50" s="244"/>
    </row>
    <row r="51" spans="1:17" x14ac:dyDescent="0.3">
      <c r="A51" s="157"/>
      <c r="B51" s="35" t="s">
        <v>81</v>
      </c>
      <c r="C51" s="35"/>
      <c r="D51" s="35"/>
      <c r="E51" s="243">
        <f>'9b. Summary Schedules-sf'!AC196</f>
        <v>0</v>
      </c>
      <c r="F51" s="243">
        <f>$E51*'11a. AF by class'!F47/'11a. AF by class'!$E47</f>
        <v>0</v>
      </c>
      <c r="G51" s="243">
        <f>$E51*'11a. AF by class'!G47/'11a. AF by class'!$E47</f>
        <v>0</v>
      </c>
      <c r="H51" s="243">
        <f>$E51*'11a. AF by class'!H47/'11a. AF by class'!$E47</f>
        <v>0</v>
      </c>
      <c r="I51" s="243">
        <f>$E51*'11a. AF by class'!I47/'11a. AF by class'!$E47</f>
        <v>0</v>
      </c>
      <c r="J51" s="243">
        <f>$E51*'11a. AF by class'!J47/'11a. AF by class'!$E47</f>
        <v>0</v>
      </c>
      <c r="K51" s="243">
        <f>$E51*'11a. AF by class'!K47/'11a. AF by class'!$E47</f>
        <v>0</v>
      </c>
      <c r="L51" s="243">
        <f>$E51*'11a. AF by class'!L47/'11a. AF by class'!$E47</f>
        <v>0</v>
      </c>
      <c r="M51" s="243">
        <f>$E51*'11a. AF by class'!M47/'11a. AF by class'!$E47</f>
        <v>0</v>
      </c>
      <c r="N51" s="244">
        <f>$E51*'11a. AF by class'!N47/'11a. AF by class'!$E47</f>
        <v>0</v>
      </c>
      <c r="P51" s="32">
        <f>SUM(F51:O51)</f>
        <v>0</v>
      </c>
      <c r="Q51" s="32">
        <f>E51-P51</f>
        <v>0</v>
      </c>
    </row>
    <row r="52" spans="1:17" x14ac:dyDescent="0.3">
      <c r="A52" s="157"/>
      <c r="B52" s="35" t="s">
        <v>1007</v>
      </c>
      <c r="C52" s="35"/>
      <c r="D52" s="35"/>
      <c r="E52" s="243">
        <f>'9b. Summary Schedules-sf'!AD196</f>
        <v>0</v>
      </c>
      <c r="F52" s="243">
        <f>$E52*'11a. AF by class'!F48/'11a. AF by class'!$E48</f>
        <v>0</v>
      </c>
      <c r="G52" s="243">
        <f>$E52*'11a. AF by class'!G48/'11a. AF by class'!$E48</f>
        <v>0</v>
      </c>
      <c r="H52" s="243">
        <f>$E52*'11a. AF by class'!H48/'11a. AF by class'!$E48</f>
        <v>0</v>
      </c>
      <c r="I52" s="243">
        <f>$E52*'11a. AF by class'!I48/'11a. AF by class'!$E48</f>
        <v>0</v>
      </c>
      <c r="J52" s="243">
        <f>$E52*'11a. AF by class'!J48/'11a. AF by class'!$E48</f>
        <v>0</v>
      </c>
      <c r="K52" s="243">
        <f>$E52*'11a. AF by class'!K48/'11a. AF by class'!$E48</f>
        <v>0</v>
      </c>
      <c r="L52" s="243">
        <f>$E52*'11a. AF by class'!L48/'11a. AF by class'!$E48</f>
        <v>0</v>
      </c>
      <c r="M52" s="243">
        <f>$E52*'11a. AF by class'!M48/'11a. AF by class'!$E48</f>
        <v>0</v>
      </c>
      <c r="N52" s="244">
        <f>$E52*'11a. AF by class'!N48/'11a. AF by class'!$E48</f>
        <v>0</v>
      </c>
      <c r="P52" s="32">
        <f>SUM(F52:O52)</f>
        <v>0</v>
      </c>
      <c r="Q52" s="32">
        <f>E52-P52</f>
        <v>0</v>
      </c>
    </row>
    <row r="53" spans="1:17" x14ac:dyDescent="0.3">
      <c r="A53" s="157"/>
      <c r="B53" s="35" t="s">
        <v>1008</v>
      </c>
      <c r="C53" s="35"/>
      <c r="D53" s="35"/>
      <c r="E53" s="580">
        <f>'9b. Summary Schedules-sf'!AE196</f>
        <v>0</v>
      </c>
      <c r="F53" s="580">
        <f>$E53*'11a. AF by class'!F49/'11a. AF by class'!$E49</f>
        <v>0</v>
      </c>
      <c r="G53" s="580">
        <f>$E53*'11a. AF by class'!G49/'11a. AF by class'!$E49</f>
        <v>0</v>
      </c>
      <c r="H53" s="580">
        <f>$E53*'11a. AF by class'!H49/'11a. AF by class'!$E49</f>
        <v>0</v>
      </c>
      <c r="I53" s="580">
        <f>$E53*'11a. AF by class'!I49/'11a. AF by class'!$E49</f>
        <v>0</v>
      </c>
      <c r="J53" s="580">
        <f>$E53*'11a. AF by class'!J49/'11a. AF by class'!$E49</f>
        <v>0</v>
      </c>
      <c r="K53" s="580">
        <f>$E53*'11a. AF by class'!K49/'11a. AF by class'!$E49</f>
        <v>0</v>
      </c>
      <c r="L53" s="580">
        <f>$E53*'11a. AF by class'!L49/'11a. AF by class'!$E49</f>
        <v>0</v>
      </c>
      <c r="M53" s="580">
        <f>$E53*'11a. AF by class'!M49/'11a. AF by class'!$E49</f>
        <v>0</v>
      </c>
      <c r="N53" s="600">
        <f>$E53*'11a. AF by class'!N49/'11a. AF by class'!$E49</f>
        <v>0</v>
      </c>
      <c r="P53" s="32">
        <f>SUM(F53:O53)</f>
        <v>0</v>
      </c>
      <c r="Q53" s="32">
        <f>E53-P53</f>
        <v>0</v>
      </c>
    </row>
    <row r="54" spans="1:17" x14ac:dyDescent="0.3">
      <c r="A54" s="157"/>
      <c r="B54" s="35" t="s">
        <v>83</v>
      </c>
      <c r="C54" s="35"/>
      <c r="D54" s="35"/>
      <c r="E54" s="243">
        <f t="shared" ref="E54:N54" si="8">SUM(E51:E53)</f>
        <v>0</v>
      </c>
      <c r="F54" s="243">
        <f t="shared" si="8"/>
        <v>0</v>
      </c>
      <c r="G54" s="243">
        <f t="shared" si="8"/>
        <v>0</v>
      </c>
      <c r="H54" s="243">
        <f t="shared" si="8"/>
        <v>0</v>
      </c>
      <c r="I54" s="243">
        <f t="shared" si="8"/>
        <v>0</v>
      </c>
      <c r="J54" s="243">
        <f t="shared" si="8"/>
        <v>0</v>
      </c>
      <c r="K54" s="243">
        <f t="shared" si="8"/>
        <v>0</v>
      </c>
      <c r="L54" s="243">
        <f t="shared" si="8"/>
        <v>0</v>
      </c>
      <c r="M54" s="243">
        <f t="shared" si="8"/>
        <v>0</v>
      </c>
      <c r="N54" s="244">
        <f t="shared" si="8"/>
        <v>0</v>
      </c>
      <c r="P54" s="32">
        <f>SUM(F54:O54)</f>
        <v>0</v>
      </c>
      <c r="Q54" s="32">
        <f>E54-P54</f>
        <v>0</v>
      </c>
    </row>
    <row r="55" spans="1:17" x14ac:dyDescent="0.3">
      <c r="A55" s="157"/>
      <c r="B55" s="35"/>
      <c r="C55" s="35"/>
      <c r="D55" s="35"/>
      <c r="E55" s="243"/>
      <c r="F55" s="243"/>
      <c r="G55" s="243"/>
      <c r="H55" s="243"/>
      <c r="I55" s="243"/>
      <c r="J55" s="243"/>
      <c r="K55" s="243"/>
      <c r="L55" s="243"/>
      <c r="M55" s="243"/>
      <c r="N55" s="244"/>
    </row>
    <row r="56" spans="1:17" x14ac:dyDescent="0.3">
      <c r="A56" s="157" t="s">
        <v>912</v>
      </c>
      <c r="B56" s="35"/>
      <c r="C56" s="35"/>
      <c r="D56" s="53"/>
      <c r="E56" s="243"/>
      <c r="F56" s="243"/>
      <c r="G56" s="243"/>
      <c r="H56" s="243"/>
      <c r="I56" s="243"/>
      <c r="J56" s="243"/>
      <c r="K56" s="243"/>
      <c r="L56" s="243"/>
      <c r="M56" s="243"/>
      <c r="N56" s="244"/>
    </row>
    <row r="57" spans="1:17" x14ac:dyDescent="0.3">
      <c r="A57" s="157"/>
      <c r="B57" s="35" t="s">
        <v>1006</v>
      </c>
      <c r="C57" s="35"/>
      <c r="D57" s="53"/>
      <c r="E57" s="580">
        <f>'9b. Summary Schedules-sf'!AG196</f>
        <v>0</v>
      </c>
      <c r="F57" s="580">
        <f>$E57*'11a. AF by class'!F53/'11a. AF by class'!$E53</f>
        <v>0</v>
      </c>
      <c r="G57" s="580">
        <f>$E57*'11a. AF by class'!G53/'11a. AF by class'!$E53</f>
        <v>0</v>
      </c>
      <c r="H57" s="580">
        <f>$E57*'11a. AF by class'!H53/'11a. AF by class'!$E53</f>
        <v>0</v>
      </c>
      <c r="I57" s="580">
        <f>$E57*'11a. AF by class'!I53/'11a. AF by class'!$E53</f>
        <v>0</v>
      </c>
      <c r="J57" s="580">
        <f>$E57*'11a. AF by class'!J53/'11a. AF by class'!$E53</f>
        <v>0</v>
      </c>
      <c r="K57" s="580">
        <f>$E57*'11a. AF by class'!K53/'11a. AF by class'!$E53</f>
        <v>0</v>
      </c>
      <c r="L57" s="580">
        <f>$E57*'11a. AF by class'!L53/'11a. AF by class'!$E53</f>
        <v>0</v>
      </c>
      <c r="M57" s="580">
        <f>$E57*'11a. AF by class'!M53/'11a. AF by class'!$E53</f>
        <v>0</v>
      </c>
      <c r="N57" s="600">
        <f>$E57*'11a. AF by class'!N53/'11a. AF by class'!$E53</f>
        <v>0</v>
      </c>
      <c r="P57" s="32">
        <f>SUM(F57:O57)</f>
        <v>0</v>
      </c>
      <c r="Q57" s="32">
        <f>E57-P57</f>
        <v>0</v>
      </c>
    </row>
    <row r="58" spans="1:17" x14ac:dyDescent="0.3">
      <c r="A58" s="157"/>
      <c r="B58" s="35" t="s">
        <v>1014</v>
      </c>
      <c r="C58" s="35"/>
      <c r="D58" s="53"/>
      <c r="E58" s="243">
        <f t="shared" ref="E58:N58" si="9">SUM(E57:E57)</f>
        <v>0</v>
      </c>
      <c r="F58" s="243">
        <f t="shared" si="9"/>
        <v>0</v>
      </c>
      <c r="G58" s="243">
        <f t="shared" si="9"/>
        <v>0</v>
      </c>
      <c r="H58" s="243">
        <f t="shared" si="9"/>
        <v>0</v>
      </c>
      <c r="I58" s="243">
        <f t="shared" si="9"/>
        <v>0</v>
      </c>
      <c r="J58" s="243">
        <f t="shared" si="9"/>
        <v>0</v>
      </c>
      <c r="K58" s="243">
        <f t="shared" si="9"/>
        <v>0</v>
      </c>
      <c r="L58" s="243">
        <f t="shared" si="9"/>
        <v>0</v>
      </c>
      <c r="M58" s="243">
        <f t="shared" si="9"/>
        <v>0</v>
      </c>
      <c r="N58" s="244">
        <f t="shared" si="9"/>
        <v>0</v>
      </c>
      <c r="P58" s="32">
        <f>SUM(F58:O58)</f>
        <v>0</v>
      </c>
      <c r="Q58" s="32">
        <f>E58-P58</f>
        <v>0</v>
      </c>
    </row>
    <row r="59" spans="1:17" x14ac:dyDescent="0.3">
      <c r="A59" s="157"/>
      <c r="B59" s="35"/>
      <c r="C59" s="35"/>
      <c r="D59" s="35"/>
      <c r="E59" s="243"/>
      <c r="F59" s="243"/>
      <c r="G59" s="243"/>
      <c r="H59" s="243"/>
      <c r="I59" s="243"/>
      <c r="J59" s="243"/>
      <c r="K59" s="243"/>
      <c r="L59" s="243"/>
      <c r="M59" s="243"/>
      <c r="N59" s="244"/>
    </row>
    <row r="60" spans="1:17" x14ac:dyDescent="0.3">
      <c r="A60" s="157" t="s">
        <v>913</v>
      </c>
      <c r="B60" s="35"/>
      <c r="C60" s="35"/>
      <c r="D60" s="35"/>
      <c r="E60" s="243">
        <f>'9b. Summary Schedules-sf'!AH196</f>
        <v>0</v>
      </c>
      <c r="F60" s="243">
        <f>$E60*'11a. AF by class'!F56/'11a. AF by class'!$E56</f>
        <v>0</v>
      </c>
      <c r="G60" s="243">
        <f>$E60*'11a. AF by class'!G56/'11a. AF by class'!$E56</f>
        <v>0</v>
      </c>
      <c r="H60" s="243">
        <f>$E60*'11a. AF by class'!H56/'11a. AF by class'!$E56</f>
        <v>0</v>
      </c>
      <c r="I60" s="243">
        <f>$E60*'11a. AF by class'!I56/'11a. AF by class'!$E56</f>
        <v>0</v>
      </c>
      <c r="J60" s="243">
        <f>$E60*'11a. AF by class'!J56/'11a. AF by class'!$E56</f>
        <v>0</v>
      </c>
      <c r="K60" s="243">
        <f>$E60*'11a. AF by class'!K56/'11a. AF by class'!$E56</f>
        <v>0</v>
      </c>
      <c r="L60" s="243">
        <f>$E60*'11a. AF by class'!L56/'11a. AF by class'!$E56</f>
        <v>0</v>
      </c>
      <c r="M60" s="243">
        <f>$E60*'11a. AF by class'!M56/'11a. AF by class'!$E56</f>
        <v>0</v>
      </c>
      <c r="N60" s="244">
        <f>$E60*'11a. AF by class'!N56/'11a. AF by class'!$E56</f>
        <v>0</v>
      </c>
      <c r="P60" s="32">
        <f>SUM(F60:O60)</f>
        <v>0</v>
      </c>
      <c r="Q60" s="32">
        <f>E60-P60</f>
        <v>0</v>
      </c>
    </row>
    <row r="61" spans="1:17" x14ac:dyDescent="0.3">
      <c r="A61" s="157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158"/>
    </row>
    <row r="62" spans="1:17" x14ac:dyDescent="0.3">
      <c r="A62" s="157" t="s">
        <v>1015</v>
      </c>
      <c r="B62" s="35"/>
      <c r="C62" s="35"/>
      <c r="D62" s="35"/>
      <c r="E62" s="35">
        <f>SUM(E18,E20,E22,E41,E46,E48,E54,E58,E60)</f>
        <v>60215752.567019694</v>
      </c>
      <c r="F62" s="35">
        <f t="shared" ref="F62:N62" si="10">SUM(F18,F20,F22,F41,F46,F48,F54,F58,F60)</f>
        <v>25380620.402390152</v>
      </c>
      <c r="G62" s="35">
        <f t="shared" si="10"/>
        <v>5760957.4634842165</v>
      </c>
      <c r="H62" s="35">
        <f t="shared" si="10"/>
        <v>11937679.299332533</v>
      </c>
      <c r="I62" s="35">
        <f t="shared" si="10"/>
        <v>8014757.3898473149</v>
      </c>
      <c r="J62" s="35">
        <f t="shared" si="10"/>
        <v>3176962.7345390208</v>
      </c>
      <c r="K62" s="35">
        <f t="shared" si="10"/>
        <v>4678116.9289494818</v>
      </c>
      <c r="L62" s="35">
        <f t="shared" si="10"/>
        <v>1260126.717192736</v>
      </c>
      <c r="M62" s="35">
        <f t="shared" si="10"/>
        <v>6531.631284224788</v>
      </c>
      <c r="N62" s="158">
        <f t="shared" si="10"/>
        <v>0</v>
      </c>
      <c r="P62" s="32">
        <f>SUM(F62:O62)</f>
        <v>60215752.567019679</v>
      </c>
      <c r="Q62" s="32">
        <f>E62-P62</f>
        <v>0</v>
      </c>
    </row>
    <row r="63" spans="1:17" ht="13.5" thickBot="1" x14ac:dyDescent="0.35">
      <c r="A63" s="33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161"/>
    </row>
    <row r="71" spans="4:4" x14ac:dyDescent="0.3">
      <c r="D71" s="16"/>
    </row>
    <row r="72" spans="4:4" x14ac:dyDescent="0.3">
      <c r="D72" s="16"/>
    </row>
    <row r="73" spans="4:4" x14ac:dyDescent="0.3">
      <c r="D73" s="16"/>
    </row>
    <row r="74" spans="4:4" x14ac:dyDescent="0.3">
      <c r="D74" s="16"/>
    </row>
    <row r="75" spans="4:4" x14ac:dyDescent="0.3">
      <c r="D75" s="16"/>
    </row>
    <row r="76" spans="4:4" x14ac:dyDescent="0.3">
      <c r="D76" s="16"/>
    </row>
    <row r="77" spans="4:4" x14ac:dyDescent="0.3">
      <c r="D77" s="16"/>
    </row>
    <row r="78" spans="4:4" x14ac:dyDescent="0.3">
      <c r="D78" s="16"/>
    </row>
    <row r="79" spans="4:4" x14ac:dyDescent="0.3">
      <c r="D79" s="16"/>
    </row>
    <row r="80" spans="4:4" x14ac:dyDescent="0.3">
      <c r="D80" s="16"/>
    </row>
    <row r="81" spans="4:4" x14ac:dyDescent="0.3">
      <c r="D81" s="16"/>
    </row>
  </sheetData>
  <phoneticPr fontId="0" type="noConversion"/>
  <printOptions horizontalCentered="1" gridLines="1" gridLinesSet="0"/>
  <pageMargins left="0" right="0" top="0.5" bottom="0.4" header="0.2" footer="0.2"/>
  <pageSetup scale="65" orientation="landscape" horizontalDpi="300" verticalDpi="300" r:id="rId1"/>
  <headerFooter alignWithMargins="0">
    <oddFooter>&amp;L&amp;8&amp;F&amp;C&amp;8&amp;A
page &amp;P&amp;R&amp;8&amp;D
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34"/>
  <sheetViews>
    <sheetView zoomScale="70" zoomScaleNormal="70" workbookViewId="0">
      <pane xSplit="2" ySplit="7" topLeftCell="C8" activePane="bottomRight" state="frozen"/>
      <selection activeCell="C368" sqref="C368"/>
      <selection pane="topRight" activeCell="C368" sqref="C368"/>
      <selection pane="bottomLeft" activeCell="C368" sqref="C368"/>
      <selection pane="bottomRight" activeCell="C8" sqref="C8"/>
    </sheetView>
  </sheetViews>
  <sheetFormatPr defaultColWidth="8.81640625" defaultRowHeight="13" x14ac:dyDescent="0.3"/>
  <cols>
    <col min="1" max="1" width="33.1796875" style="4" customWidth="1"/>
    <col min="2" max="2" width="68" style="4" bestFit="1" customWidth="1"/>
    <col min="3" max="3" width="15.1796875" style="6" customWidth="1"/>
    <col min="4" max="4" width="21.453125" style="6" bestFit="1" customWidth="1"/>
    <col min="5" max="5" width="14.54296875" style="17" bestFit="1" customWidth="1"/>
    <col min="6" max="6" width="12.54296875" style="17" bestFit="1" customWidth="1"/>
    <col min="7" max="7" width="15.453125" style="17" bestFit="1" customWidth="1"/>
    <col min="8" max="8" width="13.453125" style="4" customWidth="1"/>
    <col min="9" max="9" width="16.1796875" style="4" bestFit="1" customWidth="1"/>
    <col min="10" max="10" width="15.1796875" style="4" bestFit="1" customWidth="1"/>
    <col min="11" max="11" width="16.453125" style="4" bestFit="1" customWidth="1"/>
    <col min="12" max="12" width="13" style="4" customWidth="1"/>
    <col min="13" max="13" width="22.1796875" style="4" bestFit="1" customWidth="1"/>
    <col min="14" max="15" width="12.453125" style="4" bestFit="1" customWidth="1"/>
    <col min="16" max="16" width="12" style="4" bestFit="1" customWidth="1"/>
    <col min="17" max="17" width="12.1796875" style="4" bestFit="1" customWidth="1"/>
    <col min="18" max="18" width="13.54296875" style="4" bestFit="1" customWidth="1"/>
    <col min="19" max="19" width="9.453125" style="4" customWidth="1"/>
    <col min="20" max="20" width="14.81640625" style="4" bestFit="1" customWidth="1"/>
    <col min="21" max="21" width="14.54296875" style="4" bestFit="1" customWidth="1"/>
    <col min="22" max="23" width="8.81640625" style="4"/>
    <col min="24" max="24" width="9.453125" style="4" customWidth="1"/>
    <col min="25" max="16384" width="8.81640625" style="4"/>
  </cols>
  <sheetData>
    <row r="1" spans="1:23" s="1" customFormat="1" ht="14.5" x14ac:dyDescent="0.35">
      <c r="A1" s="422" t="s">
        <v>154</v>
      </c>
      <c r="B1" s="302"/>
      <c r="C1" s="302"/>
      <c r="D1" s="302"/>
      <c r="E1" s="443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3"/>
    </row>
    <row r="2" spans="1:23" s="1" customFormat="1" ht="14.5" x14ac:dyDescent="0.35">
      <c r="A2" s="427" t="s">
        <v>1295</v>
      </c>
      <c r="B2" s="288"/>
      <c r="C2" s="288"/>
      <c r="D2" s="288"/>
      <c r="E2" s="314"/>
      <c r="F2" s="314"/>
      <c r="G2" s="314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98"/>
    </row>
    <row r="3" spans="1:23" s="1" customFormat="1" ht="14.5" x14ac:dyDescent="0.35">
      <c r="A3" s="427" t="str">
        <f>'1. RB-i'!A3</f>
        <v>FYE 2017</v>
      </c>
      <c r="B3" s="288"/>
      <c r="C3" s="288"/>
      <c r="D3" s="288"/>
      <c r="E3" s="314"/>
      <c r="F3" s="314"/>
      <c r="G3" s="314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98"/>
    </row>
    <row r="4" spans="1:23" s="1" customFormat="1" x14ac:dyDescent="0.3">
      <c r="A4" s="268"/>
      <c r="B4" s="191"/>
      <c r="C4" s="417"/>
      <c r="D4" s="417"/>
      <c r="E4" s="256"/>
      <c r="F4" s="256"/>
      <c r="G4" s="256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347"/>
    </row>
    <row r="5" spans="1:23" s="1" customFormat="1" x14ac:dyDescent="0.3">
      <c r="A5" s="268"/>
      <c r="B5" s="191"/>
      <c r="C5" s="417" t="s">
        <v>1096</v>
      </c>
      <c r="D5" s="417"/>
      <c r="E5" s="199" t="s">
        <v>353</v>
      </c>
      <c r="F5" s="417" t="s">
        <v>354</v>
      </c>
      <c r="G5" s="417" t="s">
        <v>355</v>
      </c>
      <c r="H5" s="417" t="s">
        <v>356</v>
      </c>
      <c r="I5" s="417" t="s">
        <v>355</v>
      </c>
      <c r="J5" s="417" t="s">
        <v>357</v>
      </c>
      <c r="K5" s="199" t="s">
        <v>10</v>
      </c>
      <c r="L5" s="199" t="s">
        <v>10</v>
      </c>
      <c r="M5" s="199" t="s">
        <v>10</v>
      </c>
      <c r="N5" s="199" t="s">
        <v>10</v>
      </c>
      <c r="O5" s="199" t="s">
        <v>10</v>
      </c>
      <c r="P5" s="199" t="s">
        <v>10</v>
      </c>
      <c r="Q5" s="199" t="s">
        <v>10</v>
      </c>
      <c r="R5" s="356" t="s">
        <v>10</v>
      </c>
      <c r="S5" s="7"/>
      <c r="T5" s="2" t="s">
        <v>832</v>
      </c>
    </row>
    <row r="6" spans="1:23" s="1" customFormat="1" x14ac:dyDescent="0.3">
      <c r="A6" s="268" t="s">
        <v>1096</v>
      </c>
      <c r="B6" s="417" t="s">
        <v>359</v>
      </c>
      <c r="C6" s="417" t="s">
        <v>1093</v>
      </c>
      <c r="D6" s="417" t="s">
        <v>1094</v>
      </c>
      <c r="E6" s="199" t="s">
        <v>361</v>
      </c>
      <c r="F6" s="417" t="s">
        <v>362</v>
      </c>
      <c r="G6" s="417"/>
      <c r="H6" s="417" t="s">
        <v>363</v>
      </c>
      <c r="I6" s="417" t="s">
        <v>364</v>
      </c>
      <c r="J6" s="417" t="s">
        <v>365</v>
      </c>
      <c r="K6" s="417" t="s">
        <v>544</v>
      </c>
      <c r="L6" s="199" t="s">
        <v>366</v>
      </c>
      <c r="M6" s="199" t="s">
        <v>367</v>
      </c>
      <c r="N6" s="199" t="s">
        <v>907</v>
      </c>
      <c r="O6" s="199" t="s">
        <v>909</v>
      </c>
      <c r="P6" s="199" t="s">
        <v>910</v>
      </c>
      <c r="Q6" s="199" t="s">
        <v>912</v>
      </c>
      <c r="R6" s="356" t="s">
        <v>913</v>
      </c>
      <c r="S6" s="7"/>
      <c r="T6" s="2" t="s">
        <v>833</v>
      </c>
      <c r="U6" s="1" t="s">
        <v>824</v>
      </c>
    </row>
    <row r="7" spans="1:23" s="1" customFormat="1" ht="13.5" thickBot="1" x14ac:dyDescent="0.35">
      <c r="A7" s="278" t="s">
        <v>368</v>
      </c>
      <c r="B7" s="284"/>
      <c r="C7" s="282"/>
      <c r="D7" s="282"/>
      <c r="E7" s="418" t="s">
        <v>815</v>
      </c>
      <c r="F7" s="282" t="s">
        <v>816</v>
      </c>
      <c r="G7" s="282" t="s">
        <v>817</v>
      </c>
      <c r="H7" s="282" t="s">
        <v>818</v>
      </c>
      <c r="I7" s="282" t="s">
        <v>819</v>
      </c>
      <c r="J7" s="282" t="s">
        <v>820</v>
      </c>
      <c r="K7" s="282" t="s">
        <v>821</v>
      </c>
      <c r="L7" s="282" t="s">
        <v>822</v>
      </c>
      <c r="M7" s="282" t="s">
        <v>823</v>
      </c>
      <c r="N7" s="282" t="s">
        <v>908</v>
      </c>
      <c r="O7" s="282" t="s">
        <v>914</v>
      </c>
      <c r="P7" s="282" t="s">
        <v>915</v>
      </c>
      <c r="Q7" s="282" t="s">
        <v>916</v>
      </c>
      <c r="R7" s="300" t="s">
        <v>917</v>
      </c>
      <c r="S7" s="7"/>
    </row>
    <row r="8" spans="1:23" s="1" customFormat="1" x14ac:dyDescent="0.3">
      <c r="A8" s="10"/>
      <c r="C8" s="2"/>
      <c r="D8" s="2"/>
      <c r="E8" s="11"/>
      <c r="F8" s="11"/>
      <c r="G8" s="11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</row>
    <row r="9" spans="1:23" s="1" customFormat="1" x14ac:dyDescent="0.3">
      <c r="A9" s="463" t="s">
        <v>1124</v>
      </c>
      <c r="B9" s="62"/>
      <c r="C9" s="489"/>
      <c r="D9" s="489"/>
      <c r="E9" s="467"/>
      <c r="F9" s="467"/>
      <c r="G9" s="467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498"/>
      <c r="S9" s="498"/>
      <c r="T9" s="62"/>
      <c r="U9" s="62"/>
      <c r="V9" s="62"/>
      <c r="W9" s="62"/>
    </row>
    <row r="10" spans="1:23" s="1" customFormat="1" x14ac:dyDescent="0.3">
      <c r="A10" s="498"/>
      <c r="B10" s="62"/>
      <c r="C10" s="489"/>
      <c r="D10" s="489"/>
      <c r="E10" s="467"/>
      <c r="F10" s="467"/>
      <c r="G10" s="467"/>
      <c r="H10" s="498"/>
      <c r="I10" s="498"/>
      <c r="J10" s="498"/>
      <c r="K10" s="498"/>
      <c r="L10" s="498"/>
      <c r="M10" s="498"/>
      <c r="N10" s="498"/>
      <c r="O10" s="498"/>
      <c r="P10" s="517"/>
      <c r="Q10" s="498"/>
      <c r="R10" s="498"/>
      <c r="S10" s="498"/>
      <c r="T10" s="62"/>
      <c r="U10" s="62"/>
      <c r="V10" s="62"/>
      <c r="W10" s="62"/>
    </row>
    <row r="11" spans="1:23" s="1" customFormat="1" x14ac:dyDescent="0.3">
      <c r="A11" s="498"/>
      <c r="B11" s="62"/>
      <c r="C11" s="489"/>
      <c r="D11" s="489"/>
      <c r="E11" s="171"/>
      <c r="F11" s="171"/>
      <c r="G11" s="171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</row>
    <row r="12" spans="1:23" s="1" customFormat="1" x14ac:dyDescent="0.3">
      <c r="A12" s="498"/>
      <c r="B12" s="62"/>
      <c r="C12" s="489"/>
      <c r="D12" s="489"/>
      <c r="E12" s="171"/>
      <c r="F12" s="171"/>
      <c r="G12" s="171"/>
      <c r="H12" s="62"/>
      <c r="I12" s="62"/>
      <c r="J12" s="62"/>
      <c r="K12" s="62"/>
      <c r="L12" s="62"/>
      <c r="M12" s="62"/>
      <c r="N12" s="62"/>
      <c r="O12" s="516"/>
      <c r="P12" s="62"/>
      <c r="Q12" s="62"/>
      <c r="R12" s="62"/>
      <c r="S12" s="62"/>
      <c r="T12" s="62"/>
      <c r="U12" s="62"/>
      <c r="V12" s="62"/>
      <c r="W12" s="62"/>
    </row>
    <row r="13" spans="1:23" s="1" customFormat="1" x14ac:dyDescent="0.3">
      <c r="A13" s="62" t="s">
        <v>1231</v>
      </c>
      <c r="B13" s="62" t="s">
        <v>1128</v>
      </c>
      <c r="C13" s="461" t="s">
        <v>1222</v>
      </c>
      <c r="D13" s="489" t="s">
        <v>1129</v>
      </c>
      <c r="E13" s="171">
        <f>G13+F13</f>
        <v>15788274.91</v>
      </c>
      <c r="F13" s="171"/>
      <c r="G13" s="171">
        <f>I13+H13</f>
        <v>15788274.91</v>
      </c>
      <c r="H13" s="62"/>
      <c r="I13" s="62">
        <v>15788274.91</v>
      </c>
      <c r="J13" s="62">
        <f>I13</f>
        <v>15788274.91</v>
      </c>
      <c r="K13" s="62"/>
      <c r="L13" s="62"/>
      <c r="M13" s="62"/>
      <c r="N13" s="62"/>
      <c r="O13" s="62">
        <v>2802100.6399999997</v>
      </c>
      <c r="P13" s="62">
        <v>12986174.27</v>
      </c>
      <c r="Q13" s="62"/>
      <c r="R13" s="62"/>
      <c r="S13" s="62"/>
      <c r="T13" s="62">
        <f>SUM(K13:R13)</f>
        <v>15788274.91</v>
      </c>
      <c r="U13" s="468">
        <f t="shared" ref="U13:U18" si="0">J13-T13</f>
        <v>0</v>
      </c>
      <c r="V13" s="62"/>
      <c r="W13" s="62"/>
    </row>
    <row r="14" spans="1:23" s="1" customFormat="1" x14ac:dyDescent="0.3">
      <c r="A14" s="62" t="s">
        <v>1232</v>
      </c>
      <c r="B14" s="62" t="s">
        <v>1127</v>
      </c>
      <c r="C14" s="461" t="s">
        <v>1222</v>
      </c>
      <c r="D14" s="489" t="s">
        <v>1129</v>
      </c>
      <c r="E14" s="171">
        <f t="shared" ref="E14" si="1">G14+F14</f>
        <v>24700231.050000001</v>
      </c>
      <c r="F14" s="171"/>
      <c r="G14" s="171">
        <f>I14+H14</f>
        <v>24700231.050000001</v>
      </c>
      <c r="H14" s="62"/>
      <c r="I14" s="62">
        <v>24700231.050000001</v>
      </c>
      <c r="J14" s="62">
        <f>I14</f>
        <v>24700231.050000001</v>
      </c>
      <c r="K14" s="62"/>
      <c r="L14" s="62"/>
      <c r="M14" s="62"/>
      <c r="N14" s="62"/>
      <c r="O14" s="62">
        <v>5868085.435744199</v>
      </c>
      <c r="P14" s="62">
        <v>18832145.614255801</v>
      </c>
      <c r="Q14" s="62"/>
      <c r="R14" s="62"/>
      <c r="S14" s="62"/>
      <c r="T14" s="62">
        <f t="shared" ref="T14:T18" si="2">SUM(K14:R14)</f>
        <v>24700231.050000001</v>
      </c>
      <c r="U14" s="468">
        <f t="shared" si="0"/>
        <v>0</v>
      </c>
      <c r="V14" s="62"/>
      <c r="W14" s="62"/>
    </row>
    <row r="15" spans="1:23" s="1" customFormat="1" x14ac:dyDescent="0.3">
      <c r="A15" s="461" t="s">
        <v>1130</v>
      </c>
      <c r="B15" s="62" t="s">
        <v>1123</v>
      </c>
      <c r="C15" s="461" t="s">
        <v>1222</v>
      </c>
      <c r="D15" s="489" t="s">
        <v>1126</v>
      </c>
      <c r="E15" s="171">
        <f>'3a. OM_AG-i'!D223</f>
        <v>38411458.82</v>
      </c>
      <c r="F15" s="171">
        <f>'3a. OM_AG-i'!E223</f>
        <v>0</v>
      </c>
      <c r="G15" s="171">
        <f>'3a. OM_AG-i'!F223</f>
        <v>38411458.82</v>
      </c>
      <c r="H15" s="171">
        <f>'3a. OM_AG-i'!G223</f>
        <v>7584788.8600000003</v>
      </c>
      <c r="I15" s="171">
        <f>'3a. OM_AG-i'!H223</f>
        <v>30826669.960000001</v>
      </c>
      <c r="J15" s="171">
        <f>'3a. OM_AG-i'!I223</f>
        <v>30826669.960000001</v>
      </c>
      <c r="K15" s="171">
        <f>'3a. OM_AG-i'!J223</f>
        <v>0</v>
      </c>
      <c r="L15" s="171">
        <f>'3a. OM_AG-i'!K223</f>
        <v>0</v>
      </c>
      <c r="M15" s="171">
        <f>'3a. OM_AG-i'!L223</f>
        <v>0</v>
      </c>
      <c r="N15" s="171">
        <f>'3a. OM_AG-i'!M223</f>
        <v>8918908.1000000015</v>
      </c>
      <c r="O15" s="171">
        <f>'3a. OM_AG-i'!N223</f>
        <v>5204672.7028660011</v>
      </c>
      <c r="P15" s="171">
        <f>'3a. OM_AG-i'!O223</f>
        <v>16703089.157133996</v>
      </c>
      <c r="Q15" s="171">
        <f>'3a. OM_AG-i'!P223</f>
        <v>0</v>
      </c>
      <c r="R15" s="171">
        <f>'3a. OM_AG-i'!Q223</f>
        <v>0</v>
      </c>
      <c r="S15" s="62"/>
      <c r="T15" s="62">
        <f t="shared" si="2"/>
        <v>30826669.960000001</v>
      </c>
      <c r="U15" s="468">
        <f t="shared" si="0"/>
        <v>0</v>
      </c>
      <c r="V15" s="62"/>
      <c r="W15" s="62"/>
    </row>
    <row r="16" spans="1:23" s="1" customFormat="1" x14ac:dyDescent="0.3">
      <c r="A16" s="461" t="s">
        <v>1108</v>
      </c>
      <c r="B16" s="62" t="s">
        <v>1115</v>
      </c>
      <c r="C16" s="461" t="s">
        <v>1222</v>
      </c>
      <c r="D16" s="489" t="s">
        <v>1126</v>
      </c>
      <c r="E16" s="171">
        <f>'7a. LX_AG-i'!D222</f>
        <v>24215667.170000002</v>
      </c>
      <c r="F16" s="171">
        <f>'7a. LX_AG-i'!E222</f>
        <v>0</v>
      </c>
      <c r="G16" s="171">
        <f>'7a. LX_AG-i'!F222</f>
        <v>24215667.170000002</v>
      </c>
      <c r="H16" s="171">
        <f>'7a. LX_AG-i'!G222</f>
        <v>1502833.9258825937</v>
      </c>
      <c r="I16" s="171">
        <f>'7a. LX_AG-i'!H222</f>
        <v>22712833.244117405</v>
      </c>
      <c r="J16" s="171">
        <f>'7a. LX_AG-i'!I222</f>
        <v>22712833.244117405</v>
      </c>
      <c r="K16" s="171">
        <f>'7a. LX_AG-i'!J222</f>
        <v>0</v>
      </c>
      <c r="L16" s="171">
        <f>'7a. LX_AG-i'!K222</f>
        <v>0</v>
      </c>
      <c r="M16" s="171">
        <f>'7a. LX_AG-i'!L222</f>
        <v>0</v>
      </c>
      <c r="N16" s="171">
        <f>'7a. LX_AG-i'!M222</f>
        <v>5781513.5941174068</v>
      </c>
      <c r="O16" s="171">
        <f>'7a. LX_AG-i'!N222</f>
        <v>3004968.0473488513</v>
      </c>
      <c r="P16" s="171">
        <f>'7a. LX_AG-i'!O222</f>
        <v>13926351.602651145</v>
      </c>
      <c r="Q16" s="171">
        <f>'7a. LX_AG-i'!P222</f>
        <v>0</v>
      </c>
      <c r="R16" s="171">
        <f>'7a. LX_AG-i'!Q222</f>
        <v>0</v>
      </c>
      <c r="S16" s="62"/>
      <c r="T16" s="62">
        <f t="shared" si="2"/>
        <v>22712833.244117402</v>
      </c>
      <c r="U16" s="468">
        <f t="shared" si="0"/>
        <v>0</v>
      </c>
      <c r="V16" s="62"/>
      <c r="W16" s="62"/>
    </row>
    <row r="17" spans="1:23" s="1" customFormat="1" x14ac:dyDescent="0.3">
      <c r="A17" s="461" t="s">
        <v>1105</v>
      </c>
      <c r="B17" s="62" t="s">
        <v>1117</v>
      </c>
      <c r="C17" s="461" t="s">
        <v>1222</v>
      </c>
      <c r="D17" s="489" t="s">
        <v>1126</v>
      </c>
      <c r="E17" s="171">
        <f>'4a. OM less M&amp;S'!D223</f>
        <v>37754739.840000004</v>
      </c>
      <c r="F17" s="171">
        <f>'4a. OM less M&amp;S'!E223</f>
        <v>0</v>
      </c>
      <c r="G17" s="171">
        <f>'4a. OM less M&amp;S'!F223</f>
        <v>37754739.840000004</v>
      </c>
      <c r="H17" s="171">
        <f>'4a. OM less M&amp;S'!G223</f>
        <v>7580985.3899999997</v>
      </c>
      <c r="I17" s="171">
        <f>'4a. OM less M&amp;S'!H223</f>
        <v>30173754.449999999</v>
      </c>
      <c r="J17" s="171">
        <f>'4a. OM less M&amp;S'!I223</f>
        <v>30173754.449999999</v>
      </c>
      <c r="K17" s="171">
        <f>'4a. OM less M&amp;S'!J223</f>
        <v>0</v>
      </c>
      <c r="L17" s="171">
        <f>'4a. OM less M&amp;S'!K223</f>
        <v>0</v>
      </c>
      <c r="M17" s="171">
        <f>'4a. OM less M&amp;S'!L223</f>
        <v>0</v>
      </c>
      <c r="N17" s="171">
        <f>'4a. OM less M&amp;S'!M223</f>
        <v>8655098.9100000001</v>
      </c>
      <c r="O17" s="171">
        <f>'4a. OM less M&amp;S'!N223</f>
        <v>5112231.9024246624</v>
      </c>
      <c r="P17" s="171">
        <f>'4a. OM less M&amp;S'!O223</f>
        <v>16406423.637575336</v>
      </c>
      <c r="Q17" s="171">
        <f>'4a. OM less M&amp;S'!P223</f>
        <v>0</v>
      </c>
      <c r="R17" s="171">
        <f>'4a. OM less M&amp;S'!Q223</f>
        <v>0</v>
      </c>
      <c r="S17" s="62"/>
      <c r="T17" s="62">
        <f t="shared" si="2"/>
        <v>30173754.449999999</v>
      </c>
      <c r="U17" s="468">
        <f t="shared" si="0"/>
        <v>0</v>
      </c>
      <c r="V17" s="62"/>
      <c r="W17" s="62"/>
    </row>
    <row r="18" spans="1:23" s="1" customFormat="1" x14ac:dyDescent="0.3">
      <c r="A18" s="461" t="s">
        <v>1102</v>
      </c>
      <c r="B18" s="461" t="s">
        <v>1131</v>
      </c>
      <c r="C18" s="461" t="s">
        <v>1222</v>
      </c>
      <c r="D18" s="489" t="s">
        <v>1325</v>
      </c>
      <c r="E18" s="171">
        <f>'3a. OM_AG-i'!D149</f>
        <v>53823569.350000001</v>
      </c>
      <c r="F18" s="171">
        <f>'3a. OM_AG-i'!E149</f>
        <v>0</v>
      </c>
      <c r="G18" s="171">
        <f>'3a. OM_AG-i'!F149</f>
        <v>53823569.350000001</v>
      </c>
      <c r="H18" s="171">
        <f>'3a. OM_AG-i'!G149</f>
        <v>0</v>
      </c>
      <c r="I18" s="171">
        <f>'3a. OM_AG-i'!H149</f>
        <v>53823569.350000001</v>
      </c>
      <c r="J18" s="171">
        <f>'3a. OM_AG-i'!I149</f>
        <v>53823569.350000001</v>
      </c>
      <c r="K18" s="171">
        <f>'3a. OM_AG-i'!J149</f>
        <v>0</v>
      </c>
      <c r="L18" s="171">
        <f>'3a. OM_AG-i'!K149</f>
        <v>0</v>
      </c>
      <c r="M18" s="171">
        <f>'3a. OM_AG-i'!L149</f>
        <v>51830994.990000002</v>
      </c>
      <c r="N18" s="171">
        <f>'3a. OM_AG-i'!M149</f>
        <v>1992574.36</v>
      </c>
      <c r="O18" s="171">
        <f>'3a. OM_AG-i'!N149</f>
        <v>0</v>
      </c>
      <c r="P18" s="171">
        <f>'3a. OM_AG-i'!O149</f>
        <v>0</v>
      </c>
      <c r="Q18" s="171">
        <f>'3a. OM_AG-i'!P149</f>
        <v>0</v>
      </c>
      <c r="R18" s="171">
        <f>'3a. OM_AG-i'!Q149</f>
        <v>0</v>
      </c>
      <c r="S18" s="62"/>
      <c r="T18" s="62">
        <f t="shared" si="2"/>
        <v>53823569.350000001</v>
      </c>
      <c r="U18" s="468">
        <f t="shared" si="0"/>
        <v>0</v>
      </c>
      <c r="V18" s="62"/>
      <c r="W18" s="62"/>
    </row>
    <row r="19" spans="1:23" s="1" customFormat="1" x14ac:dyDescent="0.3">
      <c r="A19" s="461" t="s">
        <v>1110</v>
      </c>
      <c r="B19" s="461" t="s">
        <v>1132</v>
      </c>
      <c r="C19" s="461" t="s">
        <v>1222</v>
      </c>
      <c r="D19" s="489" t="s">
        <v>1325</v>
      </c>
      <c r="E19" s="171">
        <f>'7a. LX_AG-i'!D149</f>
        <v>33576926.940000005</v>
      </c>
      <c r="F19" s="171">
        <f>'7a. LX_AG-i'!E149</f>
        <v>0</v>
      </c>
      <c r="G19" s="171">
        <f>'7a. LX_AG-i'!F149</f>
        <v>33576926.940000005</v>
      </c>
      <c r="H19" s="171">
        <f>'7a. LX_AG-i'!G149</f>
        <v>0</v>
      </c>
      <c r="I19" s="171">
        <f>'7a. LX_AG-i'!H149</f>
        <v>33576926.940000005</v>
      </c>
      <c r="J19" s="171">
        <f>'7a. LX_AG-i'!I149</f>
        <v>33576926.940000005</v>
      </c>
      <c r="K19" s="171">
        <f>'7a. LX_AG-i'!J149</f>
        <v>0</v>
      </c>
      <c r="L19" s="171">
        <f>'7a. LX_AG-i'!K149</f>
        <v>0</v>
      </c>
      <c r="M19" s="171">
        <f>'7a. LX_AG-i'!L149</f>
        <v>32139248.070000004</v>
      </c>
      <c r="N19" s="171">
        <f>'7a. LX_AG-i'!M149</f>
        <v>1437678.87</v>
      </c>
      <c r="O19" s="171">
        <f>'7a. LX_AG-i'!N149</f>
        <v>0</v>
      </c>
      <c r="P19" s="171">
        <f>'7a. LX_AG-i'!O149</f>
        <v>0</v>
      </c>
      <c r="Q19" s="171">
        <f>'7a. LX_AG-i'!P149</f>
        <v>0</v>
      </c>
      <c r="R19" s="171">
        <f>'7a. LX_AG-i'!Q149</f>
        <v>0</v>
      </c>
      <c r="S19" s="62"/>
      <c r="T19" s="62"/>
      <c r="U19" s="62"/>
      <c r="V19" s="62"/>
      <c r="W19" s="62"/>
    </row>
    <row r="20" spans="1:23" s="1" customFormat="1" x14ac:dyDescent="0.3">
      <c r="A20" s="461" t="s">
        <v>1104</v>
      </c>
      <c r="B20" s="461" t="s">
        <v>1133</v>
      </c>
      <c r="C20" s="461" t="s">
        <v>1222</v>
      </c>
      <c r="D20" s="489" t="s">
        <v>1325</v>
      </c>
      <c r="E20" s="171">
        <f>'4a. OM less M&amp;S'!D149</f>
        <v>50910156.440000005</v>
      </c>
      <c r="F20" s="171">
        <f>'4a. OM less M&amp;S'!E149</f>
        <v>0</v>
      </c>
      <c r="G20" s="171">
        <f>'4a. OM less M&amp;S'!F149</f>
        <v>50910156.440000005</v>
      </c>
      <c r="H20" s="171">
        <f>'4a. OM less M&amp;S'!G149</f>
        <v>0</v>
      </c>
      <c r="I20" s="171">
        <f>'4a. OM less M&amp;S'!H149</f>
        <v>50910156.440000005</v>
      </c>
      <c r="J20" s="171">
        <f>'4a. OM less M&amp;S'!I149</f>
        <v>50910156.440000005</v>
      </c>
      <c r="K20" s="171">
        <f>'4a. OM less M&amp;S'!J149</f>
        <v>0</v>
      </c>
      <c r="L20" s="171">
        <f>'4a. OM less M&amp;S'!K149</f>
        <v>0</v>
      </c>
      <c r="M20" s="171">
        <f>'4a. OM less M&amp;S'!L149</f>
        <v>48953558.370000005</v>
      </c>
      <c r="N20" s="171">
        <f>'4a. OM less M&amp;S'!M149</f>
        <v>1956598.07</v>
      </c>
      <c r="O20" s="171">
        <f>'4a. OM less M&amp;S'!N149</f>
        <v>0</v>
      </c>
      <c r="P20" s="171">
        <f>'4a. OM less M&amp;S'!O149</f>
        <v>0</v>
      </c>
      <c r="Q20" s="171">
        <f>'4a. OM less M&amp;S'!P149</f>
        <v>0</v>
      </c>
      <c r="R20" s="171">
        <f>'4a. OM less M&amp;S'!Q149</f>
        <v>0</v>
      </c>
      <c r="S20" s="62"/>
      <c r="T20" s="62">
        <f>SUM(K20:R20)</f>
        <v>50910156.440000005</v>
      </c>
      <c r="U20" s="468">
        <f>J20-T20</f>
        <v>0</v>
      </c>
      <c r="V20" s="62"/>
      <c r="W20" s="62"/>
    </row>
    <row r="21" spans="1:23" s="1" customFormat="1" x14ac:dyDescent="0.3">
      <c r="A21" s="461" t="s">
        <v>48</v>
      </c>
      <c r="B21" s="461" t="s">
        <v>1122</v>
      </c>
      <c r="C21" s="461" t="s">
        <v>1222</v>
      </c>
      <c r="D21" s="489" t="s">
        <v>1325</v>
      </c>
      <c r="E21" s="171">
        <f>'3a. OM_AG-i'!D137</f>
        <v>26124053.729999997</v>
      </c>
      <c r="F21" s="171">
        <f>'3a. OM_AG-i'!E137</f>
        <v>0</v>
      </c>
      <c r="G21" s="171">
        <f>'3a. OM_AG-i'!F137</f>
        <v>26124053.729999997</v>
      </c>
      <c r="H21" s="171">
        <f>'3a. OM_AG-i'!G137</f>
        <v>0</v>
      </c>
      <c r="I21" s="171">
        <f>'3a. OM_AG-i'!H137</f>
        <v>26124053.729999997</v>
      </c>
      <c r="J21" s="171">
        <f>'3a. OM_AG-i'!I137</f>
        <v>26124053.729999997</v>
      </c>
      <c r="K21" s="171">
        <f>'3a. OM_AG-i'!J137</f>
        <v>0</v>
      </c>
      <c r="L21" s="171">
        <f>'3a. OM_AG-i'!K137</f>
        <v>0</v>
      </c>
      <c r="M21" s="171">
        <f>'3a. OM_AG-i'!L137</f>
        <v>20786210.129999999</v>
      </c>
      <c r="N21" s="171">
        <f>'3a. OM_AG-i'!M137</f>
        <v>5337843.5999999996</v>
      </c>
      <c r="O21" s="171">
        <f>'3a. OM_AG-i'!N137</f>
        <v>0</v>
      </c>
      <c r="P21" s="171">
        <f>'3a. OM_AG-i'!O137</f>
        <v>0</v>
      </c>
      <c r="Q21" s="171">
        <f>'3a. OM_AG-i'!P137</f>
        <v>0</v>
      </c>
      <c r="R21" s="171">
        <f>'3a. OM_AG-i'!Q137</f>
        <v>0</v>
      </c>
      <c r="S21" s="62"/>
      <c r="T21" s="62">
        <f>SUM(K21:R21)</f>
        <v>26124053.729999997</v>
      </c>
      <c r="U21" s="468">
        <f>J21-T21</f>
        <v>0</v>
      </c>
      <c r="V21" s="62"/>
      <c r="W21" s="62"/>
    </row>
    <row r="22" spans="1:23" s="1" customFormat="1" x14ac:dyDescent="0.3">
      <c r="A22" s="461" t="s">
        <v>1109</v>
      </c>
      <c r="B22" s="62" t="s">
        <v>1116</v>
      </c>
      <c r="C22" s="461" t="s">
        <v>1222</v>
      </c>
      <c r="D22" s="489" t="s">
        <v>1325</v>
      </c>
      <c r="E22" s="171">
        <f>'7a. LX_AG-i'!D137</f>
        <v>15785996.239999998</v>
      </c>
      <c r="F22" s="171">
        <f>'7a. LX_AG-i'!E137</f>
        <v>0</v>
      </c>
      <c r="G22" s="171">
        <f>'7a. LX_AG-i'!F137</f>
        <v>15785996.239999998</v>
      </c>
      <c r="H22" s="171">
        <f>'7a. LX_AG-i'!G137</f>
        <v>0</v>
      </c>
      <c r="I22" s="171">
        <f>'7a. LX_AG-i'!H137</f>
        <v>15785996.239999998</v>
      </c>
      <c r="J22" s="171">
        <f>'7a. LX_AG-i'!I137</f>
        <v>15785996.239999998</v>
      </c>
      <c r="K22" s="171">
        <f>'7a. LX_AG-i'!J137</f>
        <v>0</v>
      </c>
      <c r="L22" s="171">
        <f>'7a. LX_AG-i'!K137</f>
        <v>0</v>
      </c>
      <c r="M22" s="171">
        <f>'7a. LX_AG-i'!L137</f>
        <v>12937600.719999999</v>
      </c>
      <c r="N22" s="171">
        <f>'7a. LX_AG-i'!M137</f>
        <v>2848395.52</v>
      </c>
      <c r="O22" s="171">
        <f>'7a. LX_AG-i'!N137</f>
        <v>0</v>
      </c>
      <c r="P22" s="171">
        <f>'7a. LX_AG-i'!O137</f>
        <v>0</v>
      </c>
      <c r="Q22" s="171">
        <f>'7a. LX_AG-i'!P137</f>
        <v>0</v>
      </c>
      <c r="R22" s="171">
        <f>'7a. LX_AG-i'!Q137</f>
        <v>0</v>
      </c>
      <c r="S22" s="62"/>
      <c r="T22" s="62"/>
      <c r="U22" s="62"/>
      <c r="V22" s="62"/>
      <c r="W22" s="62"/>
    </row>
    <row r="23" spans="1:23" s="1" customFormat="1" x14ac:dyDescent="0.3">
      <c r="A23" s="461" t="s">
        <v>1103</v>
      </c>
      <c r="B23" s="461" t="s">
        <v>615</v>
      </c>
      <c r="C23" s="461" t="s">
        <v>1222</v>
      </c>
      <c r="D23" s="489" t="s">
        <v>1325</v>
      </c>
      <c r="E23" s="171">
        <f>'4a. OM less M&amp;S'!D137</f>
        <v>24618008.030000001</v>
      </c>
      <c r="F23" s="171">
        <f>'4a. OM less M&amp;S'!E137</f>
        <v>0</v>
      </c>
      <c r="G23" s="171">
        <f>'4a. OM less M&amp;S'!F137</f>
        <v>24618008.030000001</v>
      </c>
      <c r="H23" s="171">
        <f>'4a. OM less M&amp;S'!G137</f>
        <v>0</v>
      </c>
      <c r="I23" s="171">
        <f>'4a. OM less M&amp;S'!H137</f>
        <v>24618008.030000001</v>
      </c>
      <c r="J23" s="171">
        <f>'4a. OM less M&amp;S'!I137</f>
        <v>24618008.030000001</v>
      </c>
      <c r="K23" s="171">
        <f>'4a. OM less M&amp;S'!J137</f>
        <v>0</v>
      </c>
      <c r="L23" s="171">
        <f>'4a. OM less M&amp;S'!K137</f>
        <v>0</v>
      </c>
      <c r="M23" s="171">
        <f>'4a. OM less M&amp;S'!L137</f>
        <v>19396911.990000002</v>
      </c>
      <c r="N23" s="171">
        <f>'4a. OM less M&amp;S'!M137</f>
        <v>5221096.04</v>
      </c>
      <c r="O23" s="171">
        <f>'4a. OM less M&amp;S'!N137</f>
        <v>0</v>
      </c>
      <c r="P23" s="171">
        <f>'4a. OM less M&amp;S'!O137</f>
        <v>0</v>
      </c>
      <c r="Q23" s="171">
        <f>'4a. OM less M&amp;S'!P137</f>
        <v>0</v>
      </c>
      <c r="R23" s="171">
        <f>'4a. OM less M&amp;S'!Q137</f>
        <v>0</v>
      </c>
      <c r="S23" s="62"/>
      <c r="T23" s="62">
        <f>SUM(K23:R23)</f>
        <v>24618008.030000001</v>
      </c>
      <c r="U23" s="468">
        <f t="shared" ref="U23:U29" si="3">J23-T23</f>
        <v>0</v>
      </c>
      <c r="V23" s="62"/>
      <c r="W23" s="62"/>
    </row>
    <row r="24" spans="1:23" s="1" customFormat="1" x14ac:dyDescent="0.3">
      <c r="A24" s="62" t="s">
        <v>920</v>
      </c>
      <c r="B24" s="62" t="s">
        <v>1107</v>
      </c>
      <c r="C24" s="461" t="s">
        <v>1222</v>
      </c>
      <c r="D24" s="461" t="s">
        <v>1120</v>
      </c>
      <c r="E24" s="171">
        <f>'1. RB-i'!D405</f>
        <v>609231888.72999513</v>
      </c>
      <c r="F24" s="171">
        <f>'1. RB-i'!E405</f>
        <v>0</v>
      </c>
      <c r="G24" s="171">
        <f>'1. RB-i'!F405</f>
        <v>609231888.72999513</v>
      </c>
      <c r="H24" s="171">
        <f>'1. RB-i'!G405</f>
        <v>68444494.180720225</v>
      </c>
      <c r="I24" s="171">
        <f>'1. RB-i'!H405</f>
        <v>540787394.54927492</v>
      </c>
      <c r="J24" s="171">
        <f>'1. RB-i'!I405</f>
        <v>540787394.54927492</v>
      </c>
      <c r="K24" s="171">
        <f>'1. RB-i'!J405</f>
        <v>251765004.97653562</v>
      </c>
      <c r="L24" s="171">
        <f>'1. RB-i'!K405</f>
        <v>78543501.693038464</v>
      </c>
      <c r="M24" s="171">
        <f>'1. RB-i'!L405</f>
        <v>129622121.84600741</v>
      </c>
      <c r="N24" s="171">
        <f>'1. RB-i'!M405</f>
        <v>28623771.707195975</v>
      </c>
      <c r="O24" s="171">
        <f>'1. RB-i'!N405</f>
        <v>7645179.4379166793</v>
      </c>
      <c r="P24" s="171">
        <f>'1. RB-i'!O405</f>
        <v>39046455.428348765</v>
      </c>
      <c r="Q24" s="171">
        <f>'1. RB-i'!P405</f>
        <v>5541358.3705311799</v>
      </c>
      <c r="R24" s="171">
        <f>'1. RB-i'!Q405</f>
        <v>0</v>
      </c>
      <c r="S24" s="62"/>
      <c r="T24" s="62">
        <f>SUM(K24:R24)</f>
        <v>540787393.4595741</v>
      </c>
      <c r="U24" s="468">
        <f t="shared" si="3"/>
        <v>1.0897008180618286</v>
      </c>
      <c r="V24" s="62"/>
      <c r="W24" s="62"/>
    </row>
    <row r="25" spans="1:23" s="1" customFormat="1" x14ac:dyDescent="0.3">
      <c r="A25" s="461" t="s">
        <v>1070</v>
      </c>
      <c r="B25" s="62" t="s">
        <v>1113</v>
      </c>
      <c r="C25" s="461" t="s">
        <v>1222</v>
      </c>
      <c r="D25" s="461" t="s">
        <v>1120</v>
      </c>
      <c r="E25" s="481">
        <f>'7a. LX_AG-i'!D$242</f>
        <v>176538988.78000003</v>
      </c>
      <c r="F25" s="171">
        <f>'7a. LX_AG-i'!E$242</f>
        <v>0</v>
      </c>
      <c r="G25" s="171">
        <f>SUM(H25:I25)</f>
        <v>176538988.77999997</v>
      </c>
      <c r="H25" s="481">
        <f>'7a. LX_AG-i'!G$242</f>
        <v>16877270.730017934</v>
      </c>
      <c r="I25" s="468">
        <f>J25</f>
        <v>159661718.04998204</v>
      </c>
      <c r="J25" s="518">
        <f t="shared" ref="J25" si="4">SUM(K25:R25)</f>
        <v>159661718.04998204</v>
      </c>
      <c r="K25" s="481">
        <f>'7a. LX_AG-i'!J$242</f>
        <v>66192416.160000004</v>
      </c>
      <c r="L25" s="481">
        <f>'7a. LX_AG-i'!K$242</f>
        <v>9772049.1699999999</v>
      </c>
      <c r="M25" s="481">
        <f>'7a. LX_AG-i'!L$242</f>
        <v>51544435.908528537</v>
      </c>
      <c r="N25" s="481">
        <f>'7a. LX_AG-i'!M$242</f>
        <v>11382286.798041336</v>
      </c>
      <c r="O25" s="481">
        <f>'7a. LX_AG-i'!N$242</f>
        <v>3040117.3498382638</v>
      </c>
      <c r="P25" s="481">
        <f>'7a. LX_AG-i'!O$242</f>
        <v>15526882.993573921</v>
      </c>
      <c r="Q25" s="481">
        <f>'7a. LX_AG-i'!P$242</f>
        <v>2203529.67</v>
      </c>
      <c r="R25" s="171">
        <f>'7a. LX_AG-i'!Q$242</f>
        <v>0</v>
      </c>
      <c r="S25" s="481"/>
      <c r="T25" s="62">
        <f>SUM(K25:R25)</f>
        <v>159661718.04998204</v>
      </c>
      <c r="U25" s="468">
        <f t="shared" si="3"/>
        <v>0</v>
      </c>
      <c r="V25" s="62"/>
      <c r="W25" s="62"/>
    </row>
    <row r="26" spans="1:23" s="1" customFormat="1" x14ac:dyDescent="0.3">
      <c r="A26" s="461" t="s">
        <v>1071</v>
      </c>
      <c r="B26" s="62" t="s">
        <v>1134</v>
      </c>
      <c r="C26" s="461" t="s">
        <v>1222</v>
      </c>
      <c r="D26" s="461" t="s">
        <v>1120</v>
      </c>
      <c r="E26" s="481">
        <f>'7a. LX_AG-i'!D244</f>
        <v>176254050.82000002</v>
      </c>
      <c r="F26" s="171">
        <f>'7a. LX_AG-i'!E244</f>
        <v>0</v>
      </c>
      <c r="G26" s="481">
        <f>'7a. LX_AG-i'!F244</f>
        <v>176254050.82000002</v>
      </c>
      <c r="H26" s="481">
        <f>'7a. LX_AG-i'!G244</f>
        <v>16877270.730017934</v>
      </c>
      <c r="I26" s="481">
        <f>'7a. LX_AG-i'!H244</f>
        <v>159376780.08998206</v>
      </c>
      <c r="J26" s="481">
        <f>'7a. LX_AG-i'!I244</f>
        <v>159376780.08998206</v>
      </c>
      <c r="K26" s="481">
        <f>'7a. LX_AG-i'!J244</f>
        <v>65907478.200000003</v>
      </c>
      <c r="L26" s="481">
        <f>'7a. LX_AG-i'!K244</f>
        <v>9772049.1699999999</v>
      </c>
      <c r="M26" s="481">
        <f>'7a. LX_AG-i'!L244</f>
        <v>51544435.908528537</v>
      </c>
      <c r="N26" s="481">
        <f>'7a. LX_AG-i'!M244</f>
        <v>11382286.798041336</v>
      </c>
      <c r="O26" s="481">
        <f>'7a. LX_AG-i'!N244</f>
        <v>3040117.3498382638</v>
      </c>
      <c r="P26" s="481">
        <f>'7a. LX_AG-i'!O244</f>
        <v>15526882.993573921</v>
      </c>
      <c r="Q26" s="481">
        <f>'7a. LX_AG-i'!P244</f>
        <v>2203529.67</v>
      </c>
      <c r="R26" s="171">
        <f>'7a. LX_AG-i'!Q244</f>
        <v>0</v>
      </c>
      <c r="S26" s="481"/>
      <c r="T26" s="62">
        <f>SUM(K26:R26)</f>
        <v>159376780.08998206</v>
      </c>
      <c r="U26" s="468">
        <f t="shared" si="3"/>
        <v>0</v>
      </c>
      <c r="V26" s="62"/>
      <c r="W26" s="62"/>
    </row>
    <row r="27" spans="1:23" s="1" customFormat="1" x14ac:dyDescent="0.3">
      <c r="A27" s="461" t="s">
        <v>835</v>
      </c>
      <c r="B27" s="62" t="s">
        <v>1119</v>
      </c>
      <c r="C27" s="461" t="s">
        <v>1222</v>
      </c>
      <c r="D27" s="461" t="s">
        <v>1120</v>
      </c>
      <c r="E27" s="171">
        <f>'7d. PAYXAG'!C12</f>
        <v>189692576.73999998</v>
      </c>
      <c r="F27" s="171"/>
      <c r="G27" s="171">
        <f>E27</f>
        <v>189692576.73999998</v>
      </c>
      <c r="H27" s="62">
        <f>'7d. PAYXAG'!C7</f>
        <v>15687787.810000001</v>
      </c>
      <c r="I27" s="62">
        <f>G27-H27</f>
        <v>174004788.92999998</v>
      </c>
      <c r="J27" s="62">
        <f>I27</f>
        <v>174004788.92999998</v>
      </c>
      <c r="K27" s="62">
        <f>'7d. PAYXAG'!C4</f>
        <v>55610179.770000003</v>
      </c>
      <c r="L27" s="62">
        <f>'7d. PAYXAG'!C5</f>
        <v>18949293.489999998</v>
      </c>
      <c r="M27" s="62">
        <f>'7d. PAYXAG'!C6</f>
        <v>78091969.929999992</v>
      </c>
      <c r="N27" s="62">
        <f>'7d. PAYXAG'!C10</f>
        <v>6795350.6899999995</v>
      </c>
      <c r="O27" s="62">
        <f>'7d. PAYXAG'!C8</f>
        <v>2582925.9800000004</v>
      </c>
      <c r="P27" s="62">
        <f>'7d. PAYXAG'!C9</f>
        <v>7703003.8499999996</v>
      </c>
      <c r="Q27" s="62">
        <f>'7d. PAYXAG'!C11</f>
        <v>4272065.2200000025</v>
      </c>
      <c r="R27" s="171"/>
      <c r="S27" s="62"/>
      <c r="T27" s="62">
        <f>SUM(K27:R27)</f>
        <v>174004788.92999998</v>
      </c>
      <c r="U27" s="468">
        <f t="shared" si="3"/>
        <v>0</v>
      </c>
      <c r="V27" s="62"/>
      <c r="W27" s="62"/>
    </row>
    <row r="28" spans="1:23" s="1" customFormat="1" x14ac:dyDescent="0.3">
      <c r="A28" s="62" t="s">
        <v>906</v>
      </c>
      <c r="B28" s="62" t="s">
        <v>1121</v>
      </c>
      <c r="C28" s="461" t="s">
        <v>1222</v>
      </c>
      <c r="D28" s="461" t="s">
        <v>1120</v>
      </c>
      <c r="E28" s="171">
        <f>'1. RB-i'!D390</f>
        <v>6840071483.1199999</v>
      </c>
      <c r="F28" s="171">
        <f>'1. RB-i'!E390</f>
        <v>0</v>
      </c>
      <c r="G28" s="171">
        <f>SUM(H28:I28)</f>
        <v>6840071483.1199989</v>
      </c>
      <c r="H28" s="171">
        <f>'1. RB-i'!G390</f>
        <v>557595095.01999986</v>
      </c>
      <c r="I28" s="468">
        <f>J28</f>
        <v>6282476388.0999994</v>
      </c>
      <c r="J28" s="518">
        <f>SUM(K28:R28)</f>
        <v>6282476388.0999994</v>
      </c>
      <c r="K28" s="171">
        <f>'1. RB-i'!J390</f>
        <v>3257985533.4857597</v>
      </c>
      <c r="L28" s="171">
        <f>'1. RB-i'!K390</f>
        <v>774505505.26390636</v>
      </c>
      <c r="M28" s="171">
        <f>'1. RB-i'!L390</f>
        <v>2108471040.3903334</v>
      </c>
      <c r="N28" s="171">
        <f>'1. RB-i'!M390</f>
        <v>141514308.95999998</v>
      </c>
      <c r="O28" s="171">
        <f>'1. RB-i'!N390</f>
        <v>0</v>
      </c>
      <c r="P28" s="171">
        <f>'1. RB-i'!O390</f>
        <v>0</v>
      </c>
      <c r="Q28" s="171">
        <f>'1. RB-i'!P390</f>
        <v>0</v>
      </c>
      <c r="R28" s="171">
        <f>'1. RB-i'!Q390</f>
        <v>0</v>
      </c>
      <c r="S28" s="481"/>
      <c r="T28" s="62">
        <f t="shared" ref="T28" si="5">SUM(K28:R28)</f>
        <v>6282476388.0999994</v>
      </c>
      <c r="U28" s="468">
        <f t="shared" si="3"/>
        <v>0</v>
      </c>
      <c r="V28" s="62"/>
      <c r="W28" s="62"/>
    </row>
    <row r="29" spans="1:23" s="1" customFormat="1" x14ac:dyDescent="0.3">
      <c r="A29" s="62" t="s">
        <v>129</v>
      </c>
      <c r="B29" s="62" t="s">
        <v>1114</v>
      </c>
      <c r="C29" s="461" t="s">
        <v>1222</v>
      </c>
      <c r="D29" s="489"/>
      <c r="E29" s="171">
        <f>'1. RB-i'!D467</f>
        <v>8315341179.6024952</v>
      </c>
      <c r="F29" s="171">
        <f>'1. RB-i'!E467</f>
        <v>0</v>
      </c>
      <c r="G29" s="171">
        <f>'1. RB-i'!F467</f>
        <v>8315341179.6024952</v>
      </c>
      <c r="H29" s="171">
        <f>'1. RB-i'!G467</f>
        <v>681174168.12636185</v>
      </c>
      <c r="I29" s="171">
        <f>'1. RB-i'!H467</f>
        <v>7634167011.4761333</v>
      </c>
      <c r="J29" s="171">
        <f>'1. RB-i'!I467</f>
        <v>7634167011.4761333</v>
      </c>
      <c r="K29" s="171">
        <f>'1. RB-i'!J467</f>
        <v>4002691850.706367</v>
      </c>
      <c r="L29" s="171">
        <f>'1. RB-i'!K467</f>
        <v>947572667.61717868</v>
      </c>
      <c r="M29" s="171">
        <f>'1. RB-i'!L467</f>
        <v>2473708363.986165</v>
      </c>
      <c r="N29" s="171">
        <f>'1. RB-i'!M467</f>
        <v>178926208.46877405</v>
      </c>
      <c r="O29" s="171">
        <f>'1. RB-i'!N467</f>
        <v>10441490.41569642</v>
      </c>
      <c r="P29" s="171">
        <f>'1. RB-i'!O467</f>
        <v>48965566.058440767</v>
      </c>
      <c r="Q29" s="171">
        <f>'1. RB-i'!P467</f>
        <v>9739653.0432508364</v>
      </c>
      <c r="R29" s="171">
        <f>'1. RB-i'!Q467</f>
        <v>-37878786.944044746</v>
      </c>
      <c r="S29" s="62"/>
      <c r="T29" s="62">
        <f>SUM(K29:R29)</f>
        <v>7634167013.3518276</v>
      </c>
      <c r="U29" s="468">
        <f t="shared" si="3"/>
        <v>-1.8756942749023438</v>
      </c>
      <c r="V29" s="62"/>
      <c r="W29" s="62"/>
    </row>
    <row r="30" spans="1:23" s="1" customFormat="1" x14ac:dyDescent="0.3">
      <c r="A30" s="484" t="s">
        <v>919</v>
      </c>
      <c r="B30" s="62" t="s">
        <v>1118</v>
      </c>
      <c r="C30" s="461" t="s">
        <v>1222</v>
      </c>
      <c r="D30" s="461" t="s">
        <v>1120</v>
      </c>
      <c r="E30" s="171">
        <f>'3a. OM_AG-i'!D244</f>
        <v>493037897.49000013</v>
      </c>
      <c r="F30" s="171">
        <f>'3a. OM_AG-i'!E244</f>
        <v>3350004</v>
      </c>
      <c r="G30" s="171">
        <f>'3a. OM_AG-i'!F244</f>
        <v>496387901.49000013</v>
      </c>
      <c r="H30" s="171">
        <f>'3a. OM_AG-i'!G244</f>
        <v>105613149.35513431</v>
      </c>
      <c r="I30" s="171">
        <f>'3a. OM_AG-i'!H244</f>
        <v>390774752.13486576</v>
      </c>
      <c r="J30" s="171">
        <f>'3a. OM_AG-i'!I244</f>
        <v>390774752.13486576</v>
      </c>
      <c r="K30" s="171">
        <f>'3a. OM_AG-i'!J244</f>
        <v>227201666.57000002</v>
      </c>
      <c r="L30" s="171">
        <f>'3a. OM_AG-i'!K244</f>
        <v>19376670.590000004</v>
      </c>
      <c r="M30" s="171">
        <f>'3a. OM_AG-i'!L244</f>
        <v>88810905.387649953</v>
      </c>
      <c r="N30" s="171">
        <f>'3a. OM_AG-i'!M244</f>
        <v>20098455.643104106</v>
      </c>
      <c r="O30" s="171">
        <f>'3a. OM_AG-i'!N244</f>
        <v>5698530.8631646633</v>
      </c>
      <c r="P30" s="171">
        <f>'3a. OM_AG-i'!O244</f>
        <v>18288002.820946973</v>
      </c>
      <c r="Q30" s="171">
        <f>'3a. OM_AG-i'!P244</f>
        <v>11300520.26</v>
      </c>
      <c r="R30" s="171">
        <f>'3a. OM_AG-i'!Q244</f>
        <v>0</v>
      </c>
      <c r="S30" s="62"/>
      <c r="T30" s="62">
        <f t="shared" ref="T30" si="6">SUM(K30:R30)</f>
        <v>390774752.1348657</v>
      </c>
      <c r="U30" s="468">
        <f t="shared" ref="U30" si="7">J30-T30</f>
        <v>0</v>
      </c>
      <c r="V30" s="62"/>
      <c r="W30" s="62"/>
    </row>
    <row r="31" spans="1:23" s="1" customFormat="1" x14ac:dyDescent="0.3">
      <c r="A31" s="484" t="s">
        <v>1106</v>
      </c>
      <c r="B31" s="62" t="s">
        <v>1326</v>
      </c>
      <c r="C31" s="461" t="s">
        <v>1222</v>
      </c>
      <c r="D31" s="461" t="s">
        <v>1120</v>
      </c>
      <c r="E31" s="171">
        <f>'4a. OM less M&amp;S'!D244</f>
        <v>398018568.98000002</v>
      </c>
      <c r="F31" s="171">
        <f>'4a. OM less M&amp;S'!E244</f>
        <v>0</v>
      </c>
      <c r="G31" s="171">
        <f>'4a. OM less M&amp;S'!F244</f>
        <v>398018568.98000002</v>
      </c>
      <c r="H31" s="171">
        <f>'4a. OM less M&amp;S'!G244</f>
        <v>28043339.343376208</v>
      </c>
      <c r="I31" s="171">
        <f>'4a. OM less M&amp;S'!H244</f>
        <v>369975229.6366238</v>
      </c>
      <c r="J31" s="171">
        <f>'4a. OM less M&amp;S'!I244</f>
        <v>369975229.6366238</v>
      </c>
      <c r="K31" s="171">
        <f>'4a. OM less M&amp;S'!J244</f>
        <v>213001170.19</v>
      </c>
      <c r="L31" s="171">
        <f>'4a. OM less M&amp;S'!K244</f>
        <v>18822174.359999999</v>
      </c>
      <c r="M31" s="171">
        <f>'4a. OM less M&amp;S'!L244</f>
        <v>83409257.848725498</v>
      </c>
      <c r="N31" s="171">
        <f>'4a. OM less M&amp;S'!M244</f>
        <v>19706104.882425778</v>
      </c>
      <c r="O31" s="171">
        <f>'4a. OM less M&amp;S'!N244</f>
        <v>5156971.9561113566</v>
      </c>
      <c r="P31" s="171">
        <f>'4a. OM less M&amp;S'!O244</f>
        <v>18774708.679361157</v>
      </c>
      <c r="Q31" s="171">
        <f>'4a. OM less M&amp;S'!P244</f>
        <v>11104841.719999999</v>
      </c>
      <c r="R31" s="171">
        <f>'4a. OM less M&amp;S'!Q244</f>
        <v>0</v>
      </c>
      <c r="S31" s="62"/>
      <c r="T31" s="62">
        <f>SUM(K31:R31)</f>
        <v>369975229.63662386</v>
      </c>
      <c r="U31" s="468">
        <f>J31-T31</f>
        <v>0</v>
      </c>
      <c r="V31" s="62"/>
      <c r="W31" s="62"/>
    </row>
    <row r="32" spans="1:23" s="1" customFormat="1" x14ac:dyDescent="0.3">
      <c r="A32" s="62" t="s">
        <v>1277</v>
      </c>
      <c r="B32" s="62" t="s">
        <v>1278</v>
      </c>
      <c r="C32" s="461" t="s">
        <v>1222</v>
      </c>
      <c r="D32" s="461" t="s">
        <v>1120</v>
      </c>
      <c r="E32" s="171">
        <f>'1. RB-i'!D469</f>
        <v>8207767991.3124952</v>
      </c>
      <c r="F32" s="171">
        <f>'1. RB-i'!E469</f>
        <v>0</v>
      </c>
      <c r="G32" s="171">
        <f>'1. RB-i'!F469</f>
        <v>8207767991.3124952</v>
      </c>
      <c r="H32" s="171">
        <f>'1. RB-i'!G469</f>
        <v>679949320.65636182</v>
      </c>
      <c r="I32" s="171">
        <f>'1. RB-i'!H469</f>
        <v>7527818670.6561337</v>
      </c>
      <c r="J32" s="171">
        <f>'1. RB-i'!I469</f>
        <v>7527818670.6561337</v>
      </c>
      <c r="K32" s="171">
        <f>'1. RB-i'!J469</f>
        <v>3896343509.8863668</v>
      </c>
      <c r="L32" s="171">
        <f>'1. RB-i'!K469</f>
        <v>947572667.61717868</v>
      </c>
      <c r="M32" s="171">
        <f>'1. RB-i'!L469</f>
        <v>2473708363.986165</v>
      </c>
      <c r="N32" s="171">
        <f>'1. RB-i'!M469</f>
        <v>178926208.46877405</v>
      </c>
      <c r="O32" s="171">
        <f>'1. RB-i'!N469</f>
        <v>10441490.41569642</v>
      </c>
      <c r="P32" s="171">
        <f>'1. RB-i'!O469</f>
        <v>48965566.058440767</v>
      </c>
      <c r="Q32" s="171">
        <f>'1. RB-i'!P469</f>
        <v>9739653.0432508364</v>
      </c>
      <c r="R32" s="171">
        <f>'1. RB-i'!Q469</f>
        <v>-37878786.944044746</v>
      </c>
      <c r="S32" s="62"/>
      <c r="T32" s="62">
        <f>SUM(K32:R32)</f>
        <v>7527818672.5318279</v>
      </c>
      <c r="U32" s="468">
        <f>J32-T32</f>
        <v>-1.8756942749023438</v>
      </c>
      <c r="V32" s="62"/>
      <c r="W32" s="62"/>
    </row>
    <row r="33" spans="1:23" x14ac:dyDescent="0.3">
      <c r="A33" s="62"/>
      <c r="B33" s="62"/>
      <c r="C33" s="489"/>
      <c r="D33" s="489"/>
      <c r="E33" s="171"/>
      <c r="F33" s="171"/>
      <c r="G33" s="171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</row>
    <row r="34" spans="1:23" x14ac:dyDescent="0.3">
      <c r="A34" s="4" t="s">
        <v>1349</v>
      </c>
      <c r="B34" s="4" t="s">
        <v>1350</v>
      </c>
    </row>
  </sheetData>
  <printOptions horizontalCentered="1" gridLines="1" gridLinesSet="0"/>
  <pageMargins left="0" right="0" top="0.5" bottom="0.4" header="0.2" footer="0.2"/>
  <pageSetup scale="40" orientation="landscape" horizontalDpi="300" verticalDpi="300" r:id="rId1"/>
  <headerFooter alignWithMargins="0">
    <oddFooter>&amp;L&amp;8&amp;F &amp;C&amp;8&amp;A
page &amp;P&amp;R&amp;8&amp;D
&amp;T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63"/>
  <sheetViews>
    <sheetView zoomScale="75" zoomScaleNormal="75" workbookViewId="0">
      <pane xSplit="2" ySplit="7" topLeftCell="C8" activePane="bottomRight" state="frozen"/>
      <selection activeCell="C9" sqref="C9"/>
      <selection pane="topRight" activeCell="C9" sqref="C9"/>
      <selection pane="bottomLeft" activeCell="C9" sqref="C9"/>
      <selection pane="bottomRight" activeCell="C8" sqref="C8"/>
    </sheetView>
  </sheetViews>
  <sheetFormatPr defaultColWidth="9.1796875" defaultRowHeight="13" x14ac:dyDescent="0.3"/>
  <cols>
    <col min="1" max="1" width="4.54296875" style="32" customWidth="1"/>
    <col min="2" max="2" width="32.1796875" style="32" customWidth="1"/>
    <col min="3" max="3" width="12.81640625" style="32" customWidth="1"/>
    <col min="4" max="4" width="11.453125" style="32" customWidth="1"/>
    <col min="5" max="8" width="15" style="32" customWidth="1"/>
    <col min="9" max="16" width="12.54296875" style="32" customWidth="1"/>
    <col min="17" max="17" width="12.453125" style="32" customWidth="1"/>
    <col min="18" max="18" width="13.81640625" style="32" customWidth="1"/>
    <col min="19" max="20" width="9.1796875" style="32"/>
    <col min="21" max="21" width="11.453125" style="32" bestFit="1" customWidth="1"/>
    <col min="22" max="22" width="8.54296875" style="32" bestFit="1" customWidth="1"/>
    <col min="23" max="16384" width="9.1796875" style="32"/>
  </cols>
  <sheetData>
    <row r="1" spans="1:54" x14ac:dyDescent="0.3">
      <c r="A1" s="301" t="str">
        <f>'1. RB-i'!$A$1</f>
        <v>CPS Energy</v>
      </c>
      <c r="B1" s="310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1"/>
      <c r="O1" s="42"/>
      <c r="P1" s="42"/>
      <c r="S1" s="1"/>
      <c r="T1" s="1"/>
    </row>
    <row r="2" spans="1:54" x14ac:dyDescent="0.3">
      <c r="A2" s="307" t="s">
        <v>1253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12"/>
      <c r="O2" s="35"/>
      <c r="P2" s="35"/>
    </row>
    <row r="3" spans="1:54" x14ac:dyDescent="0.3">
      <c r="A3" s="307" t="str">
        <f>'10d-2. Trans by class'!A3</f>
        <v>Based on FYE 2017 Test Year</v>
      </c>
      <c r="B3" s="306"/>
      <c r="C3" s="306"/>
      <c r="D3" s="306"/>
      <c r="E3" s="313"/>
      <c r="F3" s="313"/>
      <c r="G3" s="313"/>
      <c r="H3" s="313"/>
      <c r="I3" s="313"/>
      <c r="J3" s="306"/>
      <c r="K3" s="306"/>
      <c r="L3" s="306"/>
      <c r="M3" s="306"/>
      <c r="N3" s="312"/>
      <c r="O3" s="31"/>
      <c r="P3" s="31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</row>
    <row r="4" spans="1:54" s="5" customFormat="1" x14ac:dyDescent="0.3">
      <c r="A4" s="304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305"/>
    </row>
    <row r="5" spans="1:54" s="5" customFormat="1" x14ac:dyDescent="0.3">
      <c r="A5" s="304"/>
      <c r="B5" s="196"/>
      <c r="C5" s="196"/>
      <c r="D5" s="196"/>
      <c r="E5" s="196"/>
      <c r="F5" s="196"/>
      <c r="G5" s="196"/>
      <c r="H5" s="199"/>
      <c r="I5" s="199"/>
      <c r="J5" s="199"/>
      <c r="K5" s="196"/>
      <c r="L5" s="196"/>
      <c r="M5" s="196"/>
      <c r="N5" s="305"/>
      <c r="P5" s="5" t="s">
        <v>832</v>
      </c>
    </row>
    <row r="6" spans="1:54" s="5" customFormat="1" x14ac:dyDescent="0.3">
      <c r="A6" s="304"/>
      <c r="B6" s="196"/>
      <c r="C6" s="196" t="s">
        <v>359</v>
      </c>
      <c r="D6" s="196"/>
      <c r="E6" s="196" t="s">
        <v>355</v>
      </c>
      <c r="F6" s="196" t="s">
        <v>961</v>
      </c>
      <c r="G6" s="196" t="s">
        <v>962</v>
      </c>
      <c r="H6" s="196" t="s">
        <v>963</v>
      </c>
      <c r="I6" s="196" t="s">
        <v>964</v>
      </c>
      <c r="J6" s="196" t="s">
        <v>965</v>
      </c>
      <c r="K6" s="196" t="s">
        <v>966</v>
      </c>
      <c r="L6" s="196" t="s">
        <v>967</v>
      </c>
      <c r="M6" s="196" t="s">
        <v>968</v>
      </c>
      <c r="N6" s="305" t="s">
        <v>932</v>
      </c>
      <c r="P6" s="5" t="s">
        <v>833</v>
      </c>
      <c r="Q6" s="5" t="s">
        <v>824</v>
      </c>
    </row>
    <row r="7" spans="1:54" s="5" customFormat="1" ht="13.5" thickBot="1" x14ac:dyDescent="0.35">
      <c r="A7" s="299"/>
      <c r="B7" s="282"/>
      <c r="C7" s="282"/>
      <c r="D7" s="282"/>
      <c r="E7" s="282" t="s">
        <v>816</v>
      </c>
      <c r="F7" s="282" t="s">
        <v>817</v>
      </c>
      <c r="G7" s="282" t="s">
        <v>818</v>
      </c>
      <c r="H7" s="282" t="s">
        <v>819</v>
      </c>
      <c r="I7" s="282" t="s">
        <v>820</v>
      </c>
      <c r="J7" s="282" t="s">
        <v>821</v>
      </c>
      <c r="K7" s="282" t="s">
        <v>822</v>
      </c>
      <c r="L7" s="282" t="s">
        <v>823</v>
      </c>
      <c r="M7" s="282" t="s">
        <v>908</v>
      </c>
      <c r="N7" s="300" t="s">
        <v>914</v>
      </c>
    </row>
    <row r="8" spans="1:54" x14ac:dyDescent="0.3">
      <c r="A8" s="157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158"/>
      <c r="O8" s="35"/>
      <c r="P8" s="35"/>
    </row>
    <row r="9" spans="1:54" x14ac:dyDescent="0.3">
      <c r="A9" s="157" t="s">
        <v>544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158"/>
    </row>
    <row r="10" spans="1:54" x14ac:dyDescent="0.3">
      <c r="A10" s="157"/>
      <c r="B10" s="35" t="s">
        <v>969</v>
      </c>
      <c r="C10" s="35"/>
      <c r="D10" s="35"/>
      <c r="E10" s="243">
        <f>'9b. Summary Schedules-sf'!E$176</f>
        <v>169811627.8249402</v>
      </c>
      <c r="F10" s="243">
        <f>$E10*'11a. AF by class'!F$10/'11a. AF by class'!$E$10</f>
        <v>67598986.717791885</v>
      </c>
      <c r="G10" s="243">
        <f>$E10*'11a. AF by class'!G10/'11a. AF by class'!$E10</f>
        <v>20043037.633485958</v>
      </c>
      <c r="H10" s="243">
        <f>$E10*'11a. AF by class'!H10/'11a. AF by class'!$E10</f>
        <v>35498815.586097196</v>
      </c>
      <c r="I10" s="243">
        <f>$E10*'11a. AF by class'!I10/'11a. AF by class'!$E10</f>
        <v>20827208.594302721</v>
      </c>
      <c r="J10" s="243">
        <f>$E10*'11a. AF by class'!J10/'11a. AF by class'!$E10</f>
        <v>8753644.0645486079</v>
      </c>
      <c r="K10" s="243">
        <f>$E10*'11a. AF by class'!K10/'11a. AF by class'!$E10</f>
        <v>12968794.576319085</v>
      </c>
      <c r="L10" s="243">
        <f>$E10*'11a. AF by class'!L10/'11a. AF by class'!$E10</f>
        <v>3375905.2802930921</v>
      </c>
      <c r="M10" s="243">
        <f>$E10*'11a. AF by class'!M10/'11a. AF by class'!$E10</f>
        <v>18148.988839775233</v>
      </c>
      <c r="N10" s="244">
        <f>$E10*'11a. AF by class'!N10/'11a. AF by class'!$E10</f>
        <v>727086.38326187979</v>
      </c>
      <c r="P10" s="32">
        <f>SUM(F10:O10)</f>
        <v>169811627.8249402</v>
      </c>
      <c r="Q10" s="32">
        <f>E10-P10</f>
        <v>0</v>
      </c>
    </row>
    <row r="11" spans="1:54" x14ac:dyDescent="0.3">
      <c r="A11" s="157"/>
      <c r="B11" s="35" t="s">
        <v>1140</v>
      </c>
      <c r="C11" s="35"/>
      <c r="D11" s="35"/>
      <c r="E11" s="642"/>
      <c r="F11" s="642"/>
      <c r="G11" s="642"/>
      <c r="H11" s="642"/>
      <c r="I11" s="642"/>
      <c r="J11" s="642"/>
      <c r="K11" s="642"/>
      <c r="L11" s="642"/>
      <c r="M11" s="642"/>
      <c r="N11" s="643"/>
      <c r="O11" s="641"/>
      <c r="P11" s="641"/>
      <c r="Q11" s="641"/>
    </row>
    <row r="12" spans="1:54" x14ac:dyDescent="0.3">
      <c r="A12" s="157"/>
      <c r="B12" s="35" t="s">
        <v>1139</v>
      </c>
      <c r="C12" s="35"/>
      <c r="D12" s="35"/>
      <c r="E12" s="642"/>
      <c r="F12" s="642"/>
      <c r="G12" s="642"/>
      <c r="H12" s="642"/>
      <c r="I12" s="642"/>
      <c r="J12" s="642"/>
      <c r="K12" s="642"/>
      <c r="L12" s="642"/>
      <c r="M12" s="642"/>
      <c r="N12" s="643"/>
      <c r="O12" s="641"/>
      <c r="P12" s="641"/>
      <c r="Q12" s="641"/>
    </row>
    <row r="13" spans="1:54" x14ac:dyDescent="0.3">
      <c r="A13" s="157"/>
      <c r="B13" s="35" t="s">
        <v>947</v>
      </c>
      <c r="C13" s="35"/>
      <c r="D13" s="35"/>
      <c r="E13" s="642"/>
      <c r="F13" s="642"/>
      <c r="G13" s="642"/>
      <c r="H13" s="642"/>
      <c r="I13" s="642"/>
      <c r="J13" s="642"/>
      <c r="K13" s="642"/>
      <c r="L13" s="642"/>
      <c r="M13" s="642"/>
      <c r="N13" s="643"/>
      <c r="O13" s="641"/>
      <c r="P13" s="641"/>
      <c r="Q13" s="641"/>
    </row>
    <row r="14" spans="1:54" x14ac:dyDescent="0.3">
      <c r="A14" s="157"/>
      <c r="B14" s="35"/>
      <c r="C14" s="35"/>
      <c r="D14" s="35"/>
      <c r="E14" s="243"/>
      <c r="F14" s="243"/>
      <c r="G14" s="243"/>
      <c r="H14" s="243"/>
      <c r="I14" s="243"/>
      <c r="J14" s="243"/>
      <c r="K14" s="243"/>
      <c r="L14" s="243"/>
      <c r="M14" s="243"/>
      <c r="N14" s="244"/>
    </row>
    <row r="15" spans="1:54" x14ac:dyDescent="0.3">
      <c r="A15" s="157"/>
      <c r="B15" s="35" t="s">
        <v>970</v>
      </c>
      <c r="C15" s="35"/>
      <c r="D15" s="35"/>
      <c r="E15" s="243">
        <f>'9b. Summary Schedules-sf'!I176</f>
        <v>57390038.745059818</v>
      </c>
      <c r="F15" s="243">
        <f>$E15*'11a. AF by class'!F11/'11a. AF by class'!$E11</f>
        <v>19523848.592745341</v>
      </c>
      <c r="G15" s="243">
        <f>$E15*'11a. AF by class'!G11/'11a. AF by class'!$E11</f>
        <v>5239025.7017927859</v>
      </c>
      <c r="H15" s="243">
        <f>$E15*'11a. AF by class'!H11/'11a. AF by class'!$E11</f>
        <v>12733978.856617145</v>
      </c>
      <c r="I15" s="243">
        <f>$E15*'11a. AF by class'!I11/'11a. AF by class'!$E11</f>
        <v>8263124.1950910743</v>
      </c>
      <c r="J15" s="243">
        <f>$E15*'11a. AF by class'!J11/'11a. AF by class'!$E11</f>
        <v>3985803.9510701741</v>
      </c>
      <c r="K15" s="243">
        <f>$E15*'11a. AF by class'!K11/'11a. AF by class'!$E11</f>
        <v>6252070.6566012064</v>
      </c>
      <c r="L15" s="243">
        <f>$E15*'11a. AF by class'!L11/'11a. AF by class'!$E11</f>
        <v>1145622.8259114013</v>
      </c>
      <c r="M15" s="243">
        <f>$E15*'11a. AF by class'!M11/'11a. AF by class'!$E11</f>
        <v>11231.51821860394</v>
      </c>
      <c r="N15" s="244">
        <f>$E15*'11a. AF by class'!N11/'11a. AF by class'!$E11</f>
        <v>235332.44701208241</v>
      </c>
      <c r="P15" s="32">
        <f>SUM(F15:O15)</f>
        <v>57390038.745059818</v>
      </c>
      <c r="Q15" s="32">
        <f>E15-P15</f>
        <v>0</v>
      </c>
    </row>
    <row r="16" spans="1:54" x14ac:dyDescent="0.3">
      <c r="A16" s="157"/>
      <c r="B16" s="35" t="s">
        <v>971</v>
      </c>
      <c r="C16" s="35"/>
      <c r="D16" s="35"/>
      <c r="E16" s="35">
        <f>E10+E15</f>
        <v>227201666.57000002</v>
      </c>
      <c r="F16" s="35">
        <f t="shared" ref="F16:P16" si="0">F10+F15</f>
        <v>87122835.310537219</v>
      </c>
      <c r="G16" s="35">
        <f t="shared" si="0"/>
        <v>25282063.335278742</v>
      </c>
      <c r="H16" s="35">
        <f t="shared" si="0"/>
        <v>48232794.442714341</v>
      </c>
      <c r="I16" s="35">
        <f t="shared" si="0"/>
        <v>29090332.789393798</v>
      </c>
      <c r="J16" s="35">
        <f t="shared" si="0"/>
        <v>12739448.015618782</v>
      </c>
      <c r="K16" s="35">
        <f t="shared" si="0"/>
        <v>19220865.232920293</v>
      </c>
      <c r="L16" s="35">
        <f t="shared" si="0"/>
        <v>4521528.106204493</v>
      </c>
      <c r="M16" s="35">
        <f t="shared" si="0"/>
        <v>29380.507058379175</v>
      </c>
      <c r="N16" s="158">
        <f t="shared" si="0"/>
        <v>962418.83027396223</v>
      </c>
      <c r="O16" s="35"/>
      <c r="P16" s="35">
        <f t="shared" si="0"/>
        <v>227201666.57000002</v>
      </c>
      <c r="Q16" s="32">
        <f>E16-P16</f>
        <v>0</v>
      </c>
    </row>
    <row r="17" spans="1:17" x14ac:dyDescent="0.3">
      <c r="A17" s="157"/>
      <c r="B17" s="35" t="s">
        <v>617</v>
      </c>
      <c r="C17" s="35" t="s">
        <v>980</v>
      </c>
      <c r="D17" s="35"/>
      <c r="E17" s="243">
        <f>'9b. Summary Schedules-sf'!J176</f>
        <v>0</v>
      </c>
      <c r="F17" s="243">
        <f>$E17*'11a. AF by class'!F13/'11a. AF by class'!$E13</f>
        <v>0</v>
      </c>
      <c r="G17" s="243">
        <f>$E17*'11a. AF by class'!G13/'11a. AF by class'!$E13</f>
        <v>0</v>
      </c>
      <c r="H17" s="243">
        <f>$E17*'11a. AF by class'!H13/'11a. AF by class'!$E13</f>
        <v>0</v>
      </c>
      <c r="I17" s="243">
        <f>$E17*'11a. AF by class'!I13/'11a. AF by class'!$E13</f>
        <v>0</v>
      </c>
      <c r="J17" s="243">
        <f>$E17*'11a. AF by class'!J13/'11a. AF by class'!$E13</f>
        <v>0</v>
      </c>
      <c r="K17" s="243">
        <f>$E17*'11a. AF by class'!K13/'11a. AF by class'!$E13</f>
        <v>0</v>
      </c>
      <c r="L17" s="243">
        <f>$E17*'11a. AF by class'!L13/'11a. AF by class'!$E13</f>
        <v>0</v>
      </c>
      <c r="M17" s="243">
        <f>$E17*'11a. AF by class'!M13/'11a. AF by class'!$E13</f>
        <v>0</v>
      </c>
      <c r="N17" s="244">
        <f>$E17*'11a. AF by class'!N13/'11a. AF by class'!$E13</f>
        <v>0</v>
      </c>
      <c r="P17" s="32">
        <f>SUM(F17:O17)</f>
        <v>0</v>
      </c>
      <c r="Q17" s="32">
        <f>E17-P17</f>
        <v>0</v>
      </c>
    </row>
    <row r="18" spans="1:17" x14ac:dyDescent="0.3">
      <c r="A18" s="157"/>
      <c r="B18" s="35" t="s">
        <v>972</v>
      </c>
      <c r="C18" s="35"/>
      <c r="D18" s="35"/>
      <c r="E18" s="243">
        <f>SUM(E16:E17)</f>
        <v>227201666.57000002</v>
      </c>
      <c r="F18" s="243">
        <f t="shared" ref="F18:N18" si="1">SUM(F16:F17)</f>
        <v>87122835.310537219</v>
      </c>
      <c r="G18" s="243">
        <f t="shared" si="1"/>
        <v>25282063.335278742</v>
      </c>
      <c r="H18" s="243">
        <f t="shared" si="1"/>
        <v>48232794.442714341</v>
      </c>
      <c r="I18" s="243">
        <f t="shared" si="1"/>
        <v>29090332.789393798</v>
      </c>
      <c r="J18" s="243">
        <f t="shared" si="1"/>
        <v>12739448.015618782</v>
      </c>
      <c r="K18" s="243">
        <f t="shared" si="1"/>
        <v>19220865.232920293</v>
      </c>
      <c r="L18" s="243">
        <f t="shared" si="1"/>
        <v>4521528.106204493</v>
      </c>
      <c r="M18" s="243">
        <f t="shared" si="1"/>
        <v>29380.507058379175</v>
      </c>
      <c r="N18" s="244">
        <f t="shared" si="1"/>
        <v>962418.83027396223</v>
      </c>
      <c r="P18" s="32">
        <f>SUM(F18:O18)</f>
        <v>227201666.56999996</v>
      </c>
      <c r="Q18" s="32">
        <f>E18-P18</f>
        <v>0</v>
      </c>
    </row>
    <row r="19" spans="1:17" x14ac:dyDescent="0.3">
      <c r="A19" s="157"/>
      <c r="B19" s="35"/>
      <c r="C19" s="35"/>
      <c r="D19" s="35"/>
      <c r="E19" s="243"/>
      <c r="F19" s="243"/>
      <c r="G19" s="243"/>
      <c r="H19" s="243"/>
      <c r="I19" s="243"/>
      <c r="J19" s="243"/>
      <c r="K19" s="243"/>
      <c r="L19" s="243"/>
      <c r="M19" s="243"/>
      <c r="N19" s="244"/>
    </row>
    <row r="20" spans="1:17" x14ac:dyDescent="0.3">
      <c r="A20" s="157" t="s">
        <v>984</v>
      </c>
      <c r="B20" s="35"/>
      <c r="C20" s="35"/>
      <c r="D20" s="35"/>
      <c r="E20" s="243">
        <f>'9b. Summary Schedules-sf'!K176</f>
        <v>0</v>
      </c>
      <c r="F20" s="243">
        <f>$E20*'11a. AF by class'!F16/'11a. AF by class'!$E16</f>
        <v>0</v>
      </c>
      <c r="G20" s="243">
        <f>$E20*'11a. AF by class'!G16/'11a. AF by class'!$E16</f>
        <v>0</v>
      </c>
      <c r="H20" s="243">
        <f>$E20*'11a. AF by class'!H16/'11a. AF by class'!$E16</f>
        <v>0</v>
      </c>
      <c r="I20" s="243">
        <f>$E20*'11a. AF by class'!I16/'11a. AF by class'!$E16</f>
        <v>0</v>
      </c>
      <c r="J20" s="243">
        <f>$E20*'11a. AF by class'!J16/'11a. AF by class'!$E16</f>
        <v>0</v>
      </c>
      <c r="K20" s="243">
        <f>$E20*'11a. AF by class'!K16/'11a. AF by class'!$E16</f>
        <v>0</v>
      </c>
      <c r="L20" s="243">
        <f>$E20*'11a. AF by class'!L16/'11a. AF by class'!$E16</f>
        <v>0</v>
      </c>
      <c r="M20" s="243">
        <f>$E20*'11a. AF by class'!M16/'11a. AF by class'!$E16</f>
        <v>0</v>
      </c>
      <c r="N20" s="244">
        <f>$E20*'11a. AF by class'!N16/'11a. AF by class'!$E16</f>
        <v>0</v>
      </c>
      <c r="P20" s="32">
        <f>SUM(F20:O20)</f>
        <v>0</v>
      </c>
      <c r="Q20" s="32">
        <f>E20-P20</f>
        <v>0</v>
      </c>
    </row>
    <row r="21" spans="1:17" x14ac:dyDescent="0.3">
      <c r="A21" s="157"/>
      <c r="B21" s="35"/>
      <c r="C21" s="35"/>
      <c r="D21" s="35"/>
      <c r="E21" s="243"/>
      <c r="F21" s="243"/>
      <c r="G21" s="243"/>
      <c r="H21" s="243"/>
      <c r="I21" s="243"/>
      <c r="J21" s="243"/>
      <c r="K21" s="243"/>
      <c r="L21" s="243"/>
      <c r="M21" s="243"/>
      <c r="N21" s="244"/>
    </row>
    <row r="22" spans="1:17" x14ac:dyDescent="0.3">
      <c r="A22" s="157" t="s">
        <v>366</v>
      </c>
      <c r="B22" s="35"/>
      <c r="C22" s="35"/>
      <c r="D22" s="35"/>
      <c r="E22" s="243">
        <f>'9b. Summary Schedules-sf'!L176</f>
        <v>0</v>
      </c>
      <c r="F22" s="243">
        <f>$E22*'11a. AF by class'!F18/'11a. AF by class'!$E18</f>
        <v>0</v>
      </c>
      <c r="G22" s="243">
        <f>$E22*'11a. AF by class'!G18/'11a. AF by class'!$E18</f>
        <v>0</v>
      </c>
      <c r="H22" s="243">
        <f>$E22*'11a. AF by class'!H18/'11a. AF by class'!$E18</f>
        <v>0</v>
      </c>
      <c r="I22" s="243">
        <f>$E22*'11a. AF by class'!I18/'11a. AF by class'!$E18</f>
        <v>0</v>
      </c>
      <c r="J22" s="243">
        <f>$E22*'11a. AF by class'!J18/'11a. AF by class'!$E18</f>
        <v>0</v>
      </c>
      <c r="K22" s="243">
        <f>$E22*'11a. AF by class'!K18/'11a. AF by class'!$E18</f>
        <v>0</v>
      </c>
      <c r="L22" s="243">
        <f>$E22*'11a. AF by class'!L18/'11a. AF by class'!$E18</f>
        <v>0</v>
      </c>
      <c r="M22" s="243">
        <f>$E22*'11a. AF by class'!M18/'11a. AF by class'!$E18</f>
        <v>0</v>
      </c>
      <c r="N22" s="244">
        <f>$E22*'11a. AF by class'!N18/'11a. AF by class'!$E18</f>
        <v>0</v>
      </c>
      <c r="P22" s="32">
        <f>SUM(F22:O22)</f>
        <v>0</v>
      </c>
      <c r="Q22" s="32">
        <f>E22-P22</f>
        <v>0</v>
      </c>
    </row>
    <row r="23" spans="1:17" x14ac:dyDescent="0.3">
      <c r="A23" s="157"/>
      <c r="B23" s="35"/>
      <c r="C23" s="35"/>
      <c r="D23" s="35"/>
      <c r="E23" s="243"/>
      <c r="F23" s="243"/>
      <c r="G23" s="243"/>
      <c r="H23" s="243"/>
      <c r="I23" s="243"/>
      <c r="J23" s="243"/>
      <c r="K23" s="243"/>
      <c r="L23" s="243"/>
      <c r="M23" s="243"/>
      <c r="N23" s="244"/>
    </row>
    <row r="24" spans="1:17" x14ac:dyDescent="0.3">
      <c r="A24" s="157" t="s">
        <v>367</v>
      </c>
      <c r="B24" s="35"/>
      <c r="C24" s="35"/>
      <c r="D24" s="35"/>
      <c r="E24" s="243"/>
      <c r="F24" s="243"/>
      <c r="G24" s="243"/>
      <c r="H24" s="243"/>
      <c r="I24" s="243"/>
      <c r="J24" s="243"/>
      <c r="K24" s="243"/>
      <c r="L24" s="243"/>
      <c r="M24" s="243"/>
      <c r="N24" s="244"/>
    </row>
    <row r="25" spans="1:17" x14ac:dyDescent="0.3">
      <c r="A25" s="157"/>
      <c r="B25" s="35" t="s">
        <v>973</v>
      </c>
      <c r="C25" s="35"/>
      <c r="D25" s="35"/>
      <c r="E25" s="243"/>
      <c r="F25" s="243"/>
      <c r="G25" s="243"/>
      <c r="H25" s="243"/>
      <c r="I25" s="243"/>
      <c r="J25" s="243"/>
      <c r="K25" s="243"/>
      <c r="L25" s="243"/>
      <c r="M25" s="243"/>
      <c r="N25" s="244"/>
    </row>
    <row r="26" spans="1:17" x14ac:dyDescent="0.3">
      <c r="A26" s="157"/>
      <c r="B26" s="159" t="s">
        <v>974</v>
      </c>
      <c r="C26" s="35"/>
      <c r="D26" s="35"/>
      <c r="E26" s="243">
        <f>'9b. Summary Schedules-sf'!N176</f>
        <v>18567236.929002482</v>
      </c>
      <c r="F26" s="243">
        <f>$E26*'11a. AF by class'!F22/'11a. AF by class'!$E22</f>
        <v>7487107.9280288322</v>
      </c>
      <c r="G26" s="243">
        <f>$E26*'11a. AF by class'!G22/'11a. AF by class'!$E22</f>
        <v>2234100.3715630006</v>
      </c>
      <c r="H26" s="243">
        <f>$E26*'11a. AF by class'!H22/'11a. AF by class'!$E22</f>
        <v>3867769.0892345444</v>
      </c>
      <c r="I26" s="243">
        <f>$E26*'11a. AF by class'!I22/'11a. AF by class'!$E22</f>
        <v>2248792.9437985374</v>
      </c>
      <c r="J26" s="243">
        <f>$E26*'11a. AF by class'!J22/'11a. AF by class'!$E22</f>
        <v>931938.17001620366</v>
      </c>
      <c r="K26" s="243">
        <f>$E26*'11a. AF by class'!K22/'11a. AF by class'!$E22</f>
        <v>1371745.4285349254</v>
      </c>
      <c r="L26" s="243">
        <f>$E26*'11a. AF by class'!L22/'11a. AF by class'!$E22</f>
        <v>344053.63694450463</v>
      </c>
      <c r="M26" s="243">
        <f>$E26*'11a. AF by class'!M22/'11a. AF by class'!$E22</f>
        <v>1854.1361276943164</v>
      </c>
      <c r="N26" s="244">
        <f>$E26*'11a. AF by class'!N22/'11a. AF by class'!$E22</f>
        <v>79875.224754239811</v>
      </c>
      <c r="P26" s="32">
        <f>SUM(F26:O26)</f>
        <v>18567236.929002482</v>
      </c>
      <c r="Q26" s="32">
        <f>E26-P26</f>
        <v>0</v>
      </c>
    </row>
    <row r="27" spans="1:17" x14ac:dyDescent="0.3">
      <c r="A27" s="157"/>
      <c r="B27" s="159" t="s">
        <v>975</v>
      </c>
      <c r="C27" s="35"/>
      <c r="D27" s="35"/>
      <c r="E27" s="243">
        <f>'9b. Summary Schedules-sf'!O176</f>
        <v>28230907.715102665</v>
      </c>
      <c r="F27" s="243">
        <f>$E27*'11a. AF by class'!F23/'11a. AF by class'!$E23</f>
        <v>11582664.963329267</v>
      </c>
      <c r="G27" s="243">
        <f>$E27*'11a. AF by class'!G23/'11a. AF by class'!$E23</f>
        <v>3456185.7992444322</v>
      </c>
      <c r="H27" s="243">
        <f>$E27*'11a. AF by class'!H23/'11a. AF by class'!$E23</f>
        <v>5983495.0887263846</v>
      </c>
      <c r="I27" s="243">
        <f>$E27*'11a. AF by class'!I23/'11a. AF by class'!$E23</f>
        <v>3478915.4223899269</v>
      </c>
      <c r="J27" s="243">
        <f>$E27*'11a. AF by class'!J23/'11a. AF by class'!$E23</f>
        <v>1441721.9163391637</v>
      </c>
      <c r="K27" s="243">
        <f>$E27*'11a. AF by class'!K23/'11a. AF by class'!$E23</f>
        <v>2122110.1480610827</v>
      </c>
      <c r="L27" s="243">
        <f>$E27*'11a. AF by class'!L23/'11a. AF by class'!$E23</f>
        <v>39377.865897267846</v>
      </c>
      <c r="M27" s="243">
        <f>$E27*'11a. AF by class'!M23/'11a. AF by class'!$E23</f>
        <v>2868.3755823915317</v>
      </c>
      <c r="N27" s="244">
        <f>$E27*'11a. AF by class'!N23/'11a. AF by class'!$E23</f>
        <v>123568.13553274868</v>
      </c>
      <c r="P27" s="32">
        <f>SUM(F27:O27)</f>
        <v>28230907.715102665</v>
      </c>
      <c r="Q27" s="32">
        <f>E27-P27</f>
        <v>0</v>
      </c>
    </row>
    <row r="28" spans="1:17" x14ac:dyDescent="0.3">
      <c r="A28" s="157"/>
      <c r="B28" s="159" t="s">
        <v>976</v>
      </c>
      <c r="C28" s="35"/>
      <c r="D28" s="35"/>
      <c r="E28" s="243">
        <f>'9b. Summary Schedules-sf'!P176</f>
        <v>7768739.4674058827</v>
      </c>
      <c r="F28" s="243">
        <f>$E28*'11a. AF by class'!F24/'11a. AF by class'!$E24</f>
        <v>3946767.1875038287</v>
      </c>
      <c r="G28" s="243">
        <f>$E28*'11a. AF by class'!G24/'11a. AF by class'!$E24</f>
        <v>1451286.5969554146</v>
      </c>
      <c r="H28" s="243">
        <f>$E28*'11a. AF by class'!H24/'11a. AF by class'!$E24</f>
        <v>1344823.1256763164</v>
      </c>
      <c r="I28" s="243">
        <f>$E28*'11a. AF by class'!I24/'11a. AF by class'!$E24</f>
        <v>691479.49291304813</v>
      </c>
      <c r="J28" s="243">
        <f>$E28*'11a. AF by class'!J24/'11a. AF by class'!$E24</f>
        <v>235076.92118896611</v>
      </c>
      <c r="K28" s="243">
        <f>$E28*'11a. AF by class'!K24/'11a. AF by class'!$E24</f>
        <v>78493.119761831171</v>
      </c>
      <c r="L28" s="243">
        <f>$E28*'11a. AF by class'!L24/'11a. AF by class'!$E24</f>
        <v>0</v>
      </c>
      <c r="M28" s="243">
        <f>$E28*'11a. AF by class'!M24/'11a. AF by class'!$E24</f>
        <v>472.17032175553817</v>
      </c>
      <c r="N28" s="244">
        <f>$E28*'11a. AF by class'!N24/'11a. AF by class'!$E24</f>
        <v>20340.853084721948</v>
      </c>
      <c r="P28" s="32">
        <f>SUM(F28:O28)</f>
        <v>7768739.4674058817</v>
      </c>
      <c r="Q28" s="32">
        <f>E28-P28</f>
        <v>0</v>
      </c>
    </row>
    <row r="29" spans="1:17" x14ac:dyDescent="0.3">
      <c r="A29" s="157"/>
      <c r="B29" s="159" t="s">
        <v>931</v>
      </c>
      <c r="C29" s="35"/>
      <c r="D29" s="35"/>
      <c r="E29" s="580">
        <f>'9b. Summary Schedules-sf'!Q176</f>
        <v>1105046.827609252</v>
      </c>
      <c r="F29" s="580">
        <f>$E29*'11a. AF by class'!F25/'11a. AF by class'!$E25</f>
        <v>535194.75579109683</v>
      </c>
      <c r="G29" s="580">
        <f>$E29*'11a. AF by class'!G25/'11a. AF by class'!$E25</f>
        <v>184714.29338336093</v>
      </c>
      <c r="H29" s="580">
        <f>$E29*'11a. AF by class'!H25/'11a. AF by class'!$E25</f>
        <v>213018.53275533923</v>
      </c>
      <c r="I29" s="580">
        <f>$E29*'11a. AF by class'!I25/'11a. AF by class'!$E25</f>
        <v>114259.6583987089</v>
      </c>
      <c r="J29" s="580">
        <f>$E29*'11a. AF by class'!J25/'11a. AF by class'!$E25</f>
        <v>40377.743827086349</v>
      </c>
      <c r="K29" s="580">
        <f>$E29*'11a. AF by class'!K25/'11a. AF by class'!$E25</f>
        <v>13675.854893087993</v>
      </c>
      <c r="L29" s="580">
        <f>$E29*'11a. AF by class'!L25/'11a. AF by class'!$E25</f>
        <v>0</v>
      </c>
      <c r="M29" s="580">
        <f>$E29*'11a. AF by class'!M25/'11a. AF by class'!$E25</f>
        <v>86.343766984076254</v>
      </c>
      <c r="N29" s="600">
        <f>$E29*'11a. AF by class'!N25/'11a. AF by class'!$E25</f>
        <v>3719.6447935875813</v>
      </c>
      <c r="P29" s="32">
        <f>SUM(F29:O29)</f>
        <v>1105046.827609252</v>
      </c>
      <c r="Q29" s="32">
        <f>E29-P29</f>
        <v>0</v>
      </c>
    </row>
    <row r="30" spans="1:17" x14ac:dyDescent="0.3">
      <c r="A30" s="157"/>
      <c r="B30" s="35" t="s">
        <v>977</v>
      </c>
      <c r="C30" s="35"/>
      <c r="D30" s="35"/>
      <c r="E30" s="243">
        <f>SUM(E26:E29)</f>
        <v>55671930.939120285</v>
      </c>
      <c r="F30" s="243">
        <f t="shared" ref="F30:N30" si="2">SUM(F26:F29)</f>
        <v>23551734.834653027</v>
      </c>
      <c r="G30" s="243">
        <f t="shared" si="2"/>
        <v>7326287.0611462081</v>
      </c>
      <c r="H30" s="243">
        <f t="shared" si="2"/>
        <v>11409105.836392585</v>
      </c>
      <c r="I30" s="243">
        <f t="shared" si="2"/>
        <v>6533447.5175002217</v>
      </c>
      <c r="J30" s="243">
        <f t="shared" si="2"/>
        <v>2649114.7513714195</v>
      </c>
      <c r="K30" s="243">
        <f t="shared" si="2"/>
        <v>3586024.5512509272</v>
      </c>
      <c r="L30" s="243">
        <f t="shared" si="2"/>
        <v>383431.50284177245</v>
      </c>
      <c r="M30" s="243">
        <f t="shared" si="2"/>
        <v>5281.0257988254616</v>
      </c>
      <c r="N30" s="244">
        <f t="shared" si="2"/>
        <v>227503.85816529804</v>
      </c>
      <c r="P30" s="32">
        <f>SUM(F30:O30)</f>
        <v>55671930.939120285</v>
      </c>
      <c r="Q30" s="32">
        <f>E30-P30</f>
        <v>0</v>
      </c>
    </row>
    <row r="31" spans="1:17" x14ac:dyDescent="0.3">
      <c r="A31" s="157"/>
      <c r="B31" s="35"/>
      <c r="C31" s="35"/>
      <c r="D31" s="35"/>
      <c r="E31" s="243"/>
      <c r="F31" s="243"/>
      <c r="G31" s="243"/>
      <c r="H31" s="243"/>
      <c r="I31" s="243"/>
      <c r="J31" s="243"/>
      <c r="K31" s="243"/>
      <c r="L31" s="243"/>
      <c r="M31" s="243"/>
      <c r="N31" s="244"/>
    </row>
    <row r="32" spans="1:17" x14ac:dyDescent="0.3">
      <c r="A32" s="157"/>
      <c r="B32" s="35" t="s">
        <v>978</v>
      </c>
      <c r="C32" s="35"/>
      <c r="D32" s="35"/>
      <c r="E32" s="243"/>
      <c r="F32" s="243"/>
      <c r="G32" s="243"/>
      <c r="H32" s="243"/>
      <c r="I32" s="243"/>
      <c r="J32" s="243"/>
      <c r="K32" s="243"/>
      <c r="L32" s="243"/>
      <c r="M32" s="243"/>
      <c r="N32" s="244"/>
    </row>
    <row r="33" spans="1:17" x14ac:dyDescent="0.3">
      <c r="A33" s="157"/>
      <c r="B33" s="159" t="s">
        <v>975</v>
      </c>
      <c r="C33" s="35"/>
      <c r="D33" s="35"/>
      <c r="E33" s="243">
        <f>'9b. Summary Schedules-sf'!R176</f>
        <v>20029161.203761414</v>
      </c>
      <c r="F33" s="243">
        <f>$E33*'11a. AF by class'!F29/'11a. AF by class'!$E29</f>
        <v>14365107.791643772</v>
      </c>
      <c r="G33" s="243">
        <f>$E33*'11a. AF by class'!G29/'11a. AF by class'!$E29</f>
        <v>3532853.7558046281</v>
      </c>
      <c r="H33" s="243">
        <f>$E33*'11a. AF by class'!H29/'11a. AF by class'!$E29</f>
        <v>1882506.9327485347</v>
      </c>
      <c r="I33" s="243">
        <f>$E33*'11a. AF by class'!I29/'11a. AF by class'!$E29</f>
        <v>51231.002560918561</v>
      </c>
      <c r="J33" s="243">
        <f>$E33*'11a. AF by class'!J29/'11a. AF by class'!$E29</f>
        <v>4522.5995394631391</v>
      </c>
      <c r="K33" s="243">
        <f>$E33*'11a. AF by class'!K29/'11a. AF by class'!$E29</f>
        <v>979.89656688368007</v>
      </c>
      <c r="L33" s="243">
        <f>$E33*'11a. AF by class'!L29/'11a. AF by class'!$E29</f>
        <v>50.25110599403488</v>
      </c>
      <c r="M33" s="243">
        <f>$E33*'11a. AF by class'!M29/'11a. AF by class'!$E29</f>
        <v>45502.376477598584</v>
      </c>
      <c r="N33" s="244">
        <f>$E33*'11a. AF by class'!N29/'11a. AF by class'!$E29</f>
        <v>146406.59731362064</v>
      </c>
      <c r="P33" s="32">
        <f t="shared" ref="P33:P39" si="3">SUM(F33:O33)</f>
        <v>20029161.20376141</v>
      </c>
      <c r="Q33" s="32">
        <f t="shared" ref="Q33:Q39" si="4">E33-P33</f>
        <v>0</v>
      </c>
    </row>
    <row r="34" spans="1:17" x14ac:dyDescent="0.3">
      <c r="A34" s="157"/>
      <c r="B34" s="159" t="s">
        <v>976</v>
      </c>
      <c r="C34" s="35"/>
      <c r="D34" s="35"/>
      <c r="E34" s="243">
        <f>'9b. Summary Schedules-sf'!S176</f>
        <v>5328279.3604328306</v>
      </c>
      <c r="F34" s="243">
        <f>$E34*'11a. AF by class'!F30/'11a. AF by class'!$E30</f>
        <v>3821910.5123957363</v>
      </c>
      <c r="G34" s="243">
        <f>$E34*'11a. AF by class'!G30/'11a. AF by class'!$E30</f>
        <v>939933.83856964647</v>
      </c>
      <c r="H34" s="243">
        <f>$E34*'11a. AF by class'!H30/'11a. AF by class'!$E30</f>
        <v>500850.61248998763</v>
      </c>
      <c r="I34" s="243">
        <f>$E34*'11a. AF by class'!I30/'11a. AF by class'!$E30</f>
        <v>13362.879376000818</v>
      </c>
      <c r="J34" s="243">
        <f>$E34*'11a. AF by class'!J30/'11a. AF by class'!$E30</f>
        <v>1089.6194788835085</v>
      </c>
      <c r="K34" s="243">
        <f>$E34*'11a. AF by class'!K30/'11a. AF by class'!$E30</f>
        <v>73.532602869439216</v>
      </c>
      <c r="L34" s="243">
        <f>$E34*'11a. AF by class'!L30/'11a. AF by class'!$E30</f>
        <v>0</v>
      </c>
      <c r="M34" s="243">
        <f>$E34*'11a. AF by class'!M30/'11a. AF by class'!$E30</f>
        <v>12106.140345141312</v>
      </c>
      <c r="N34" s="244">
        <f>$E34*'11a. AF by class'!N30/'11a. AF by class'!$E30</f>
        <v>38952.225174565669</v>
      </c>
      <c r="P34" s="32">
        <f t="shared" si="3"/>
        <v>5328279.3604328297</v>
      </c>
      <c r="Q34" s="32">
        <f t="shared" si="4"/>
        <v>0</v>
      </c>
    </row>
    <row r="35" spans="1:17" x14ac:dyDescent="0.3">
      <c r="A35" s="157"/>
      <c r="B35" s="159" t="s">
        <v>931</v>
      </c>
      <c r="C35" s="35"/>
      <c r="D35" s="35"/>
      <c r="E35" s="243">
        <f>'9b. Summary Schedules-sf'!T176</f>
        <v>1207979.7694277053</v>
      </c>
      <c r="F35" s="243">
        <f>$E35*'11a. AF by class'!F31/'11a. AF by class'!$E31</f>
        <v>866469.31724730169</v>
      </c>
      <c r="G35" s="243">
        <f>$E35*'11a. AF by class'!G31/'11a. AF by class'!$E31</f>
        <v>213093.38058063571</v>
      </c>
      <c r="H35" s="243">
        <f>$E35*'11a. AF by class'!H31/'11a. AF by class'!$E31</f>
        <v>113548.36457828537</v>
      </c>
      <c r="I35" s="243">
        <f>$E35*'11a. AF by class'!I31/'11a. AF by class'!$E31</f>
        <v>3029.5123163738249</v>
      </c>
      <c r="J35" s="243">
        <f>$E35*'11a. AF by class'!J31/'11a. AF by class'!$E31</f>
        <v>247.02876816855104</v>
      </c>
      <c r="K35" s="243">
        <f>$E35*'11a. AF by class'!K31/'11a. AF by class'!$E31</f>
        <v>16.670653066589335</v>
      </c>
      <c r="L35" s="243">
        <f>$E35*'11a. AF by class'!L31/'11a. AF by class'!$E31</f>
        <v>0</v>
      </c>
      <c r="M35" s="243">
        <f>$E35*'11a. AF by class'!M31/'11a. AF by class'!$E31</f>
        <v>2744.5957003266617</v>
      </c>
      <c r="N35" s="244">
        <f>$E35*'11a. AF by class'!N31/'11a. AF by class'!$E31</f>
        <v>8830.8995835469123</v>
      </c>
      <c r="P35" s="32">
        <f t="shared" si="3"/>
        <v>1207979.7694277053</v>
      </c>
      <c r="Q35" s="32">
        <f t="shared" si="4"/>
        <v>0</v>
      </c>
    </row>
    <row r="36" spans="1:17" x14ac:dyDescent="0.3">
      <c r="A36" s="157"/>
      <c r="B36" s="159" t="s">
        <v>456</v>
      </c>
      <c r="C36" s="35"/>
      <c r="D36" s="35"/>
      <c r="E36" s="243">
        <f>'9b. Summary Schedules-sf'!U176</f>
        <v>0</v>
      </c>
      <c r="F36" s="243">
        <f>$E36*'11a. AF by class'!F32/'11a. AF by class'!$E32</f>
        <v>0</v>
      </c>
      <c r="G36" s="243">
        <f>$E36*'11a. AF by class'!G32/'11a. AF by class'!$E32</f>
        <v>0</v>
      </c>
      <c r="H36" s="243">
        <f>$E36*'11a. AF by class'!H32/'11a. AF by class'!$E32</f>
        <v>0</v>
      </c>
      <c r="I36" s="243">
        <f>$E36*'11a. AF by class'!I32/'11a. AF by class'!$E32</f>
        <v>0</v>
      </c>
      <c r="J36" s="243">
        <f>$E36*'11a. AF by class'!J32/'11a. AF by class'!$E32</f>
        <v>0</v>
      </c>
      <c r="K36" s="243">
        <f>$E36*'11a. AF by class'!K32/'11a. AF by class'!$E32</f>
        <v>0</v>
      </c>
      <c r="L36" s="243">
        <f>$E36*'11a. AF by class'!L32/'11a. AF by class'!$E32</f>
        <v>0</v>
      </c>
      <c r="M36" s="243">
        <f>$E36*'11a. AF by class'!M32/'11a. AF by class'!$E32</f>
        <v>0</v>
      </c>
      <c r="N36" s="244">
        <f>$E36*'11a. AF by class'!N32/'11a. AF by class'!$E32</f>
        <v>0</v>
      </c>
      <c r="P36" s="32">
        <f t="shared" si="3"/>
        <v>0</v>
      </c>
      <c r="Q36" s="32">
        <f t="shared" si="4"/>
        <v>0</v>
      </c>
    </row>
    <row r="37" spans="1:17" x14ac:dyDescent="0.3">
      <c r="A37" s="157"/>
      <c r="B37" s="159" t="s">
        <v>932</v>
      </c>
      <c r="C37" s="35"/>
      <c r="D37" s="35"/>
      <c r="E37" s="243">
        <f>'9b. Summary Schedules-sf'!V176</f>
        <v>5117945.2002358725</v>
      </c>
      <c r="F37" s="243">
        <f>$E37*'11a. AF by class'!F33/'11a. AF by class'!$E33</f>
        <v>0</v>
      </c>
      <c r="G37" s="243">
        <f>$E37*'11a. AF by class'!G33/'11a. AF by class'!$E33</f>
        <v>0</v>
      </c>
      <c r="H37" s="243">
        <f>$E37*'11a. AF by class'!H33/'11a. AF by class'!$E33</f>
        <v>0</v>
      </c>
      <c r="I37" s="243">
        <f>$E37*'11a. AF by class'!I33/'11a. AF by class'!$E33</f>
        <v>0</v>
      </c>
      <c r="J37" s="243">
        <f>$E37*'11a. AF by class'!J33/'11a. AF by class'!$E33</f>
        <v>0</v>
      </c>
      <c r="K37" s="243">
        <f>$E37*'11a. AF by class'!K33/'11a. AF by class'!$E33</f>
        <v>0</v>
      </c>
      <c r="L37" s="243">
        <f>$E37*'11a. AF by class'!L33/'11a. AF by class'!$E33</f>
        <v>0</v>
      </c>
      <c r="M37" s="243">
        <f>$E37*'11a. AF by class'!M33/'11a. AF by class'!$E33</f>
        <v>0</v>
      </c>
      <c r="N37" s="244">
        <f>$E37*'11a. AF by class'!N33/'11a. AF by class'!$E33</f>
        <v>5117945.2002358725</v>
      </c>
      <c r="P37" s="32">
        <f t="shared" si="3"/>
        <v>5117945.2002358725</v>
      </c>
      <c r="Q37" s="32">
        <f t="shared" si="4"/>
        <v>0</v>
      </c>
    </row>
    <row r="38" spans="1:17" x14ac:dyDescent="0.3">
      <c r="A38" s="157"/>
      <c r="B38" s="159" t="s">
        <v>1013</v>
      </c>
      <c r="C38" s="35"/>
      <c r="D38" s="35"/>
      <c r="E38" s="580">
        <f>'9b. Summary Schedules-sf'!W176</f>
        <v>1455608.914671842</v>
      </c>
      <c r="F38" s="580">
        <f>$E38*'11a. AF by class'!F34/'11a. AF by class'!$E34</f>
        <v>507503.18215224246</v>
      </c>
      <c r="G38" s="580">
        <f>$E38*'11a. AF by class'!G34/'11a. AF by class'!$E34</f>
        <v>136183.30435246194</v>
      </c>
      <c r="H38" s="580">
        <f>$E38*'11a. AF by class'!H34/'11a. AF by class'!$E34</f>
        <v>331007.21717304859</v>
      </c>
      <c r="I38" s="580">
        <f>$E38*'11a. AF by class'!I34/'11a. AF by class'!$E34</f>
        <v>214791.76114314614</v>
      </c>
      <c r="J38" s="580">
        <f>$E38*'11a. AF by class'!J34/'11a. AF by class'!$E34</f>
        <v>103607.04135734426</v>
      </c>
      <c r="K38" s="580">
        <f>$E38*'11a. AF by class'!K34/'11a. AF by class'!$E34</f>
        <v>162516.40849359863</v>
      </c>
      <c r="L38" s="580">
        <f>$E38*'11a. AF by class'!L34/'11a. AF by class'!$E34</f>
        <v>0</v>
      </c>
      <c r="M38" s="580">
        <f>$E38*'11a. AF by class'!M34/'11a. AF by class'!$E34</f>
        <v>0</v>
      </c>
      <c r="N38" s="600">
        <f>$E38*'11a. AF by class'!N34/'11a. AF by class'!$E34</f>
        <v>0</v>
      </c>
      <c r="P38" s="32">
        <f>SUM(F38:O38)</f>
        <v>1455608.914671842</v>
      </c>
      <c r="Q38" s="32">
        <f>E38-P38</f>
        <v>0</v>
      </c>
    </row>
    <row r="39" spans="1:17" x14ac:dyDescent="0.3">
      <c r="A39" s="157"/>
      <c r="B39" s="35" t="s">
        <v>979</v>
      </c>
      <c r="C39" s="35"/>
      <c r="D39" s="35"/>
      <c r="E39" s="243">
        <f t="shared" ref="E39:N39" si="5">SUM(E33:E38)</f>
        <v>33138974.448529664</v>
      </c>
      <c r="F39" s="243">
        <f t="shared" si="5"/>
        <v>19560990.803439051</v>
      </c>
      <c r="G39" s="243">
        <f t="shared" si="5"/>
        <v>4822064.2793073729</v>
      </c>
      <c r="H39" s="243">
        <f t="shared" si="5"/>
        <v>2827913.1269898564</v>
      </c>
      <c r="I39" s="243">
        <f t="shared" si="5"/>
        <v>282415.15539643937</v>
      </c>
      <c r="J39" s="243">
        <f t="shared" si="5"/>
        <v>109466.28914385947</v>
      </c>
      <c r="K39" s="243">
        <f t="shared" si="5"/>
        <v>163586.50831641833</v>
      </c>
      <c r="L39" s="243">
        <f t="shared" si="5"/>
        <v>50.25110599403488</v>
      </c>
      <c r="M39" s="243">
        <f t="shared" si="5"/>
        <v>60353.112523066557</v>
      </c>
      <c r="N39" s="244">
        <f t="shared" si="5"/>
        <v>5312134.9223076059</v>
      </c>
      <c r="P39" s="32">
        <f t="shared" si="3"/>
        <v>33138974.448529668</v>
      </c>
      <c r="Q39" s="32">
        <f t="shared" si="4"/>
        <v>0</v>
      </c>
    </row>
    <row r="40" spans="1:17" x14ac:dyDescent="0.3">
      <c r="A40" s="157"/>
      <c r="B40" s="35"/>
      <c r="C40" s="35"/>
      <c r="D40" s="35"/>
      <c r="E40" s="243"/>
      <c r="F40" s="243"/>
      <c r="G40" s="243"/>
      <c r="H40" s="243"/>
      <c r="I40" s="243"/>
      <c r="J40" s="243"/>
      <c r="K40" s="243"/>
      <c r="L40" s="243"/>
      <c r="M40" s="243"/>
      <c r="N40" s="244"/>
    </row>
    <row r="41" spans="1:17" x14ac:dyDescent="0.3">
      <c r="A41" s="157"/>
      <c r="B41" s="35" t="s">
        <v>543</v>
      </c>
      <c r="C41" s="35"/>
      <c r="D41" s="35"/>
      <c r="E41" s="243">
        <f t="shared" ref="E41:N41" si="6">SUM(E30,E39)</f>
        <v>88810905.387649953</v>
      </c>
      <c r="F41" s="243">
        <f t="shared" si="6"/>
        <v>43112725.638092078</v>
      </c>
      <c r="G41" s="243">
        <f t="shared" si="6"/>
        <v>12148351.34045358</v>
      </c>
      <c r="H41" s="243">
        <f t="shared" si="6"/>
        <v>14237018.963382442</v>
      </c>
      <c r="I41" s="243">
        <f t="shared" si="6"/>
        <v>6815862.6728966609</v>
      </c>
      <c r="J41" s="243">
        <f t="shared" si="6"/>
        <v>2758581.0405152789</v>
      </c>
      <c r="K41" s="243">
        <f t="shared" si="6"/>
        <v>3749611.0595673453</v>
      </c>
      <c r="L41" s="243">
        <f t="shared" si="6"/>
        <v>383481.7539477665</v>
      </c>
      <c r="M41" s="243">
        <f t="shared" si="6"/>
        <v>65634.138321892024</v>
      </c>
      <c r="N41" s="244">
        <f t="shared" si="6"/>
        <v>5539638.7804729035</v>
      </c>
      <c r="P41" s="32">
        <f>SUM(F41:O41)</f>
        <v>88810905.387649953</v>
      </c>
      <c r="Q41" s="32">
        <f>E41-P41</f>
        <v>0</v>
      </c>
    </row>
    <row r="42" spans="1:17" x14ac:dyDescent="0.3">
      <c r="A42" s="157"/>
      <c r="B42" s="35"/>
      <c r="C42" s="35"/>
      <c r="D42" s="35"/>
      <c r="E42" s="243"/>
      <c r="F42" s="243"/>
      <c r="G42" s="243"/>
      <c r="H42" s="243"/>
      <c r="I42" s="243"/>
      <c r="J42" s="243"/>
      <c r="K42" s="243"/>
      <c r="L42" s="243"/>
      <c r="M42" s="243"/>
      <c r="N42" s="244"/>
    </row>
    <row r="43" spans="1:17" x14ac:dyDescent="0.3">
      <c r="A43" s="157" t="s">
        <v>907</v>
      </c>
      <c r="B43" s="35"/>
      <c r="C43" s="35"/>
      <c r="D43" s="35"/>
      <c r="E43" s="243"/>
      <c r="F43" s="243"/>
      <c r="G43" s="243"/>
      <c r="H43" s="243"/>
      <c r="I43" s="243"/>
      <c r="J43" s="243"/>
      <c r="K43" s="243"/>
      <c r="L43" s="243"/>
      <c r="M43" s="243"/>
      <c r="N43" s="244"/>
    </row>
    <row r="44" spans="1:17" x14ac:dyDescent="0.3">
      <c r="A44" s="157"/>
      <c r="B44" s="35" t="s">
        <v>907</v>
      </c>
      <c r="C44" s="35"/>
      <c r="D44" s="35"/>
      <c r="E44" s="243">
        <f>'9b. Summary Schedules-sf'!Y176</f>
        <v>11236208.182350054</v>
      </c>
      <c r="F44" s="243">
        <f>$E44*'11a. AF by class'!F40/'11a. AF by class'!$E40</f>
        <v>5969301.3418292059</v>
      </c>
      <c r="G44" s="243">
        <f>$E44*'11a. AF by class'!G40/'11a. AF by class'!$E40</f>
        <v>1446882.5919352383</v>
      </c>
      <c r="H44" s="243">
        <f>$E44*'11a. AF by class'!H40/'11a. AF by class'!$E40</f>
        <v>3141579.5757466396</v>
      </c>
      <c r="I44" s="243">
        <f>$E44*'11a. AF by class'!I40/'11a. AF by class'!$E40</f>
        <v>492148.99007373548</v>
      </c>
      <c r="J44" s="243">
        <f>$E44*'11a. AF by class'!J40/'11a. AF by class'!$E40</f>
        <v>43747.248377321564</v>
      </c>
      <c r="K44" s="243">
        <f>$E44*'11a. AF by class'!K40/'11a. AF by class'!$E40</f>
        <v>109294.69742114189</v>
      </c>
      <c r="L44" s="243">
        <f>$E44*'11a. AF by class'!L40/'11a. AF by class'!$E40</f>
        <v>13250.882434933535</v>
      </c>
      <c r="M44" s="243">
        <f>$E44*'11a. AF by class'!M40/'11a. AF by class'!$E40</f>
        <v>20002.854531837325</v>
      </c>
      <c r="N44" s="244">
        <f>$E44*'11a. AF by class'!N40/'11a. AF by class'!$E40</f>
        <v>0</v>
      </c>
      <c r="P44" s="32">
        <f>SUM(F44:O44)</f>
        <v>11236208.182350053</v>
      </c>
      <c r="Q44" s="32">
        <f>E44-P44</f>
        <v>0</v>
      </c>
    </row>
    <row r="45" spans="1:17" x14ac:dyDescent="0.3">
      <c r="A45" s="157"/>
      <c r="B45" s="35" t="s">
        <v>996</v>
      </c>
      <c r="C45" s="35"/>
      <c r="D45" s="35"/>
      <c r="E45" s="580">
        <f>'9b. Summary Schedules-sf'!Z176</f>
        <v>8862247.4607540499</v>
      </c>
      <c r="F45" s="580">
        <f>$E45*'11a. AF by class'!F41/'11a. AF by class'!$E41</f>
        <v>5716564.9491016036</v>
      </c>
      <c r="G45" s="580">
        <f>$E45*'11a. AF by class'!G41/'11a. AF by class'!$E41</f>
        <v>1405891.848753314</v>
      </c>
      <c r="H45" s="580">
        <f>$E45*'11a. AF by class'!H41/'11a. AF by class'!$E41</f>
        <v>1498279.48446736</v>
      </c>
      <c r="I45" s="580">
        <f>$E45*'11a. AF by class'!I41/'11a. AF by class'!$E41</f>
        <v>203872.71560707834</v>
      </c>
      <c r="J45" s="580">
        <f>$E45*'11a. AF by class'!J41/'11a. AF by class'!$E41</f>
        <v>17997.591372866158</v>
      </c>
      <c r="K45" s="580">
        <f>$E45*'11a. AF by class'!K41/'11a. AF by class'!$E41</f>
        <v>3899.4781307876679</v>
      </c>
      <c r="L45" s="580">
        <f>$E45*'11a. AF by class'!L41/'11a. AF by class'!$E41</f>
        <v>349.95316558350868</v>
      </c>
      <c r="M45" s="580">
        <f>$E45*'11a. AF by class'!M41/'11a. AF by class'!$E41</f>
        <v>15391.440155456401</v>
      </c>
      <c r="N45" s="600">
        <f>$E45*'11a. AF by class'!N41/'11a. AF by class'!$E41</f>
        <v>0</v>
      </c>
      <c r="P45" s="32">
        <f>SUM(F45:O45)</f>
        <v>8862247.4607540481</v>
      </c>
      <c r="Q45" s="32">
        <f>E45-P45</f>
        <v>0</v>
      </c>
    </row>
    <row r="46" spans="1:17" x14ac:dyDescent="0.3">
      <c r="A46" s="157"/>
      <c r="B46" s="35" t="s">
        <v>997</v>
      </c>
      <c r="C46" s="35"/>
      <c r="D46" s="35"/>
      <c r="E46" s="243">
        <f>E44+E45</f>
        <v>20098455.643104106</v>
      </c>
      <c r="F46" s="243">
        <f t="shared" ref="F46:N46" si="7">SUM(F44:F45)</f>
        <v>11685866.290930809</v>
      </c>
      <c r="G46" s="243">
        <f t="shared" si="7"/>
        <v>2852774.4406885523</v>
      </c>
      <c r="H46" s="243">
        <f t="shared" si="7"/>
        <v>4639859.0602139998</v>
      </c>
      <c r="I46" s="243">
        <f t="shared" si="7"/>
        <v>696021.70568081387</v>
      </c>
      <c r="J46" s="243">
        <f t="shared" si="7"/>
        <v>61744.839750187719</v>
      </c>
      <c r="K46" s="243">
        <f t="shared" si="7"/>
        <v>113194.17555192955</v>
      </c>
      <c r="L46" s="243">
        <f t="shared" si="7"/>
        <v>13600.835600517044</v>
      </c>
      <c r="M46" s="243">
        <f t="shared" si="7"/>
        <v>35394.294687293725</v>
      </c>
      <c r="N46" s="244">
        <f t="shared" si="7"/>
        <v>0</v>
      </c>
      <c r="P46" s="32">
        <f>SUM(F46:O46)</f>
        <v>20098455.643104106</v>
      </c>
      <c r="Q46" s="32">
        <f>E46-P46</f>
        <v>0</v>
      </c>
    </row>
    <row r="47" spans="1:17" x14ac:dyDescent="0.3">
      <c r="A47" s="157"/>
      <c r="B47" s="35"/>
      <c r="C47" s="35"/>
      <c r="D47" s="35"/>
      <c r="E47" s="243"/>
      <c r="F47" s="243"/>
      <c r="G47" s="243"/>
      <c r="H47" s="243"/>
      <c r="I47" s="243"/>
      <c r="J47" s="243"/>
      <c r="K47" s="243"/>
      <c r="L47" s="243"/>
      <c r="M47" s="243"/>
      <c r="N47" s="244"/>
    </row>
    <row r="48" spans="1:17" x14ac:dyDescent="0.3">
      <c r="A48" s="157" t="s">
        <v>84</v>
      </c>
      <c r="B48" s="35"/>
      <c r="C48" s="35"/>
      <c r="D48" s="35"/>
      <c r="E48" s="243">
        <f>'9b. Summary Schedules-sf'!AA176</f>
        <v>5698530.8631646633</v>
      </c>
      <c r="F48" s="243">
        <f>$E48*'11a. AF by class'!F44/'11a. AF by class'!$E44</f>
        <v>3419109.4877128084</v>
      </c>
      <c r="G48" s="243">
        <f>$E48*'11a. AF by class'!G44/'11a. AF by class'!$E44</f>
        <v>840871.78254241496</v>
      </c>
      <c r="H48" s="243">
        <f>$E48*'11a. AF by class'!H44/'11a. AF by class'!$E44</f>
        <v>1344194.0167389032</v>
      </c>
      <c r="I48" s="243">
        <f>$E48*'11a. AF by class'!I44/'11a. AF by class'!$E44</f>
        <v>60968.706069497617</v>
      </c>
      <c r="J48" s="243">
        <f>$E48*'11a. AF by class'!J44/'11a. AF by class'!$E44</f>
        <v>5382.2300600831641</v>
      </c>
      <c r="K48" s="243">
        <f>$E48*'11a. AF by class'!K44/'11a. AF by class'!$E44</f>
        <v>1166.1498463513522</v>
      </c>
      <c r="L48" s="243">
        <f>$E48*'11a. AF by class'!L44/'11a. AF by class'!$E44</f>
        <v>209.30894678101194</v>
      </c>
      <c r="M48" s="243">
        <f>$E48*'11a. AF by class'!M44/'11a. AF by class'!$E44</f>
        <v>9205.7064922100199</v>
      </c>
      <c r="N48" s="244">
        <f>$E48*'11a. AF by class'!N44/'11a. AF by class'!$E44</f>
        <v>17423.474755613664</v>
      </c>
      <c r="P48" s="32">
        <f>SUM(F48:O48)</f>
        <v>5698530.8631646624</v>
      </c>
      <c r="Q48" s="32">
        <f>E48-P48</f>
        <v>0</v>
      </c>
    </row>
    <row r="49" spans="1:17" x14ac:dyDescent="0.3">
      <c r="A49" s="157"/>
      <c r="B49" s="35"/>
      <c r="C49" s="35"/>
      <c r="D49" s="35"/>
      <c r="E49" s="243"/>
      <c r="F49" s="243"/>
      <c r="G49" s="243"/>
      <c r="H49" s="243"/>
      <c r="I49" s="243"/>
      <c r="J49" s="243"/>
      <c r="K49" s="243"/>
      <c r="L49" s="243"/>
      <c r="M49" s="243"/>
      <c r="N49" s="244"/>
    </row>
    <row r="50" spans="1:17" x14ac:dyDescent="0.3">
      <c r="A50" s="157" t="s">
        <v>82</v>
      </c>
      <c r="B50" s="35"/>
      <c r="C50" s="35"/>
      <c r="D50" s="35"/>
      <c r="E50" s="243"/>
      <c r="F50" s="243"/>
      <c r="G50" s="243"/>
      <c r="H50" s="243"/>
      <c r="I50" s="243"/>
      <c r="J50" s="243"/>
      <c r="K50" s="243"/>
      <c r="L50" s="243"/>
      <c r="M50" s="243"/>
      <c r="N50" s="244"/>
    </row>
    <row r="51" spans="1:17" x14ac:dyDescent="0.3">
      <c r="A51" s="157"/>
      <c r="B51" s="35" t="s">
        <v>81</v>
      </c>
      <c r="C51" s="35"/>
      <c r="D51" s="35"/>
      <c r="E51" s="243">
        <f>'9b. Summary Schedules-sf'!AC176</f>
        <v>18288002.820946973</v>
      </c>
      <c r="F51" s="243">
        <f>$E51*'11a. AF by class'!F47/'11a. AF by class'!$E47</f>
        <v>13164363.207043178</v>
      </c>
      <c r="G51" s="243">
        <f>$E51*'11a. AF by class'!G47/'11a. AF by class'!$E47</f>
        <v>3237551.0628491393</v>
      </c>
      <c r="H51" s="243">
        <f>$E51*'11a. AF by class'!H47/'11a. AF by class'!$E47</f>
        <v>1725152.7354980439</v>
      </c>
      <c r="I51" s="243">
        <f>$E51*'11a. AF by class'!I47/'11a. AF by class'!$E47</f>
        <v>46948.727079180389</v>
      </c>
      <c r="J51" s="243">
        <f>$E51*'11a. AF by class'!J47/'11a. AF by class'!$E47</f>
        <v>4144.5663924730106</v>
      </c>
      <c r="K51" s="243">
        <f>$E51*'11a. AF by class'!K47/'11a. AF by class'!$E47</f>
        <v>897.98938503581894</v>
      </c>
      <c r="L51" s="243">
        <f>$E51*'11a. AF by class'!L47/'11a. AF by class'!$E47</f>
        <v>161.17758192950598</v>
      </c>
      <c r="M51" s="243">
        <f>$E51*'11a. AF by class'!M47/'11a. AF by class'!$E47</f>
        <v>41698.942982047905</v>
      </c>
      <c r="N51" s="244">
        <f>$E51*'11a. AF by class'!N47/'11a. AF by class'!$E47</f>
        <v>67084.412135945095</v>
      </c>
      <c r="P51" s="32">
        <f>SUM(F51:O51)</f>
        <v>18288002.820946969</v>
      </c>
      <c r="Q51" s="32">
        <f>E51-P51</f>
        <v>0</v>
      </c>
    </row>
    <row r="52" spans="1:17" x14ac:dyDescent="0.3">
      <c r="A52" s="157"/>
      <c r="B52" s="35" t="s">
        <v>1007</v>
      </c>
      <c r="C52" s="35"/>
      <c r="D52" s="35"/>
      <c r="E52" s="243">
        <f>'9b. Summary Schedules-sf'!AD176</f>
        <v>0</v>
      </c>
      <c r="F52" s="243">
        <f>$E52*'11a. AF by class'!F48/'11a. AF by class'!$E48</f>
        <v>0</v>
      </c>
      <c r="G52" s="243">
        <f>$E52*'11a. AF by class'!G48/'11a. AF by class'!$E48</f>
        <v>0</v>
      </c>
      <c r="H52" s="243">
        <f>$E52*'11a. AF by class'!H48/'11a. AF by class'!$E48</f>
        <v>0</v>
      </c>
      <c r="I52" s="243">
        <f>$E52*'11a. AF by class'!I48/'11a. AF by class'!$E48</f>
        <v>0</v>
      </c>
      <c r="J52" s="243">
        <f>$E52*'11a. AF by class'!J48/'11a. AF by class'!$E48</f>
        <v>0</v>
      </c>
      <c r="K52" s="243">
        <f>$E52*'11a. AF by class'!K48/'11a. AF by class'!$E48</f>
        <v>0</v>
      </c>
      <c r="L52" s="243">
        <f>$E52*'11a. AF by class'!L48/'11a. AF by class'!$E48</f>
        <v>0</v>
      </c>
      <c r="M52" s="243">
        <f>$E52*'11a. AF by class'!M48/'11a. AF by class'!$E48</f>
        <v>0</v>
      </c>
      <c r="N52" s="244">
        <f>$E52*'11a. AF by class'!N48/'11a. AF by class'!$E48</f>
        <v>0</v>
      </c>
      <c r="P52" s="32">
        <f>SUM(F52:O52)</f>
        <v>0</v>
      </c>
      <c r="Q52" s="32">
        <f>E52-P52</f>
        <v>0</v>
      </c>
    </row>
    <row r="53" spans="1:17" x14ac:dyDescent="0.3">
      <c r="A53" s="157"/>
      <c r="B53" s="35" t="s">
        <v>1008</v>
      </c>
      <c r="C53" s="35"/>
      <c r="D53" s="35"/>
      <c r="E53" s="580">
        <f>'9b. Summary Schedules-sf'!AE176</f>
        <v>0</v>
      </c>
      <c r="F53" s="580">
        <f>$E53*'11a. AF by class'!F49/'11a. AF by class'!$E49</f>
        <v>0</v>
      </c>
      <c r="G53" s="580">
        <f>$E53*'11a. AF by class'!G49/'11a. AF by class'!$E49</f>
        <v>0</v>
      </c>
      <c r="H53" s="580">
        <f>$E53*'11a. AF by class'!H49/'11a. AF by class'!$E49</f>
        <v>0</v>
      </c>
      <c r="I53" s="580">
        <f>$E53*'11a. AF by class'!I49/'11a. AF by class'!$E49</f>
        <v>0</v>
      </c>
      <c r="J53" s="580">
        <f>$E53*'11a. AF by class'!J49/'11a. AF by class'!$E49</f>
        <v>0</v>
      </c>
      <c r="K53" s="580">
        <f>$E53*'11a. AF by class'!K49/'11a. AF by class'!$E49</f>
        <v>0</v>
      </c>
      <c r="L53" s="580">
        <f>$E53*'11a. AF by class'!L49/'11a. AF by class'!$E49</f>
        <v>0</v>
      </c>
      <c r="M53" s="580">
        <f>$E53*'11a. AF by class'!M49/'11a. AF by class'!$E49</f>
        <v>0</v>
      </c>
      <c r="N53" s="600">
        <f>$E53*'11a. AF by class'!N49/'11a. AF by class'!$E49</f>
        <v>0</v>
      </c>
      <c r="P53" s="32">
        <f>SUM(F53:O53)</f>
        <v>0</v>
      </c>
      <c r="Q53" s="32">
        <f>E53-P53</f>
        <v>0</v>
      </c>
    </row>
    <row r="54" spans="1:17" x14ac:dyDescent="0.3">
      <c r="A54" s="157"/>
      <c r="B54" s="35" t="s">
        <v>83</v>
      </c>
      <c r="C54" s="35"/>
      <c r="D54" s="35"/>
      <c r="E54" s="243">
        <f t="shared" ref="E54:N54" si="8">SUM(E51:E53)</f>
        <v>18288002.820946973</v>
      </c>
      <c r="F54" s="243">
        <f t="shared" si="8"/>
        <v>13164363.207043178</v>
      </c>
      <c r="G54" s="243">
        <f t="shared" si="8"/>
        <v>3237551.0628491393</v>
      </c>
      <c r="H54" s="243">
        <f t="shared" si="8"/>
        <v>1725152.7354980439</v>
      </c>
      <c r="I54" s="243">
        <f t="shared" si="8"/>
        <v>46948.727079180389</v>
      </c>
      <c r="J54" s="243">
        <f t="shared" si="8"/>
        <v>4144.5663924730106</v>
      </c>
      <c r="K54" s="243">
        <f t="shared" si="8"/>
        <v>897.98938503581894</v>
      </c>
      <c r="L54" s="243">
        <f t="shared" si="8"/>
        <v>161.17758192950598</v>
      </c>
      <c r="M54" s="243">
        <f t="shared" si="8"/>
        <v>41698.942982047905</v>
      </c>
      <c r="N54" s="244">
        <f t="shared" si="8"/>
        <v>67084.412135945095</v>
      </c>
      <c r="P54" s="32">
        <f>SUM(F54:O54)</f>
        <v>18288002.820946969</v>
      </c>
      <c r="Q54" s="32">
        <f>E54-P54</f>
        <v>0</v>
      </c>
    </row>
    <row r="55" spans="1:17" x14ac:dyDescent="0.3">
      <c r="A55" s="157"/>
      <c r="B55" s="35"/>
      <c r="C55" s="35"/>
      <c r="D55" s="35"/>
      <c r="E55" s="243"/>
      <c r="F55" s="243"/>
      <c r="G55" s="243"/>
      <c r="H55" s="243"/>
      <c r="I55" s="243"/>
      <c r="J55" s="243"/>
      <c r="K55" s="243"/>
      <c r="L55" s="243"/>
      <c r="M55" s="243"/>
      <c r="N55" s="244"/>
    </row>
    <row r="56" spans="1:17" x14ac:dyDescent="0.3">
      <c r="A56" s="157" t="s">
        <v>912</v>
      </c>
      <c r="B56" s="35"/>
      <c r="C56" s="35"/>
      <c r="D56" s="53"/>
      <c r="E56" s="243"/>
      <c r="F56" s="243"/>
      <c r="G56" s="243"/>
      <c r="H56" s="243"/>
      <c r="I56" s="243"/>
      <c r="J56" s="243"/>
      <c r="K56" s="243"/>
      <c r="L56" s="243"/>
      <c r="M56" s="243"/>
      <c r="N56" s="244"/>
    </row>
    <row r="57" spans="1:17" x14ac:dyDescent="0.3">
      <c r="A57" s="157"/>
      <c r="B57" s="35" t="s">
        <v>1006</v>
      </c>
      <c r="C57" s="35"/>
      <c r="D57" s="53"/>
      <c r="E57" s="580">
        <f>'9b. Summary Schedules-sf'!AG176</f>
        <v>11300520.26</v>
      </c>
      <c r="F57" s="580">
        <f>$E57*'11a. AF by class'!F53/'11a. AF by class'!$E53</f>
        <v>3922694.2438631998</v>
      </c>
      <c r="G57" s="580">
        <f>$E57*'11a. AF by class'!G53/'11a. AF by class'!$E53</f>
        <v>1052615.0039654726</v>
      </c>
      <c r="H57" s="580">
        <f>$E57*'11a. AF by class'!H53/'11a. AF by class'!$E53</f>
        <v>2558486.628547648</v>
      </c>
      <c r="I57" s="580">
        <f>$E57*'11a. AF by class'!I53/'11a. AF by class'!$E53</f>
        <v>1660211.0778739988</v>
      </c>
      <c r="J57" s="580">
        <f>$E57*'11a. AF by class'!J53/'11a. AF by class'!$E53</f>
        <v>800820.09147724323</v>
      </c>
      <c r="K57" s="580">
        <f>$E57*'11a. AF by class'!K53/'11a. AF by class'!$E53</f>
        <v>1256154.0548920534</v>
      </c>
      <c r="L57" s="580">
        <f>$E57*'11a. AF by class'!L53/'11a. AF by class'!$E53</f>
        <v>0</v>
      </c>
      <c r="M57" s="580">
        <f>$E57*'11a. AF by class'!M53/'11a. AF by class'!$E53</f>
        <v>2256.6151164649632</v>
      </c>
      <c r="N57" s="600">
        <f>$E57*'11a. AF by class'!N53/'11a. AF by class'!$E53</f>
        <v>47282.544263919146</v>
      </c>
      <c r="P57" s="32">
        <f>SUM(F57:O57)</f>
        <v>11300520.260000002</v>
      </c>
      <c r="Q57" s="32">
        <f>E57-P57</f>
        <v>0</v>
      </c>
    </row>
    <row r="58" spans="1:17" x14ac:dyDescent="0.3">
      <c r="A58" s="157"/>
      <c r="B58" s="35" t="s">
        <v>1014</v>
      </c>
      <c r="C58" s="35"/>
      <c r="D58" s="53"/>
      <c r="E58" s="243">
        <f t="shared" ref="E58:N58" si="9">SUM(E57:E57)</f>
        <v>11300520.26</v>
      </c>
      <c r="F58" s="243">
        <f t="shared" si="9"/>
        <v>3922694.2438631998</v>
      </c>
      <c r="G58" s="243">
        <f t="shared" si="9"/>
        <v>1052615.0039654726</v>
      </c>
      <c r="H58" s="243">
        <f t="shared" si="9"/>
        <v>2558486.628547648</v>
      </c>
      <c r="I58" s="243">
        <f t="shared" si="9"/>
        <v>1660211.0778739988</v>
      </c>
      <c r="J58" s="243">
        <f t="shared" si="9"/>
        <v>800820.09147724323</v>
      </c>
      <c r="K58" s="243">
        <f t="shared" si="9"/>
        <v>1256154.0548920534</v>
      </c>
      <c r="L58" s="243">
        <f t="shared" si="9"/>
        <v>0</v>
      </c>
      <c r="M58" s="243">
        <f t="shared" si="9"/>
        <v>2256.6151164649632</v>
      </c>
      <c r="N58" s="244">
        <f t="shared" si="9"/>
        <v>47282.544263919146</v>
      </c>
      <c r="P58" s="32">
        <f>SUM(F58:O58)</f>
        <v>11300520.260000002</v>
      </c>
      <c r="Q58" s="32">
        <f>E58-P58</f>
        <v>0</v>
      </c>
    </row>
    <row r="59" spans="1:17" x14ac:dyDescent="0.3">
      <c r="A59" s="157"/>
      <c r="B59" s="35"/>
      <c r="C59" s="35"/>
      <c r="D59" s="35"/>
      <c r="E59" s="243"/>
      <c r="F59" s="243"/>
      <c r="G59" s="243"/>
      <c r="H59" s="243"/>
      <c r="I59" s="243"/>
      <c r="J59" s="243"/>
      <c r="K59" s="243"/>
      <c r="L59" s="243"/>
      <c r="M59" s="243"/>
      <c r="N59" s="244"/>
    </row>
    <row r="60" spans="1:17" x14ac:dyDescent="0.3">
      <c r="A60" s="157" t="s">
        <v>913</v>
      </c>
      <c r="B60" s="35"/>
      <c r="C60" s="35"/>
      <c r="D60" s="35"/>
      <c r="E60" s="243">
        <f>'9b. Summary Schedules-sf'!AH176</f>
        <v>0</v>
      </c>
      <c r="F60" s="243">
        <f>$E60*'11a. AF by class'!F56/'11a. AF by class'!$E56</f>
        <v>0</v>
      </c>
      <c r="G60" s="243">
        <f>$E60*'11a. AF by class'!G56/'11a. AF by class'!$E56</f>
        <v>0</v>
      </c>
      <c r="H60" s="243">
        <f>$E60*'11a. AF by class'!H56/'11a. AF by class'!$E56</f>
        <v>0</v>
      </c>
      <c r="I60" s="243">
        <f>$E60*'11a. AF by class'!I56/'11a. AF by class'!$E56</f>
        <v>0</v>
      </c>
      <c r="J60" s="243">
        <f>$E60*'11a. AF by class'!J56/'11a. AF by class'!$E56</f>
        <v>0</v>
      </c>
      <c r="K60" s="243">
        <f>$E60*'11a. AF by class'!K56/'11a. AF by class'!$E56</f>
        <v>0</v>
      </c>
      <c r="L60" s="243">
        <f>$E60*'11a. AF by class'!L56/'11a. AF by class'!$E56</f>
        <v>0</v>
      </c>
      <c r="M60" s="243">
        <f>$E60*'11a. AF by class'!M56/'11a. AF by class'!$E56</f>
        <v>0</v>
      </c>
      <c r="N60" s="244">
        <f>$E60*'11a. AF by class'!N56/'11a. AF by class'!$E56</f>
        <v>0</v>
      </c>
      <c r="P60" s="32">
        <f>SUM(F60:O60)</f>
        <v>0</v>
      </c>
      <c r="Q60" s="32">
        <f>E60-P60</f>
        <v>0</v>
      </c>
    </row>
    <row r="61" spans="1:17" x14ac:dyDescent="0.3">
      <c r="A61" s="157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158"/>
    </row>
    <row r="62" spans="1:17" x14ac:dyDescent="0.3">
      <c r="A62" s="157" t="s">
        <v>981</v>
      </c>
      <c r="B62" s="35"/>
      <c r="C62" s="35"/>
      <c r="D62" s="35"/>
      <c r="E62" s="35">
        <f>SUM(E18,E20,E22,E41,E46,E48,E54,E58,E60)</f>
        <v>371398081.54486567</v>
      </c>
      <c r="F62" s="35">
        <f t="shared" ref="F62:N62" si="10">SUM(F18,F20,F22,F41,F46,F48,F54,F58,F60)</f>
        <v>162427594.17817926</v>
      </c>
      <c r="G62" s="35">
        <f t="shared" si="10"/>
        <v>45414226.965777904</v>
      </c>
      <c r="H62" s="35">
        <f t="shared" si="10"/>
        <v>72737505.847095385</v>
      </c>
      <c r="I62" s="35">
        <f t="shared" si="10"/>
        <v>38370345.678993955</v>
      </c>
      <c r="J62" s="35">
        <f t="shared" si="10"/>
        <v>16370120.78381405</v>
      </c>
      <c r="K62" s="35">
        <f t="shared" si="10"/>
        <v>24341888.662163004</v>
      </c>
      <c r="L62" s="35">
        <f t="shared" si="10"/>
        <v>4918981.1822814867</v>
      </c>
      <c r="M62" s="35">
        <f t="shared" si="10"/>
        <v>183570.20465828781</v>
      </c>
      <c r="N62" s="158">
        <f t="shared" si="10"/>
        <v>6633848.0419023437</v>
      </c>
      <c r="P62" s="32">
        <f>SUM(F62:O62)</f>
        <v>371398081.54486573</v>
      </c>
      <c r="Q62" s="32">
        <f>E62-P62</f>
        <v>0</v>
      </c>
    </row>
    <row r="63" spans="1:17" ht="13.5" thickBot="1" x14ac:dyDescent="0.35">
      <c r="A63" s="33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161"/>
    </row>
  </sheetData>
  <customSheetViews>
    <customSheetView guid="{121E4431-22F3-11D5-8242-00600818425F}" scale="75" showRuler="0">
      <pane xSplit="2" ySplit="7" topLeftCell="C8" activePane="bottomRight" state="frozen"/>
      <selection pane="bottomRight" activeCell="E11" sqref="E11"/>
      <pageMargins left="0" right="0" top="0.5" bottom="0.4" header="0.2" footer="0.2"/>
      <printOptions horizontalCentered="1" gridLines="1"/>
      <pageSetup scale="65" orientation="landscape" horizontalDpi="300" vertic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showRuler="0">
      <pane xSplit="2" ySplit="7" topLeftCell="C8" activePane="bottomRight" state="frozen"/>
      <selection pane="bottomRight" activeCell="E11" sqref="E11"/>
      <pageMargins left="0" right="0" top="0.5" bottom="0.4" header="0.2" footer="0.2"/>
      <printOptions horizontalCentered="1" gridLines="1"/>
      <pageSetup scale="65" orientation="landscape" horizontalDpi="300" vertic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showRuler="0">
      <pane xSplit="2" ySplit="7" topLeftCell="C8" activePane="bottomRight" state="frozen"/>
      <selection pane="bottomRight" activeCell="E11" sqref="E11"/>
      <pageMargins left="0" right="0" top="0.5" bottom="0.4" header="0.2" footer="0.2"/>
      <printOptions horizontalCentered="1" gridLines="1"/>
      <pageSetup scale="65" orientation="landscape" horizontalDpi="300" verticalDpi="30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65" orientation="landscape" horizontalDpi="300" verticalDpi="300" r:id="rId4"/>
  <headerFooter alignWithMargins="0">
    <oddFooter>&amp;L&amp;8&amp;F&amp;C&amp;8&amp;A
page &amp;P&amp;R&amp;8&amp;D
&amp;T</oddFooter>
  </headerFooter>
  <ignoredErrors>
    <ignoredError sqref="E17" formula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63"/>
  <sheetViews>
    <sheetView zoomScale="70" zoomScaleNormal="70" workbookViewId="0">
      <pane xSplit="2" ySplit="7" topLeftCell="C8" activePane="bottomRight" state="frozen"/>
      <selection activeCell="C9" sqref="C9"/>
      <selection pane="topRight" activeCell="C9" sqref="C9"/>
      <selection pane="bottomLeft" activeCell="C9" sqref="C9"/>
      <selection pane="bottomRight" activeCell="C8" sqref="C8"/>
    </sheetView>
  </sheetViews>
  <sheetFormatPr defaultColWidth="9.1796875" defaultRowHeight="13" x14ac:dyDescent="0.3"/>
  <cols>
    <col min="1" max="1" width="4.54296875" style="32" customWidth="1"/>
    <col min="2" max="2" width="32.1796875" style="32" customWidth="1"/>
    <col min="3" max="3" width="12.81640625" style="32" customWidth="1"/>
    <col min="4" max="4" width="11.453125" style="32" customWidth="1"/>
    <col min="5" max="8" width="15" style="32" customWidth="1"/>
    <col min="9" max="16" width="12.54296875" style="32" customWidth="1"/>
    <col min="17" max="17" width="12.453125" style="32" customWidth="1"/>
    <col min="18" max="18" width="13.81640625" style="32" customWidth="1"/>
    <col min="19" max="20" width="9.1796875" style="32"/>
    <col min="21" max="21" width="11.453125" style="32" bestFit="1" customWidth="1"/>
    <col min="22" max="22" width="8.54296875" style="32" bestFit="1" customWidth="1"/>
    <col min="23" max="16384" width="9.1796875" style="32"/>
  </cols>
  <sheetData>
    <row r="1" spans="1:54" x14ac:dyDescent="0.3">
      <c r="A1" s="301" t="str">
        <f>'1. RB-i'!$A$1</f>
        <v>CPS Energy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3"/>
      <c r="O1" s="42"/>
      <c r="P1" s="42"/>
    </row>
    <row r="2" spans="1:54" x14ac:dyDescent="0.3">
      <c r="A2" s="307" t="s">
        <v>1252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98"/>
      <c r="O2" s="35"/>
      <c r="P2" s="35"/>
      <c r="S2" s="1"/>
      <c r="T2" s="1"/>
    </row>
    <row r="3" spans="1:54" x14ac:dyDescent="0.3">
      <c r="A3" s="307" t="str">
        <f>'10e. OM excl Fuel by class'!A3</f>
        <v>Based on FYE 2017 Test Year</v>
      </c>
      <c r="B3" s="288"/>
      <c r="C3" s="288"/>
      <c r="D3" s="288"/>
      <c r="E3" s="314"/>
      <c r="F3" s="314"/>
      <c r="G3" s="314"/>
      <c r="H3" s="314"/>
      <c r="I3" s="314"/>
      <c r="J3" s="288"/>
      <c r="K3" s="288"/>
      <c r="L3" s="288"/>
      <c r="M3" s="288"/>
      <c r="N3" s="298"/>
      <c r="O3" s="31"/>
      <c r="P3" s="31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</row>
    <row r="4" spans="1:54" s="5" customFormat="1" x14ac:dyDescent="0.3">
      <c r="A4" s="304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305"/>
    </row>
    <row r="5" spans="1:54" s="5" customFormat="1" x14ac:dyDescent="0.3">
      <c r="A5" s="304"/>
      <c r="B5" s="196"/>
      <c r="C5" s="196"/>
      <c r="D5" s="196"/>
      <c r="E5" s="196"/>
      <c r="F5" s="196"/>
      <c r="G5" s="196"/>
      <c r="H5" s="199"/>
      <c r="I5" s="199"/>
      <c r="J5" s="199"/>
      <c r="K5" s="196"/>
      <c r="L5" s="196"/>
      <c r="M5" s="196"/>
      <c r="N5" s="305"/>
      <c r="P5" s="5" t="s">
        <v>832</v>
      </c>
    </row>
    <row r="6" spans="1:54" s="5" customFormat="1" x14ac:dyDescent="0.3">
      <c r="A6" s="304"/>
      <c r="B6" s="196"/>
      <c r="C6" s="196" t="s">
        <v>359</v>
      </c>
      <c r="D6" s="196"/>
      <c r="E6" s="196" t="s">
        <v>355</v>
      </c>
      <c r="F6" s="196" t="s">
        <v>961</v>
      </c>
      <c r="G6" s="196" t="s">
        <v>962</v>
      </c>
      <c r="H6" s="196" t="s">
        <v>963</v>
      </c>
      <c r="I6" s="196" t="s">
        <v>964</v>
      </c>
      <c r="J6" s="196" t="s">
        <v>965</v>
      </c>
      <c r="K6" s="196" t="s">
        <v>966</v>
      </c>
      <c r="L6" s="196" t="s">
        <v>967</v>
      </c>
      <c r="M6" s="196" t="s">
        <v>968</v>
      </c>
      <c r="N6" s="305" t="s">
        <v>932</v>
      </c>
      <c r="P6" s="5" t="s">
        <v>833</v>
      </c>
      <c r="Q6" s="5" t="s">
        <v>824</v>
      </c>
    </row>
    <row r="7" spans="1:54" s="5" customFormat="1" ht="13.5" thickBot="1" x14ac:dyDescent="0.35">
      <c r="A7" s="299"/>
      <c r="B7" s="282"/>
      <c r="C7" s="282"/>
      <c r="D7" s="315"/>
      <c r="E7" s="282" t="s">
        <v>816</v>
      </c>
      <c r="F7" s="282" t="s">
        <v>817</v>
      </c>
      <c r="G7" s="282" t="s">
        <v>818</v>
      </c>
      <c r="H7" s="282" t="s">
        <v>819</v>
      </c>
      <c r="I7" s="282" t="s">
        <v>820</v>
      </c>
      <c r="J7" s="282" t="s">
        <v>821</v>
      </c>
      <c r="K7" s="282" t="s">
        <v>822</v>
      </c>
      <c r="L7" s="282" t="s">
        <v>823</v>
      </c>
      <c r="M7" s="282" t="s">
        <v>908</v>
      </c>
      <c r="N7" s="300" t="s">
        <v>914</v>
      </c>
    </row>
    <row r="8" spans="1:54" x14ac:dyDescent="0.3">
      <c r="A8" s="157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158"/>
      <c r="O8" s="35"/>
      <c r="P8" s="35"/>
    </row>
    <row r="9" spans="1:54" x14ac:dyDescent="0.3">
      <c r="A9" s="157" t="s">
        <v>544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158"/>
    </row>
    <row r="10" spans="1:54" x14ac:dyDescent="0.3">
      <c r="A10" s="157"/>
      <c r="B10" s="35" t="s">
        <v>969</v>
      </c>
      <c r="C10" s="35"/>
      <c r="D10" s="35"/>
      <c r="E10" s="243">
        <f>'9b. Summary Schedules-sf'!E$177</f>
        <v>48801916.431806602</v>
      </c>
      <c r="F10" s="243">
        <f>$E10*'11a. AF by class'!F$10/'11a. AF by class'!$E$10</f>
        <v>19427174.351555016</v>
      </c>
      <c r="G10" s="243">
        <f>$E10*'11a. AF by class'!G10/'11a. AF by class'!$E10</f>
        <v>5760139.3977408027</v>
      </c>
      <c r="H10" s="243">
        <f>$E10*'11a. AF by class'!H10/'11a. AF by class'!$E10</f>
        <v>10201952.916008677</v>
      </c>
      <c r="I10" s="243">
        <f>$E10*'11a. AF by class'!I10/'11a. AF by class'!$E10</f>
        <v>5985501.1482181083</v>
      </c>
      <c r="J10" s="243">
        <f>$E10*'11a. AF by class'!J10/'11a. AF by class'!$E10</f>
        <v>2515697.0201844978</v>
      </c>
      <c r="K10" s="243">
        <f>$E10*'11a. AF by class'!K10/'11a. AF by class'!$E10</f>
        <v>3727082.9874338941</v>
      </c>
      <c r="L10" s="243">
        <f>$E10*'11a. AF by class'!L10/'11a. AF by class'!$E10</f>
        <v>970196.50232904253</v>
      </c>
      <c r="M10" s="243">
        <f>$E10*'11a. AF by class'!M10/'11a. AF by class'!$E10</f>
        <v>5215.8114731317482</v>
      </c>
      <c r="N10" s="244">
        <f>$E10*'11a. AF by class'!N10/'11a. AF by class'!$E10</f>
        <v>208956.29686343158</v>
      </c>
      <c r="P10" s="32">
        <f>SUM(F10:O10)</f>
        <v>48801916.431806602</v>
      </c>
      <c r="Q10" s="32">
        <f>E10-P10</f>
        <v>0</v>
      </c>
    </row>
    <row r="11" spans="1:54" x14ac:dyDescent="0.3">
      <c r="A11" s="157"/>
      <c r="B11" s="35" t="s">
        <v>1140</v>
      </c>
      <c r="C11" s="35"/>
      <c r="D11" s="35"/>
      <c r="E11" s="642"/>
      <c r="F11" s="642"/>
      <c r="G11" s="642"/>
      <c r="H11" s="642"/>
      <c r="I11" s="642"/>
      <c r="J11" s="642"/>
      <c r="K11" s="642"/>
      <c r="L11" s="642"/>
      <c r="M11" s="642"/>
      <c r="N11" s="643"/>
      <c r="O11" s="641"/>
      <c r="P11" s="641"/>
      <c r="Q11" s="641"/>
    </row>
    <row r="12" spans="1:54" x14ac:dyDescent="0.3">
      <c r="A12" s="157"/>
      <c r="B12" s="35" t="s">
        <v>1139</v>
      </c>
      <c r="C12" s="35"/>
      <c r="D12" s="35"/>
      <c r="E12" s="642"/>
      <c r="F12" s="642"/>
      <c r="G12" s="642"/>
      <c r="H12" s="642"/>
      <c r="I12" s="642"/>
      <c r="J12" s="642"/>
      <c r="K12" s="642"/>
      <c r="L12" s="642"/>
      <c r="M12" s="642"/>
      <c r="N12" s="643"/>
      <c r="O12" s="641"/>
      <c r="P12" s="641"/>
      <c r="Q12" s="641"/>
    </row>
    <row r="13" spans="1:54" x14ac:dyDescent="0.3">
      <c r="A13" s="157"/>
      <c r="B13" s="35" t="s">
        <v>947</v>
      </c>
      <c r="C13" s="35"/>
      <c r="D13" s="35"/>
      <c r="E13" s="642"/>
      <c r="F13" s="642"/>
      <c r="G13" s="642"/>
      <c r="H13" s="642"/>
      <c r="I13" s="642"/>
      <c r="J13" s="642"/>
      <c r="K13" s="642"/>
      <c r="L13" s="642"/>
      <c r="M13" s="642"/>
      <c r="N13" s="643"/>
      <c r="O13" s="641"/>
      <c r="P13" s="641"/>
      <c r="Q13" s="641"/>
    </row>
    <row r="14" spans="1:54" x14ac:dyDescent="0.3">
      <c r="A14" s="157"/>
      <c r="B14" s="35"/>
      <c r="C14" s="35"/>
      <c r="D14" s="35"/>
      <c r="E14" s="243"/>
      <c r="F14" s="243"/>
      <c r="G14" s="243"/>
      <c r="H14" s="243"/>
      <c r="I14" s="243"/>
      <c r="J14" s="243"/>
      <c r="K14" s="243"/>
      <c r="L14" s="243"/>
      <c r="M14" s="243"/>
      <c r="N14" s="244"/>
    </row>
    <row r="15" spans="1:54" x14ac:dyDescent="0.3">
      <c r="A15" s="157"/>
      <c r="B15" s="35" t="s">
        <v>970</v>
      </c>
      <c r="C15" s="35"/>
      <c r="D15" s="35"/>
      <c r="E15" s="243">
        <f>'9b. Summary Schedules-sf'!I177</f>
        <v>33590222.072135881</v>
      </c>
      <c r="F15" s="243">
        <f>$E15*'11a. AF by class'!F11/'11a. AF by class'!$E11</f>
        <v>11427251.562703053</v>
      </c>
      <c r="G15" s="243">
        <f>$E15*'11a. AF by class'!G11/'11a. AF by class'!$E11</f>
        <v>3066386.4428911149</v>
      </c>
      <c r="H15" s="243">
        <f>$E15*'11a. AF by class'!H11/'11a. AF by class'!$E11</f>
        <v>7453160.6356943417</v>
      </c>
      <c r="I15" s="243">
        <f>$E15*'11a. AF by class'!I11/'11a. AF by class'!$E11</f>
        <v>4836382.4592580684</v>
      </c>
      <c r="J15" s="243">
        <f>$E15*'11a. AF by class'!J11/'11a. AF by class'!$E11</f>
        <v>2332879.4121779297</v>
      </c>
      <c r="K15" s="243">
        <f>$E15*'11a. AF by class'!K11/'11a. AF by class'!$E11</f>
        <v>3659318.6963825952</v>
      </c>
      <c r="L15" s="243">
        <f>$E15*'11a. AF by class'!L11/'11a. AF by class'!$E11</f>
        <v>670529.69425960479</v>
      </c>
      <c r="M15" s="243">
        <f>$E15*'11a. AF by class'!M11/'11a. AF by class'!$E11</f>
        <v>6573.7748121423247</v>
      </c>
      <c r="N15" s="244">
        <f>$E15*'11a. AF by class'!N11/'11a. AF by class'!$E11</f>
        <v>137739.3939570298</v>
      </c>
      <c r="P15" s="32">
        <f>SUM(F15:O15)</f>
        <v>33590222.072135888</v>
      </c>
      <c r="Q15" s="32">
        <f>E15-P15</f>
        <v>0</v>
      </c>
    </row>
    <row r="16" spans="1:54" x14ac:dyDescent="0.3">
      <c r="A16" s="157"/>
      <c r="B16" s="35" t="s">
        <v>971</v>
      </c>
      <c r="C16" s="35"/>
      <c r="D16" s="35"/>
      <c r="E16" s="35">
        <f>E10+E15</f>
        <v>82392138.50394249</v>
      </c>
      <c r="F16" s="35">
        <f t="shared" ref="F16:P16" si="0">F10+F15</f>
        <v>30854425.91425807</v>
      </c>
      <c r="G16" s="35">
        <f t="shared" si="0"/>
        <v>8826525.8406319171</v>
      </c>
      <c r="H16" s="35">
        <f t="shared" si="0"/>
        <v>17655113.551703021</v>
      </c>
      <c r="I16" s="35">
        <f t="shared" si="0"/>
        <v>10821883.607476177</v>
      </c>
      <c r="J16" s="35">
        <f t="shared" si="0"/>
        <v>4848576.4323624279</v>
      </c>
      <c r="K16" s="35">
        <f t="shared" si="0"/>
        <v>7386401.6838164888</v>
      </c>
      <c r="L16" s="35">
        <f t="shared" si="0"/>
        <v>1640726.1965886473</v>
      </c>
      <c r="M16" s="35">
        <f t="shared" si="0"/>
        <v>11789.586285274072</v>
      </c>
      <c r="N16" s="158">
        <f t="shared" si="0"/>
        <v>346695.69082046137</v>
      </c>
      <c r="O16" s="35"/>
      <c r="P16" s="35">
        <f t="shared" si="0"/>
        <v>82392138.50394249</v>
      </c>
      <c r="Q16" s="32">
        <f>E16-P16</f>
        <v>0</v>
      </c>
    </row>
    <row r="17" spans="1:17" x14ac:dyDescent="0.3">
      <c r="A17" s="157"/>
      <c r="B17" s="35" t="s">
        <v>617</v>
      </c>
      <c r="C17" s="35"/>
      <c r="D17" s="35"/>
      <c r="E17" s="243">
        <f>'9b. Summary Schedules-sf'!J177</f>
        <v>0</v>
      </c>
      <c r="F17" s="243">
        <f>$E17*'11a. AF by class'!F13/'11a. AF by class'!$E13</f>
        <v>0</v>
      </c>
      <c r="G17" s="243">
        <f>$E17*'11a. AF by class'!G13/'11a. AF by class'!$E13</f>
        <v>0</v>
      </c>
      <c r="H17" s="243">
        <f>$E17*'11a. AF by class'!H13/'11a. AF by class'!$E13</f>
        <v>0</v>
      </c>
      <c r="I17" s="243">
        <f>$E17*'11a. AF by class'!I13/'11a. AF by class'!$E13</f>
        <v>0</v>
      </c>
      <c r="J17" s="243">
        <f>$E17*'11a. AF by class'!J13/'11a. AF by class'!$E13</f>
        <v>0</v>
      </c>
      <c r="K17" s="243">
        <f>$E17*'11a. AF by class'!K13/'11a. AF by class'!$E13</f>
        <v>0</v>
      </c>
      <c r="L17" s="243">
        <f>$E17*'11a. AF by class'!L13/'11a. AF by class'!$E13</f>
        <v>0</v>
      </c>
      <c r="M17" s="243">
        <f>$E17*'11a. AF by class'!M13/'11a. AF by class'!$E13</f>
        <v>0</v>
      </c>
      <c r="N17" s="244">
        <f>$E17*'11a. AF by class'!N13/'11a. AF by class'!$E13</f>
        <v>0</v>
      </c>
      <c r="P17" s="32">
        <f>SUM(F17:O17)</f>
        <v>0</v>
      </c>
      <c r="Q17" s="32">
        <f>E17-P17</f>
        <v>0</v>
      </c>
    </row>
    <row r="18" spans="1:17" x14ac:dyDescent="0.3">
      <c r="A18" s="157"/>
      <c r="B18" s="35" t="s">
        <v>972</v>
      </c>
      <c r="C18" s="35"/>
      <c r="D18" s="35"/>
      <c r="E18" s="243">
        <f>SUM(E16:E17)</f>
        <v>82392138.50394249</v>
      </c>
      <c r="F18" s="243">
        <f t="shared" ref="F18:N18" si="1">SUM(F16:F17)</f>
        <v>30854425.91425807</v>
      </c>
      <c r="G18" s="243">
        <f t="shared" si="1"/>
        <v>8826525.8406319171</v>
      </c>
      <c r="H18" s="243">
        <f t="shared" si="1"/>
        <v>17655113.551703021</v>
      </c>
      <c r="I18" s="243">
        <f t="shared" si="1"/>
        <v>10821883.607476177</v>
      </c>
      <c r="J18" s="243">
        <f t="shared" si="1"/>
        <v>4848576.4323624279</v>
      </c>
      <c r="K18" s="243">
        <f t="shared" si="1"/>
        <v>7386401.6838164888</v>
      </c>
      <c r="L18" s="243">
        <f t="shared" si="1"/>
        <v>1640726.1965886473</v>
      </c>
      <c r="M18" s="243">
        <f t="shared" si="1"/>
        <v>11789.586285274072</v>
      </c>
      <c r="N18" s="244">
        <f t="shared" si="1"/>
        <v>346695.69082046137</v>
      </c>
      <c r="P18" s="32">
        <f>SUM(F18:O18)</f>
        <v>82392138.50394249</v>
      </c>
      <c r="Q18" s="32">
        <f>E18-P18</f>
        <v>0</v>
      </c>
    </row>
    <row r="19" spans="1:17" x14ac:dyDescent="0.3">
      <c r="A19" s="157"/>
      <c r="B19" s="35"/>
      <c r="C19" s="35"/>
      <c r="D19" s="35"/>
      <c r="E19" s="243"/>
      <c r="F19" s="243"/>
      <c r="G19" s="243"/>
      <c r="H19" s="243"/>
      <c r="I19" s="243"/>
      <c r="J19" s="243"/>
      <c r="K19" s="243"/>
      <c r="L19" s="243"/>
      <c r="M19" s="243"/>
      <c r="N19" s="244"/>
    </row>
    <row r="20" spans="1:17" x14ac:dyDescent="0.3">
      <c r="A20" s="157" t="s">
        <v>984</v>
      </c>
      <c r="B20" s="35"/>
      <c r="C20" s="35"/>
      <c r="D20" s="35"/>
      <c r="E20" s="243">
        <f>'9b. Summary Schedules-sf'!K177</f>
        <v>0</v>
      </c>
      <c r="F20" s="243">
        <f>$E20*'11a. AF by class'!F16/'11a. AF by class'!$E16</f>
        <v>0</v>
      </c>
      <c r="G20" s="243">
        <f>$E20*'11a. AF by class'!G16/'11a. AF by class'!$E16</f>
        <v>0</v>
      </c>
      <c r="H20" s="243">
        <f>$E20*'11a. AF by class'!H16/'11a. AF by class'!$E16</f>
        <v>0</v>
      </c>
      <c r="I20" s="243">
        <f>$E20*'11a. AF by class'!I16/'11a. AF by class'!$E16</f>
        <v>0</v>
      </c>
      <c r="J20" s="243">
        <f>$E20*'11a. AF by class'!J16/'11a. AF by class'!$E16</f>
        <v>0</v>
      </c>
      <c r="K20" s="243">
        <f>$E20*'11a. AF by class'!K16/'11a. AF by class'!$E16</f>
        <v>0</v>
      </c>
      <c r="L20" s="243">
        <f>$E20*'11a. AF by class'!L16/'11a. AF by class'!$E16</f>
        <v>0</v>
      </c>
      <c r="M20" s="243">
        <f>$E20*'11a. AF by class'!M16/'11a. AF by class'!$E16</f>
        <v>0</v>
      </c>
      <c r="N20" s="244">
        <f>$E20*'11a. AF by class'!N16/'11a. AF by class'!$E16</f>
        <v>0</v>
      </c>
      <c r="P20" s="32">
        <f>SUM(F20:O20)</f>
        <v>0</v>
      </c>
      <c r="Q20" s="32">
        <f>E20-P20</f>
        <v>0</v>
      </c>
    </row>
    <row r="21" spans="1:17" x14ac:dyDescent="0.3">
      <c r="A21" s="157"/>
      <c r="B21" s="35"/>
      <c r="C21" s="35"/>
      <c r="D21" s="35"/>
      <c r="E21" s="243"/>
      <c r="F21" s="243"/>
      <c r="G21" s="243"/>
      <c r="H21" s="243"/>
      <c r="I21" s="243"/>
      <c r="J21" s="243"/>
      <c r="K21" s="243"/>
      <c r="L21" s="243"/>
      <c r="M21" s="243"/>
      <c r="N21" s="244"/>
    </row>
    <row r="22" spans="1:17" x14ac:dyDescent="0.3">
      <c r="A22" s="157" t="s">
        <v>366</v>
      </c>
      <c r="B22" s="35"/>
      <c r="C22" s="35"/>
      <c r="D22" s="35"/>
      <c r="E22" s="243">
        <f>'9b. Summary Schedules-sf'!L177</f>
        <v>0</v>
      </c>
      <c r="F22" s="243">
        <f>$E22*'11a. AF by class'!F18/'11a. AF by class'!$E18</f>
        <v>0</v>
      </c>
      <c r="G22" s="243">
        <f>$E22*'11a. AF by class'!G18/'11a. AF by class'!$E18</f>
        <v>0</v>
      </c>
      <c r="H22" s="243">
        <f>$E22*'11a. AF by class'!H18/'11a. AF by class'!$E18</f>
        <v>0</v>
      </c>
      <c r="I22" s="243">
        <f>$E22*'11a. AF by class'!I18/'11a. AF by class'!$E18</f>
        <v>0</v>
      </c>
      <c r="J22" s="243">
        <f>$E22*'11a. AF by class'!J18/'11a. AF by class'!$E18</f>
        <v>0</v>
      </c>
      <c r="K22" s="243">
        <f>$E22*'11a. AF by class'!K18/'11a. AF by class'!$E18</f>
        <v>0</v>
      </c>
      <c r="L22" s="243">
        <f>$E22*'11a. AF by class'!L18/'11a. AF by class'!$E18</f>
        <v>0</v>
      </c>
      <c r="M22" s="243">
        <f>$E22*'11a. AF by class'!M18/'11a. AF by class'!$E18</f>
        <v>0</v>
      </c>
      <c r="N22" s="244">
        <f>$E22*'11a. AF by class'!N18/'11a. AF by class'!$E18</f>
        <v>0</v>
      </c>
      <c r="P22" s="32">
        <f>SUM(F22:O22)</f>
        <v>0</v>
      </c>
      <c r="Q22" s="32">
        <f>E22-P22</f>
        <v>0</v>
      </c>
    </row>
    <row r="23" spans="1:17" x14ac:dyDescent="0.3">
      <c r="A23" s="157"/>
      <c r="B23" s="35"/>
      <c r="C23" s="35"/>
      <c r="D23" s="35"/>
      <c r="E23" s="243"/>
      <c r="F23" s="243"/>
      <c r="G23" s="243"/>
      <c r="H23" s="243"/>
      <c r="I23" s="243"/>
      <c r="J23" s="243"/>
      <c r="K23" s="243"/>
      <c r="L23" s="243"/>
      <c r="M23" s="243"/>
      <c r="N23" s="244"/>
    </row>
    <row r="24" spans="1:17" x14ac:dyDescent="0.3">
      <c r="A24" s="157" t="s">
        <v>367</v>
      </c>
      <c r="B24" s="35"/>
      <c r="C24" s="35"/>
      <c r="D24" s="35"/>
      <c r="E24" s="243"/>
      <c r="F24" s="243"/>
      <c r="G24" s="243"/>
      <c r="H24" s="243"/>
      <c r="I24" s="243"/>
      <c r="J24" s="243"/>
      <c r="K24" s="243"/>
      <c r="L24" s="243"/>
      <c r="M24" s="243"/>
      <c r="N24" s="244"/>
    </row>
    <row r="25" spans="1:17" x14ac:dyDescent="0.3">
      <c r="A25" s="157"/>
      <c r="B25" s="35" t="s">
        <v>973</v>
      </c>
      <c r="C25" s="35"/>
      <c r="D25" s="35"/>
      <c r="E25" s="243"/>
      <c r="F25" s="243"/>
      <c r="G25" s="243"/>
      <c r="H25" s="243"/>
      <c r="I25" s="243"/>
      <c r="J25" s="243"/>
      <c r="K25" s="243"/>
      <c r="L25" s="243"/>
      <c r="M25" s="243"/>
      <c r="N25" s="244"/>
    </row>
    <row r="26" spans="1:17" x14ac:dyDescent="0.3">
      <c r="A26" s="157"/>
      <c r="B26" s="35" t="s">
        <v>974</v>
      </c>
      <c r="C26" s="35"/>
      <c r="D26" s="35"/>
      <c r="E26" s="243">
        <f>'9b. Summary Schedules-sf'!N177</f>
        <v>17020757.342097554</v>
      </c>
      <c r="F26" s="243">
        <f>$E26*'11a. AF by class'!F22/'11a. AF by class'!$E22</f>
        <v>6863500.8926942172</v>
      </c>
      <c r="G26" s="243">
        <f>$E26*'11a. AF by class'!G22/'11a. AF by class'!$E22</f>
        <v>2048020.4161592904</v>
      </c>
      <c r="H26" s="243">
        <f>$E26*'11a. AF by class'!H22/'11a. AF by class'!$E22</f>
        <v>3545619.5972969495</v>
      </c>
      <c r="I26" s="243">
        <f>$E26*'11a. AF by class'!I22/'11a. AF by class'!$E22</f>
        <v>2061489.232640093</v>
      </c>
      <c r="J26" s="243">
        <f>$E26*'11a. AF by class'!J22/'11a. AF by class'!$E22</f>
        <v>854316.31590303895</v>
      </c>
      <c r="K26" s="243">
        <f>$E26*'11a. AF by class'!K22/'11a. AF by class'!$E22</f>
        <v>1257491.6862160687</v>
      </c>
      <c r="L26" s="243">
        <f>$E26*'11a. AF by class'!L22/'11a. AF by class'!$E22</f>
        <v>315397.14226144459</v>
      </c>
      <c r="M26" s="243">
        <f>$E26*'11a. AF by class'!M22/'11a. AF by class'!$E22</f>
        <v>1699.7036893198544</v>
      </c>
      <c r="N26" s="244">
        <f>$E26*'11a. AF by class'!N22/'11a. AF by class'!$E22</f>
        <v>73222.355237132215</v>
      </c>
      <c r="P26" s="32">
        <f>SUM(F26:O26)</f>
        <v>17020757.342097554</v>
      </c>
      <c r="Q26" s="32">
        <f>E26-P26</f>
        <v>0</v>
      </c>
    </row>
    <row r="27" spans="1:17" x14ac:dyDescent="0.3">
      <c r="A27" s="157"/>
      <c r="B27" s="35" t="s">
        <v>975</v>
      </c>
      <c r="C27" s="35"/>
      <c r="D27" s="35"/>
      <c r="E27" s="243">
        <f>'9b. Summary Schedules-sf'!O177</f>
        <v>15672566.697106455</v>
      </c>
      <c r="F27" s="243">
        <f>$E27*'11a. AF by class'!F23/'11a. AF by class'!$E23</f>
        <v>6430189.5992845818</v>
      </c>
      <c r="G27" s="243">
        <f>$E27*'11a. AF by class'!G23/'11a. AF by class'!$E23</f>
        <v>1918723.3723722142</v>
      </c>
      <c r="H27" s="243">
        <f>$E27*'11a. AF by class'!H23/'11a. AF by class'!$E23</f>
        <v>3321775.0844655097</v>
      </c>
      <c r="I27" s="243">
        <f>$E27*'11a. AF by class'!I23/'11a. AF by class'!$E23</f>
        <v>1931341.8661997183</v>
      </c>
      <c r="J27" s="243">
        <f>$E27*'11a. AF by class'!J23/'11a. AF by class'!$E23</f>
        <v>800381.02637478395</v>
      </c>
      <c r="K27" s="243">
        <f>$E27*'11a. AF by class'!K23/'11a. AF by class'!$E23</f>
        <v>1178102.8498882193</v>
      </c>
      <c r="L27" s="243">
        <f>$E27*'11a. AF by class'!L23/'11a. AF by class'!$E23</f>
        <v>21860.870925325813</v>
      </c>
      <c r="M27" s="243">
        <f>$E27*'11a. AF by class'!M23/'11a. AF by class'!$E23</f>
        <v>1592.3968184463799</v>
      </c>
      <c r="N27" s="244">
        <f>$E27*'11a. AF by class'!N23/'11a. AF by class'!$E23</f>
        <v>68599.630777654951</v>
      </c>
      <c r="P27" s="32">
        <f>SUM(F27:O27)</f>
        <v>15672566.697106453</v>
      </c>
      <c r="Q27" s="32">
        <f>E27-P27</f>
        <v>0</v>
      </c>
    </row>
    <row r="28" spans="1:17" x14ac:dyDescent="0.3">
      <c r="A28" s="157"/>
      <c r="B28" s="35" t="s">
        <v>976</v>
      </c>
      <c r="C28" s="35"/>
      <c r="D28" s="35"/>
      <c r="E28" s="243">
        <f>'9b. Summary Schedules-sf'!P177</f>
        <v>4310907.300118031</v>
      </c>
      <c r="F28" s="243">
        <f>$E28*'11a. AF by class'!F24/'11a. AF by class'!$E24</f>
        <v>2190078.2684063781</v>
      </c>
      <c r="G28" s="243">
        <f>$E28*'11a. AF by class'!G24/'11a. AF by class'!$E24</f>
        <v>805325.24119613192</v>
      </c>
      <c r="H28" s="243">
        <f>$E28*'11a. AF by class'!H24/'11a. AF by class'!$E24</f>
        <v>746248.19820112153</v>
      </c>
      <c r="I28" s="243">
        <f>$E28*'11a. AF by class'!I24/'11a. AF by class'!$E24</f>
        <v>383704.97638481751</v>
      </c>
      <c r="J28" s="243">
        <f>$E28*'11a. AF by class'!J24/'11a. AF by class'!$E24</f>
        <v>130445.20541518109</v>
      </c>
      <c r="K28" s="243">
        <f>$E28*'11a. AF by class'!K24/'11a. AF by class'!$E24</f>
        <v>43556.173354762621</v>
      </c>
      <c r="L28" s="243">
        <f>$E28*'11a. AF by class'!L24/'11a. AF by class'!$E24</f>
        <v>0</v>
      </c>
      <c r="M28" s="243">
        <f>$E28*'11a. AF by class'!M24/'11a. AF by class'!$E24</f>
        <v>262.00936400235753</v>
      </c>
      <c r="N28" s="244">
        <f>$E28*'11a. AF by class'!N24/'11a. AF by class'!$E24</f>
        <v>11287.227795635758</v>
      </c>
      <c r="P28" s="32">
        <f>SUM(F28:O28)</f>
        <v>4310907.30011803</v>
      </c>
      <c r="Q28" s="32">
        <f>E28-P28</f>
        <v>0</v>
      </c>
    </row>
    <row r="29" spans="1:17" x14ac:dyDescent="0.3">
      <c r="A29" s="157"/>
      <c r="B29" s="35" t="s">
        <v>931</v>
      </c>
      <c r="C29" s="35"/>
      <c r="D29" s="35"/>
      <c r="E29" s="580">
        <f>'9b. Summary Schedules-sf'!Q177</f>
        <v>930035.77646424621</v>
      </c>
      <c r="F29" s="580">
        <f>$E29*'11a. AF by class'!F25/'11a. AF by class'!$E25</f>
        <v>450433.64482448116</v>
      </c>
      <c r="G29" s="580">
        <f>$E29*'11a. AF by class'!G25/'11a. AF by class'!$E25</f>
        <v>155460.29089328737</v>
      </c>
      <c r="H29" s="580">
        <f>$E29*'11a. AF by class'!H25/'11a. AF by class'!$E25</f>
        <v>179281.86531334982</v>
      </c>
      <c r="I29" s="580">
        <f>$E29*'11a. AF by class'!I25/'11a. AF by class'!$E25</f>
        <v>96163.861532715615</v>
      </c>
      <c r="J29" s="580">
        <f>$E29*'11a. AF by class'!J25/'11a. AF by class'!$E25</f>
        <v>33982.945694114467</v>
      </c>
      <c r="K29" s="580">
        <f>$E29*'11a. AF by class'!K25/'11a. AF by class'!$E25</f>
        <v>11509.950534696205</v>
      </c>
      <c r="L29" s="580">
        <f>$E29*'11a. AF by class'!L25/'11a. AF by class'!$E25</f>
        <v>0</v>
      </c>
      <c r="M29" s="580">
        <f>$E29*'11a. AF by class'!M25/'11a. AF by class'!$E25</f>
        <v>72.669130722375712</v>
      </c>
      <c r="N29" s="600">
        <f>$E29*'11a. AF by class'!N25/'11a. AF by class'!$E25</f>
        <v>3130.5485408792761</v>
      </c>
      <c r="P29" s="32">
        <f>SUM(F29:O29)</f>
        <v>930035.77646424621</v>
      </c>
      <c r="Q29" s="32">
        <f>E29-P29</f>
        <v>0</v>
      </c>
    </row>
    <row r="30" spans="1:17" x14ac:dyDescent="0.3">
      <c r="A30" s="157"/>
      <c r="B30" s="35" t="s">
        <v>977</v>
      </c>
      <c r="C30" s="35"/>
      <c r="D30" s="35"/>
      <c r="E30" s="243">
        <f>SUM(E26:E29)</f>
        <v>37934267.115786284</v>
      </c>
      <c r="F30" s="243">
        <f t="shared" ref="F30:N30" si="2">SUM(F26:F29)</f>
        <v>15934202.405209657</v>
      </c>
      <c r="G30" s="243">
        <f t="shared" si="2"/>
        <v>4927529.3206209242</v>
      </c>
      <c r="H30" s="243">
        <f t="shared" si="2"/>
        <v>7792924.7452769307</v>
      </c>
      <c r="I30" s="243">
        <f t="shared" si="2"/>
        <v>4472699.9367573448</v>
      </c>
      <c r="J30" s="243">
        <f t="shared" si="2"/>
        <v>1819125.4933871187</v>
      </c>
      <c r="K30" s="243">
        <f t="shared" si="2"/>
        <v>2490660.6599937468</v>
      </c>
      <c r="L30" s="243">
        <f t="shared" si="2"/>
        <v>337258.01318677037</v>
      </c>
      <c r="M30" s="243">
        <f t="shared" si="2"/>
        <v>3626.7790024909673</v>
      </c>
      <c r="N30" s="244">
        <f t="shared" si="2"/>
        <v>156239.7623513022</v>
      </c>
      <c r="P30" s="32">
        <f>SUM(F30:O30)</f>
        <v>37934267.115786284</v>
      </c>
      <c r="Q30" s="32">
        <f>E30-P30</f>
        <v>0</v>
      </c>
    </row>
    <row r="31" spans="1:17" x14ac:dyDescent="0.3">
      <c r="A31" s="157"/>
      <c r="B31" s="35"/>
      <c r="C31" s="35"/>
      <c r="D31" s="35"/>
      <c r="E31" s="243"/>
      <c r="F31" s="243"/>
      <c r="G31" s="243"/>
      <c r="H31" s="243"/>
      <c r="I31" s="243"/>
      <c r="J31" s="243"/>
      <c r="K31" s="243"/>
      <c r="L31" s="243"/>
      <c r="M31" s="243"/>
      <c r="N31" s="244"/>
    </row>
    <row r="32" spans="1:17" x14ac:dyDescent="0.3">
      <c r="A32" s="157"/>
      <c r="B32" s="35" t="s">
        <v>978</v>
      </c>
      <c r="C32" s="35"/>
      <c r="D32" s="35"/>
      <c r="E32" s="243"/>
      <c r="F32" s="243"/>
      <c r="G32" s="243"/>
      <c r="H32" s="243"/>
      <c r="I32" s="243"/>
      <c r="J32" s="243"/>
      <c r="K32" s="243"/>
      <c r="L32" s="243"/>
      <c r="M32" s="243"/>
      <c r="N32" s="244"/>
    </row>
    <row r="33" spans="1:17" x14ac:dyDescent="0.3">
      <c r="A33" s="157"/>
      <c r="B33" s="35" t="s">
        <v>975</v>
      </c>
      <c r="C33" s="35"/>
      <c r="D33" s="35"/>
      <c r="E33" s="243">
        <f>'9b. Summary Schedules-sf'!R177</f>
        <v>11080542.126136133</v>
      </c>
      <c r="F33" s="243">
        <f>$E33*'11a. AF by class'!F29/'11a. AF by class'!$E29</f>
        <v>7947071.7925972361</v>
      </c>
      <c r="G33" s="243">
        <f>$E33*'11a. AF by class'!G29/'11a. AF by class'!$E29</f>
        <v>1954447.0419120674</v>
      </c>
      <c r="H33" s="243">
        <f>$E33*'11a. AF by class'!H29/'11a. AF by class'!$E29</f>
        <v>1041441.3843324686</v>
      </c>
      <c r="I33" s="243">
        <f>$E33*'11a. AF by class'!I29/'11a. AF by class'!$E29</f>
        <v>28342.039702283695</v>
      </c>
      <c r="J33" s="243">
        <f>$E33*'11a. AF by class'!J29/'11a. AF by class'!$E29</f>
        <v>2501.9946770039551</v>
      </c>
      <c r="K33" s="243">
        <f>$E33*'11a. AF by class'!K29/'11a. AF by class'!$E29</f>
        <v>542.09884668419033</v>
      </c>
      <c r="L33" s="243">
        <f>$E33*'11a. AF by class'!L29/'11a. AF by class'!$E29</f>
        <v>27.799940855599502</v>
      </c>
      <c r="M33" s="243">
        <f>$E33*'11a. AF by class'!M29/'11a. AF by class'!$E29</f>
        <v>25172.846444745348</v>
      </c>
      <c r="N33" s="244">
        <f>$E33*'11a. AF by class'!N29/'11a. AF by class'!$E29</f>
        <v>80995.127682789156</v>
      </c>
      <c r="P33" s="32">
        <f t="shared" ref="P33:P39" si="3">SUM(F33:O33)</f>
        <v>11080542.126136132</v>
      </c>
      <c r="Q33" s="32">
        <f t="shared" ref="Q33:Q39" si="4">E33-P33</f>
        <v>0</v>
      </c>
    </row>
    <row r="34" spans="1:17" x14ac:dyDescent="0.3">
      <c r="A34" s="157"/>
      <c r="B34" s="35" t="s">
        <v>976</v>
      </c>
      <c r="C34" s="35"/>
      <c r="D34" s="35"/>
      <c r="E34" s="243">
        <f>'9b. Summary Schedules-sf'!S177</f>
        <v>2945110.2454890464</v>
      </c>
      <c r="F34" s="243">
        <f>$E34*'11a. AF by class'!F30/'11a. AF by class'!$E30</f>
        <v>2112492.0534355431</v>
      </c>
      <c r="G34" s="243">
        <f>$E34*'11a. AF by class'!G30/'11a. AF by class'!$E30</f>
        <v>519531.46424898482</v>
      </c>
      <c r="H34" s="243">
        <f>$E34*'11a. AF by class'!H30/'11a. AF by class'!$E30</f>
        <v>276836.13611879083</v>
      </c>
      <c r="I34" s="243">
        <f>$E34*'11a. AF by class'!I30/'11a. AF by class'!$E30</f>
        <v>7386.0903862775995</v>
      </c>
      <c r="J34" s="243">
        <f>$E34*'11a. AF by class'!J30/'11a. AF by class'!$E30</f>
        <v>602.26750023174031</v>
      </c>
      <c r="K34" s="243">
        <f>$E34*'11a. AF by class'!K30/'11a. AF by class'!$E30</f>
        <v>40.643819034043815</v>
      </c>
      <c r="L34" s="243">
        <f>$E34*'11a. AF by class'!L30/'11a. AF by class'!$E30</f>
        <v>0</v>
      </c>
      <c r="M34" s="243">
        <f>$E34*'11a. AF by class'!M30/'11a. AF by class'!$E30</f>
        <v>6691.4505700593954</v>
      </c>
      <c r="N34" s="244">
        <f>$E34*'11a. AF by class'!N30/'11a. AF by class'!$E30</f>
        <v>21530.139410124848</v>
      </c>
      <c r="P34" s="32">
        <f t="shared" si="3"/>
        <v>2945110.245489046</v>
      </c>
      <c r="Q34" s="32">
        <f t="shared" si="4"/>
        <v>0</v>
      </c>
    </row>
    <row r="35" spans="1:17" x14ac:dyDescent="0.3">
      <c r="A35" s="157"/>
      <c r="B35" s="35" t="s">
        <v>931</v>
      </c>
      <c r="C35" s="35"/>
      <c r="D35" s="35"/>
      <c r="E35" s="243">
        <f>'9b. Summary Schedules-sf'!T177</f>
        <v>1016666.782568293</v>
      </c>
      <c r="F35" s="243">
        <f>$E35*'11a. AF by class'!F31/'11a. AF by class'!$E31</f>
        <v>729242.81950293062</v>
      </c>
      <c r="G35" s="243">
        <f>$E35*'11a. AF by class'!G31/'11a. AF by class'!$E31</f>
        <v>179344.85916444924</v>
      </c>
      <c r="H35" s="243">
        <f>$E35*'11a. AF by class'!H31/'11a. AF by class'!$E31</f>
        <v>95565.218394665993</v>
      </c>
      <c r="I35" s="243">
        <f>$E35*'11a. AF by class'!I31/'11a. AF by class'!$E31</f>
        <v>2549.7153324827468</v>
      </c>
      <c r="J35" s="243">
        <f>$E35*'11a. AF by class'!J31/'11a. AF by class'!$E31</f>
        <v>207.90575247358066</v>
      </c>
      <c r="K35" s="243">
        <f>$E35*'11a. AF by class'!K31/'11a. AF by class'!$E31</f>
        <v>14.030449553431822</v>
      </c>
      <c r="L35" s="243">
        <f>$E35*'11a. AF by class'!L31/'11a. AF by class'!$E31</f>
        <v>0</v>
      </c>
      <c r="M35" s="243">
        <f>$E35*'11a. AF by class'!M31/'11a. AF by class'!$E31</f>
        <v>2309.9221946604575</v>
      </c>
      <c r="N35" s="244">
        <f>$E35*'11a. AF by class'!N31/'11a. AF by class'!$E31</f>
        <v>7432.3117770770205</v>
      </c>
      <c r="P35" s="32">
        <f t="shared" si="3"/>
        <v>1016666.782568293</v>
      </c>
      <c r="Q35" s="32">
        <f t="shared" si="4"/>
        <v>0</v>
      </c>
    </row>
    <row r="36" spans="1:17" x14ac:dyDescent="0.3">
      <c r="A36" s="157"/>
      <c r="B36" s="35" t="s">
        <v>456</v>
      </c>
      <c r="C36" s="35"/>
      <c r="D36" s="35"/>
      <c r="E36" s="243">
        <f>'9b. Summary Schedules-sf'!U177</f>
        <v>77186.851341631787</v>
      </c>
      <c r="F36" s="243">
        <f>$E36*'11a. AF by class'!F32/'11a. AF by class'!$E32</f>
        <v>42137.086848038838</v>
      </c>
      <c r="G36" s="243">
        <f>$E36*'11a. AF by class'!G32/'11a. AF by class'!$E32</f>
        <v>10362.89930357185</v>
      </c>
      <c r="H36" s="243">
        <f>$E36*'11a. AF by class'!H32/'11a. AF by class'!$E32</f>
        <v>16565.839797610748</v>
      </c>
      <c r="I36" s="243">
        <f>$E36*'11a. AF by class'!I32/'11a. AF by class'!$E32</f>
        <v>7366.3787650205286</v>
      </c>
      <c r="J36" s="243">
        <f>$E36*'11a. AF by class'!J32/'11a. AF by class'!$E32</f>
        <v>600.66019944889752</v>
      </c>
      <c r="K36" s="243">
        <f>$E36*'11a. AF by class'!K32/'11a. AF by class'!$E32</f>
        <v>40.535350883054434</v>
      </c>
      <c r="L36" s="243">
        <f>$E36*'11a. AF by class'!L32/'11a. AF by class'!$E32</f>
        <v>0</v>
      </c>
      <c r="M36" s="243">
        <f>$E36*'11a. AF by class'!M32/'11a. AF by class'!$E32</f>
        <v>113.45107705787244</v>
      </c>
      <c r="N36" s="244">
        <f>$E36*'11a. AF by class'!N32/'11a. AF by class'!$E32</f>
        <v>0</v>
      </c>
      <c r="P36" s="32">
        <f t="shared" si="3"/>
        <v>77186.851341631816</v>
      </c>
      <c r="Q36" s="32">
        <f t="shared" si="4"/>
        <v>0</v>
      </c>
    </row>
    <row r="37" spans="1:17" x14ac:dyDescent="0.3">
      <c r="A37" s="157"/>
      <c r="B37" s="35" t="s">
        <v>932</v>
      </c>
      <c r="C37" s="35"/>
      <c r="D37" s="35"/>
      <c r="E37" s="243">
        <f>'9b. Summary Schedules-sf'!V177</f>
        <v>1584986.9808297632</v>
      </c>
      <c r="F37" s="243">
        <f>$E37*'11a. AF by class'!F33/'11a. AF by class'!$E33</f>
        <v>0</v>
      </c>
      <c r="G37" s="243">
        <f>$E37*'11a. AF by class'!G33/'11a. AF by class'!$E33</f>
        <v>0</v>
      </c>
      <c r="H37" s="243">
        <f>$E37*'11a. AF by class'!H33/'11a. AF by class'!$E33</f>
        <v>0</v>
      </c>
      <c r="I37" s="243">
        <f>$E37*'11a. AF by class'!I33/'11a. AF by class'!$E33</f>
        <v>0</v>
      </c>
      <c r="J37" s="243">
        <f>$E37*'11a. AF by class'!J33/'11a. AF by class'!$E33</f>
        <v>0</v>
      </c>
      <c r="K37" s="243">
        <f>$E37*'11a. AF by class'!K33/'11a. AF by class'!$E33</f>
        <v>0</v>
      </c>
      <c r="L37" s="243">
        <f>$E37*'11a. AF by class'!L33/'11a. AF by class'!$E33</f>
        <v>0</v>
      </c>
      <c r="M37" s="243">
        <f>$E37*'11a. AF by class'!M33/'11a. AF by class'!$E33</f>
        <v>0</v>
      </c>
      <c r="N37" s="244">
        <f>$E37*'11a. AF by class'!N33/'11a. AF by class'!$E33</f>
        <v>1584986.9808297632</v>
      </c>
      <c r="P37" s="32">
        <f t="shared" si="3"/>
        <v>1584986.9808297632</v>
      </c>
      <c r="Q37" s="32">
        <f t="shared" si="4"/>
        <v>0</v>
      </c>
    </row>
    <row r="38" spans="1:17" x14ac:dyDescent="0.3">
      <c r="A38" s="157"/>
      <c r="B38" s="35" t="s">
        <v>1013</v>
      </c>
      <c r="C38" s="35"/>
      <c r="D38" s="35"/>
      <c r="E38" s="580">
        <f>'9b. Summary Schedules-sf'!W177</f>
        <v>168347.82478884305</v>
      </c>
      <c r="F38" s="580">
        <f>$E38*'11a. AF by class'!F34/'11a. AF by class'!$E34</f>
        <v>58695.062889201443</v>
      </c>
      <c r="G38" s="580">
        <f>$E38*'11a. AF by class'!G34/'11a. AF by class'!$E34</f>
        <v>15750.221662707052</v>
      </c>
      <c r="H38" s="580">
        <f>$E38*'11a. AF by class'!H34/'11a. AF by class'!$E34</f>
        <v>38282.497749784401</v>
      </c>
      <c r="I38" s="580">
        <f>$E38*'11a. AF by class'!I34/'11a. AF by class'!$E34</f>
        <v>24841.649021616075</v>
      </c>
      <c r="J38" s="580">
        <f>$E38*'11a. AF by class'!J34/'11a. AF by class'!$E34</f>
        <v>11982.627936329178</v>
      </c>
      <c r="K38" s="580">
        <f>$E38*'11a. AF by class'!K34/'11a. AF by class'!$E34</f>
        <v>18795.765529204917</v>
      </c>
      <c r="L38" s="580">
        <f>$E38*'11a. AF by class'!L34/'11a. AF by class'!$E34</f>
        <v>0</v>
      </c>
      <c r="M38" s="580">
        <f>$E38*'11a. AF by class'!M34/'11a. AF by class'!$E34</f>
        <v>0</v>
      </c>
      <c r="N38" s="600">
        <f>$E38*'11a. AF by class'!N34/'11a. AF by class'!$E34</f>
        <v>0</v>
      </c>
      <c r="P38" s="32">
        <f>SUM(F38:O38)</f>
        <v>168347.82478884305</v>
      </c>
      <c r="Q38" s="32">
        <f>E38-P38</f>
        <v>0</v>
      </c>
    </row>
    <row r="39" spans="1:17" x14ac:dyDescent="0.3">
      <c r="A39" s="157"/>
      <c r="B39" s="35" t="s">
        <v>979</v>
      </c>
      <c r="C39" s="35"/>
      <c r="D39" s="35"/>
      <c r="E39" s="243">
        <f t="shared" ref="E39:N39" si="5">SUM(E33:E38)</f>
        <v>16872840.81115371</v>
      </c>
      <c r="F39" s="243">
        <f t="shared" si="5"/>
        <v>10889638.815272951</v>
      </c>
      <c r="G39" s="243">
        <f t="shared" si="5"/>
        <v>2679436.4862917806</v>
      </c>
      <c r="H39" s="243">
        <f t="shared" si="5"/>
        <v>1468691.0763933205</v>
      </c>
      <c r="I39" s="243">
        <f t="shared" si="5"/>
        <v>70485.873207680648</v>
      </c>
      <c r="J39" s="243">
        <f t="shared" si="5"/>
        <v>15895.456065487351</v>
      </c>
      <c r="K39" s="243">
        <f t="shared" si="5"/>
        <v>19433.073995359639</v>
      </c>
      <c r="L39" s="243">
        <f t="shared" si="5"/>
        <v>27.799940855599502</v>
      </c>
      <c r="M39" s="243">
        <f t="shared" si="5"/>
        <v>34287.670286523069</v>
      </c>
      <c r="N39" s="244">
        <f t="shared" si="5"/>
        <v>1694944.5596997542</v>
      </c>
      <c r="P39" s="32">
        <f t="shared" si="3"/>
        <v>16872840.811153714</v>
      </c>
      <c r="Q39" s="32">
        <f t="shared" si="4"/>
        <v>0</v>
      </c>
    </row>
    <row r="40" spans="1:17" x14ac:dyDescent="0.3">
      <c r="A40" s="157"/>
      <c r="B40" s="35"/>
      <c r="C40" s="35"/>
      <c r="D40" s="35"/>
      <c r="E40" s="243"/>
      <c r="F40" s="243"/>
      <c r="G40" s="243"/>
      <c r="H40" s="243"/>
      <c r="I40" s="243"/>
      <c r="J40" s="243"/>
      <c r="K40" s="243"/>
      <c r="L40" s="243"/>
      <c r="M40" s="243"/>
      <c r="N40" s="244"/>
    </row>
    <row r="41" spans="1:17" x14ac:dyDescent="0.3">
      <c r="A41" s="157"/>
      <c r="B41" s="35" t="s">
        <v>543</v>
      </c>
      <c r="C41" s="35"/>
      <c r="D41" s="35"/>
      <c r="E41" s="243">
        <f t="shared" ref="E41:N41" si="6">SUM(E30,E39)</f>
        <v>54807107.926939994</v>
      </c>
      <c r="F41" s="243">
        <f t="shared" si="6"/>
        <v>26823841.22048261</v>
      </c>
      <c r="G41" s="243">
        <f t="shared" si="6"/>
        <v>7606965.8069127053</v>
      </c>
      <c r="H41" s="243">
        <f t="shared" si="6"/>
        <v>9261615.821670251</v>
      </c>
      <c r="I41" s="243">
        <f t="shared" si="6"/>
        <v>4543185.8099650256</v>
      </c>
      <c r="J41" s="243">
        <f t="shared" si="6"/>
        <v>1835020.949452606</v>
      </c>
      <c r="K41" s="243">
        <f t="shared" si="6"/>
        <v>2510093.7339891065</v>
      </c>
      <c r="L41" s="243">
        <f t="shared" si="6"/>
        <v>337285.81312762597</v>
      </c>
      <c r="M41" s="243">
        <f t="shared" si="6"/>
        <v>37914.449289014039</v>
      </c>
      <c r="N41" s="244">
        <f t="shared" si="6"/>
        <v>1851184.3220510564</v>
      </c>
      <c r="P41" s="32">
        <f>SUM(F41:O41)</f>
        <v>54807107.926940002</v>
      </c>
      <c r="Q41" s="32">
        <f>E41-P41</f>
        <v>0</v>
      </c>
    </row>
    <row r="42" spans="1:17" x14ac:dyDescent="0.3">
      <c r="A42" s="157"/>
      <c r="B42" s="35"/>
      <c r="C42" s="35"/>
      <c r="D42" s="35"/>
      <c r="E42" s="243"/>
      <c r="F42" s="243"/>
      <c r="G42" s="243"/>
      <c r="H42" s="243"/>
      <c r="I42" s="243"/>
      <c r="J42" s="243"/>
      <c r="K42" s="243"/>
      <c r="L42" s="243"/>
      <c r="M42" s="243"/>
      <c r="N42" s="244"/>
    </row>
    <row r="43" spans="1:17" x14ac:dyDescent="0.3">
      <c r="A43" s="157" t="s">
        <v>907</v>
      </c>
      <c r="B43" s="35"/>
      <c r="C43" s="35"/>
      <c r="D43" s="35"/>
      <c r="E43" s="243"/>
      <c r="F43" s="243"/>
      <c r="G43" s="243"/>
      <c r="H43" s="243"/>
      <c r="I43" s="243"/>
      <c r="J43" s="243"/>
      <c r="K43" s="243"/>
      <c r="L43" s="243"/>
      <c r="M43" s="243"/>
      <c r="N43" s="244"/>
    </row>
    <row r="44" spans="1:17" x14ac:dyDescent="0.3">
      <c r="A44" s="157"/>
      <c r="B44" s="35" t="s">
        <v>907</v>
      </c>
      <c r="C44" s="35"/>
      <c r="D44" s="35"/>
      <c r="E44" s="243">
        <f>'9b. Summary Schedules-sf'!Y177</f>
        <v>1776552.6850167948</v>
      </c>
      <c r="F44" s="243">
        <f>$E44*'11a. AF by class'!F40/'11a. AF by class'!$E40</f>
        <v>943804.00882560376</v>
      </c>
      <c r="G44" s="243">
        <f>$E44*'11a. AF by class'!G40/'11a. AF by class'!$E40</f>
        <v>228766.06697660833</v>
      </c>
      <c r="H44" s="243">
        <f>$E44*'11a. AF by class'!H40/'11a. AF by class'!$E40</f>
        <v>496713.97502705496</v>
      </c>
      <c r="I44" s="243">
        <f>$E44*'11a. AF by class'!I40/'11a. AF by class'!$E40</f>
        <v>77813.493266990423</v>
      </c>
      <c r="J44" s="243">
        <f>$E44*'11a. AF by class'!J40/'11a. AF by class'!$E40</f>
        <v>6916.8611248151738</v>
      </c>
      <c r="K44" s="243">
        <f>$E44*'11a. AF by class'!K40/'11a. AF by class'!$E40</f>
        <v>17280.543846333185</v>
      </c>
      <c r="L44" s="243">
        <f>$E44*'11a. AF by class'!L40/'11a. AF by class'!$E40</f>
        <v>2095.0920796929804</v>
      </c>
      <c r="M44" s="243">
        <f>$E44*'11a. AF by class'!M40/'11a. AF by class'!$E40</f>
        <v>3162.6438696958689</v>
      </c>
      <c r="N44" s="244">
        <f>$E44*'11a. AF by class'!N40/'11a. AF by class'!$E40</f>
        <v>0</v>
      </c>
      <c r="P44" s="32">
        <f>SUM(F44:O44)</f>
        <v>1776552.6850167948</v>
      </c>
      <c r="Q44" s="32">
        <f>E44-P44</f>
        <v>0</v>
      </c>
    </row>
    <row r="45" spans="1:17" x14ac:dyDescent="0.3">
      <c r="A45" s="157"/>
      <c r="B45" s="35" t="s">
        <v>996</v>
      </c>
      <c r="C45" s="35"/>
      <c r="D45" s="35"/>
      <c r="E45" s="580">
        <f>'9b. Summary Schedules-sf'!Z177</f>
        <v>1878010.2796455179</v>
      </c>
      <c r="F45" s="580">
        <f>$E45*'11a. AF by class'!F41/'11a. AF by class'!$E41</f>
        <v>1211404.6449522874</v>
      </c>
      <c r="G45" s="580">
        <f>$E45*'11a. AF by class'!G41/'11a. AF by class'!$E41</f>
        <v>297924.35335628904</v>
      </c>
      <c r="H45" s="580">
        <f>$E45*'11a. AF by class'!H41/'11a. AF by class'!$E41</f>
        <v>317502.33629475709</v>
      </c>
      <c r="I45" s="580">
        <f>$E45*'11a. AF by class'!I41/'11a. AF by class'!$E41</f>
        <v>43202.929882615026</v>
      </c>
      <c r="J45" s="580">
        <f>$E45*'11a. AF by class'!J41/'11a. AF by class'!$E41</f>
        <v>3813.8927802210424</v>
      </c>
      <c r="K45" s="580">
        <f>$E45*'11a. AF by class'!K41/'11a. AF by class'!$E41</f>
        <v>826.34343571455918</v>
      </c>
      <c r="L45" s="580">
        <f>$E45*'11a. AF by class'!L41/'11a. AF by class'!$E41</f>
        <v>74.159026282075814</v>
      </c>
      <c r="M45" s="580">
        <f>$E45*'11a. AF by class'!M41/'11a. AF by class'!$E41</f>
        <v>3261.6199173518116</v>
      </c>
      <c r="N45" s="600">
        <f>$E45*'11a. AF by class'!N41/'11a. AF by class'!$E41</f>
        <v>0</v>
      </c>
      <c r="P45" s="32">
        <f>SUM(F45:O45)</f>
        <v>1878010.2796455179</v>
      </c>
      <c r="Q45" s="32">
        <f>E45-P45</f>
        <v>0</v>
      </c>
    </row>
    <row r="46" spans="1:17" x14ac:dyDescent="0.3">
      <c r="A46" s="157"/>
      <c r="B46" s="35" t="s">
        <v>997</v>
      </c>
      <c r="C46" s="35"/>
      <c r="D46" s="35"/>
      <c r="E46" s="243">
        <f>E44+E45</f>
        <v>3654562.9646623125</v>
      </c>
      <c r="F46" s="243">
        <f t="shared" ref="F46:N46" si="7">SUM(F44:F45)</f>
        <v>2155208.6537778913</v>
      </c>
      <c r="G46" s="243">
        <f t="shared" si="7"/>
        <v>526690.42033289734</v>
      </c>
      <c r="H46" s="243">
        <f t="shared" si="7"/>
        <v>814216.31132181198</v>
      </c>
      <c r="I46" s="243">
        <f t="shared" si="7"/>
        <v>121016.42314960546</v>
      </c>
      <c r="J46" s="243">
        <f t="shared" si="7"/>
        <v>10730.753905036216</v>
      </c>
      <c r="K46" s="243">
        <f t="shared" si="7"/>
        <v>18106.887282047745</v>
      </c>
      <c r="L46" s="243">
        <f t="shared" si="7"/>
        <v>2169.2511059750564</v>
      </c>
      <c r="M46" s="243">
        <f t="shared" si="7"/>
        <v>6424.263787047681</v>
      </c>
      <c r="N46" s="244">
        <f t="shared" si="7"/>
        <v>0</v>
      </c>
      <c r="P46" s="32">
        <f>SUM(F46:O46)</f>
        <v>3654562.9646623125</v>
      </c>
      <c r="Q46" s="32">
        <f>E46-P46</f>
        <v>0</v>
      </c>
    </row>
    <row r="47" spans="1:17" x14ac:dyDescent="0.3">
      <c r="A47" s="157"/>
      <c r="B47" s="35"/>
      <c r="C47" s="35"/>
      <c r="D47" s="35"/>
      <c r="E47" s="243"/>
      <c r="F47" s="243"/>
      <c r="G47" s="243"/>
      <c r="H47" s="243"/>
      <c r="I47" s="243"/>
      <c r="J47" s="243"/>
      <c r="K47" s="243"/>
      <c r="L47" s="243"/>
      <c r="M47" s="243"/>
      <c r="N47" s="244"/>
    </row>
    <row r="48" spans="1:17" x14ac:dyDescent="0.3">
      <c r="A48" s="157" t="s">
        <v>84</v>
      </c>
      <c r="B48" s="35"/>
      <c r="C48" s="35"/>
      <c r="D48" s="35"/>
      <c r="E48" s="243">
        <f>'9b. Summary Schedules-sf'!AA177</f>
        <v>1190617.5640386445</v>
      </c>
      <c r="F48" s="243">
        <f>$E48*'11a. AF by class'!F44/'11a. AF by class'!$E44</f>
        <v>714368.65170917148</v>
      </c>
      <c r="G48" s="243">
        <f>$E48*'11a. AF by class'!G44/'11a. AF by class'!$E44</f>
        <v>175686.81076573013</v>
      </c>
      <c r="H48" s="243">
        <f>$E48*'11a. AF by class'!H44/'11a. AF by class'!$E44</f>
        <v>280848.00174552441</v>
      </c>
      <c r="I48" s="243">
        <f>$E48*'11a. AF by class'!I44/'11a. AF by class'!$E44</f>
        <v>12738.44330163731</v>
      </c>
      <c r="J48" s="243">
        <f>$E48*'11a. AF by class'!J44/'11a. AF by class'!$E44</f>
        <v>1124.5315322681292</v>
      </c>
      <c r="K48" s="243">
        <f>$E48*'11a. AF by class'!K44/'11a. AF by class'!$E44</f>
        <v>243.64849865809467</v>
      </c>
      <c r="L48" s="243">
        <f>$E48*'11a. AF by class'!L44/'11a. AF by class'!$E44</f>
        <v>43.73178181042725</v>
      </c>
      <c r="M48" s="243">
        <f>$E48*'11a. AF by class'!M44/'11a. AF by class'!$E44</f>
        <v>1923.3862379966051</v>
      </c>
      <c r="N48" s="244">
        <f>$E48*'11a. AF by class'!N44/'11a. AF by class'!$E44</f>
        <v>3640.358465847994</v>
      </c>
      <c r="P48" s="32">
        <f>SUM(F48:O48)</f>
        <v>1190617.5640386448</v>
      </c>
      <c r="Q48" s="32">
        <f>E48-P48</f>
        <v>0</v>
      </c>
    </row>
    <row r="49" spans="1:17" x14ac:dyDescent="0.3">
      <c r="A49" s="157"/>
      <c r="B49" s="35"/>
      <c r="C49" s="35"/>
      <c r="D49" s="35"/>
      <c r="E49" s="243"/>
      <c r="F49" s="243"/>
      <c r="G49" s="243"/>
      <c r="H49" s="243"/>
      <c r="I49" s="243"/>
      <c r="J49" s="243"/>
      <c r="K49" s="243"/>
      <c r="L49" s="243"/>
      <c r="M49" s="243"/>
      <c r="N49" s="244"/>
    </row>
    <row r="50" spans="1:17" x14ac:dyDescent="0.3">
      <c r="A50" s="157" t="s">
        <v>82</v>
      </c>
      <c r="B50" s="35"/>
      <c r="C50" s="35"/>
      <c r="D50" s="35"/>
      <c r="E50" s="243"/>
      <c r="F50" s="243"/>
      <c r="G50" s="243"/>
      <c r="H50" s="243"/>
      <c r="I50" s="243"/>
      <c r="J50" s="243"/>
      <c r="K50" s="243"/>
      <c r="L50" s="243"/>
      <c r="M50" s="243"/>
      <c r="N50" s="244"/>
    </row>
    <row r="51" spans="1:17" x14ac:dyDescent="0.3">
      <c r="A51" s="157"/>
      <c r="B51" s="35" t="s">
        <v>81</v>
      </c>
      <c r="C51" s="35"/>
      <c r="D51" s="35"/>
      <c r="E51" s="243">
        <f>'9b. Summary Schedules-sf'!AC177</f>
        <v>3342010.9558612946</v>
      </c>
      <c r="F51" s="243">
        <f>$E51*'11a. AF by class'!F47/'11a. AF by class'!$E47</f>
        <v>2405699.8730601408</v>
      </c>
      <c r="G51" s="243">
        <f>$E51*'11a. AF by class'!G47/'11a. AF by class'!$E47</f>
        <v>591640.93685556075</v>
      </c>
      <c r="H51" s="243">
        <f>$E51*'11a. AF by class'!H47/'11a. AF by class'!$E47</f>
        <v>315260.19538693409</v>
      </c>
      <c r="I51" s="243">
        <f>$E51*'11a. AF by class'!I47/'11a. AF by class'!$E47</f>
        <v>8579.5678072975097</v>
      </c>
      <c r="J51" s="243">
        <f>$E51*'11a. AF by class'!J47/'11a. AF by class'!$E47</f>
        <v>757.39195944754874</v>
      </c>
      <c r="K51" s="243">
        <f>$E51*'11a. AF by class'!K47/'11a. AF by class'!$E47</f>
        <v>164.10159121363554</v>
      </c>
      <c r="L51" s="243">
        <f>$E51*'11a. AF by class'!L47/'11a. AF by class'!$E47</f>
        <v>29.45413175629356</v>
      </c>
      <c r="M51" s="243">
        <f>$E51*'11a. AF by class'!M47/'11a. AF by class'!$E47</f>
        <v>7620.2046586639481</v>
      </c>
      <c r="N51" s="244">
        <f>$E51*'11a. AF by class'!N47/'11a. AF by class'!$E47</f>
        <v>12259.230410280185</v>
      </c>
      <c r="P51" s="32">
        <f>SUM(F51:O51)</f>
        <v>3342010.9558612946</v>
      </c>
      <c r="Q51" s="32">
        <f>E51-P51</f>
        <v>0</v>
      </c>
    </row>
    <row r="52" spans="1:17" x14ac:dyDescent="0.3">
      <c r="A52" s="157"/>
      <c r="B52" s="35" t="s">
        <v>1007</v>
      </c>
      <c r="C52" s="35"/>
      <c r="D52" s="35"/>
      <c r="E52" s="243">
        <f>'9b. Summary Schedules-sf'!AD177</f>
        <v>341010.97013688786</v>
      </c>
      <c r="F52" s="243">
        <f>$E52*'11a. AF by class'!F48/'11a. AF by class'!$E48</f>
        <v>118373.46766990138</v>
      </c>
      <c r="G52" s="243">
        <f>$E52*'11a. AF by class'!G48/'11a. AF by class'!$E48</f>
        <v>31764.313095697227</v>
      </c>
      <c r="H52" s="243">
        <f>$E52*'11a. AF by class'!H48/'11a. AF by class'!$E48</f>
        <v>77206.357513604322</v>
      </c>
      <c r="I52" s="243">
        <f>$E52*'11a. AF by class'!I48/'11a. AF by class'!$E48</f>
        <v>50099.480136485377</v>
      </c>
      <c r="J52" s="243">
        <f>$E52*'11a. AF by class'!J48/'11a. AF by class'!$E48</f>
        <v>24166.005636608275</v>
      </c>
      <c r="K52" s="243">
        <f>$E52*'11a. AF by class'!K48/'11a. AF by class'!$E48</f>
        <v>37906.42404459745</v>
      </c>
      <c r="L52" s="243">
        <f>$E52*'11a. AF by class'!L48/'11a. AF by class'!$E48</f>
        <v>0</v>
      </c>
      <c r="M52" s="243">
        <f>$E52*'11a. AF by class'!M48/'11a. AF by class'!$E48</f>
        <v>68.096909910879035</v>
      </c>
      <c r="N52" s="244">
        <f>$E52*'11a. AF by class'!N48/'11a. AF by class'!$E48</f>
        <v>1426.8251300829411</v>
      </c>
      <c r="P52" s="32">
        <f>SUM(F52:O52)</f>
        <v>341010.97013688786</v>
      </c>
      <c r="Q52" s="32">
        <f>E52-P52</f>
        <v>0</v>
      </c>
    </row>
    <row r="53" spans="1:17" x14ac:dyDescent="0.3">
      <c r="A53" s="157"/>
      <c r="B53" s="35" t="s">
        <v>1008</v>
      </c>
      <c r="C53" s="35"/>
      <c r="D53" s="35"/>
      <c r="E53" s="580">
        <f>'9b. Summary Schedules-sf'!AE177</f>
        <v>0</v>
      </c>
      <c r="F53" s="580">
        <f>$E53*'11a. AF by class'!F49/'11a. AF by class'!$E49</f>
        <v>0</v>
      </c>
      <c r="G53" s="580">
        <f>$E53*'11a. AF by class'!G49/'11a. AF by class'!$E49</f>
        <v>0</v>
      </c>
      <c r="H53" s="580">
        <f>$E53*'11a. AF by class'!H49/'11a. AF by class'!$E49</f>
        <v>0</v>
      </c>
      <c r="I53" s="580">
        <f>$E53*'11a. AF by class'!I49/'11a. AF by class'!$E49</f>
        <v>0</v>
      </c>
      <c r="J53" s="580">
        <f>$E53*'11a. AF by class'!J49/'11a. AF by class'!$E49</f>
        <v>0</v>
      </c>
      <c r="K53" s="580">
        <f>$E53*'11a. AF by class'!K49/'11a. AF by class'!$E49</f>
        <v>0</v>
      </c>
      <c r="L53" s="580">
        <f>$E53*'11a. AF by class'!L49/'11a. AF by class'!$E49</f>
        <v>0</v>
      </c>
      <c r="M53" s="580">
        <f>$E53*'11a. AF by class'!M49/'11a. AF by class'!$E49</f>
        <v>0</v>
      </c>
      <c r="N53" s="600">
        <f>$E53*'11a. AF by class'!N49/'11a. AF by class'!$E49</f>
        <v>0</v>
      </c>
      <c r="P53" s="32">
        <f>SUM(F53:O53)</f>
        <v>0</v>
      </c>
      <c r="Q53" s="32">
        <f>E53-P53</f>
        <v>0</v>
      </c>
    </row>
    <row r="54" spans="1:17" x14ac:dyDescent="0.3">
      <c r="A54" s="157"/>
      <c r="B54" s="35" t="s">
        <v>83</v>
      </c>
      <c r="C54" s="35"/>
      <c r="D54" s="35"/>
      <c r="E54" s="243">
        <f t="shared" ref="E54:N54" si="8">SUM(E51:E53)</f>
        <v>3683021.9259981825</v>
      </c>
      <c r="F54" s="243">
        <f t="shared" si="8"/>
        <v>2524073.3407300422</v>
      </c>
      <c r="G54" s="243">
        <f t="shared" si="8"/>
        <v>623405.24995125795</v>
      </c>
      <c r="H54" s="243">
        <f t="shared" si="8"/>
        <v>392466.55290053843</v>
      </c>
      <c r="I54" s="243">
        <f t="shared" si="8"/>
        <v>58679.047943782891</v>
      </c>
      <c r="J54" s="243">
        <f t="shared" si="8"/>
        <v>24923.397596055824</v>
      </c>
      <c r="K54" s="243">
        <f t="shared" si="8"/>
        <v>38070.525635811086</v>
      </c>
      <c r="L54" s="243">
        <f t="shared" si="8"/>
        <v>29.45413175629356</v>
      </c>
      <c r="M54" s="243">
        <f t="shared" si="8"/>
        <v>7688.3015685748269</v>
      </c>
      <c r="N54" s="244">
        <f t="shared" si="8"/>
        <v>13686.055540363126</v>
      </c>
      <c r="P54" s="32">
        <f>SUM(F54:O54)</f>
        <v>3683021.9259981825</v>
      </c>
      <c r="Q54" s="32">
        <f>E54-P54</f>
        <v>0</v>
      </c>
    </row>
    <row r="55" spans="1:17" x14ac:dyDescent="0.3">
      <c r="A55" s="157"/>
      <c r="B55" s="35"/>
      <c r="C55" s="35"/>
      <c r="D55" s="35"/>
      <c r="E55" s="243"/>
      <c r="F55" s="243"/>
      <c r="G55" s="243"/>
      <c r="H55" s="243"/>
      <c r="I55" s="243"/>
      <c r="J55" s="243"/>
      <c r="K55" s="243"/>
      <c r="L55" s="243"/>
      <c r="M55" s="243"/>
      <c r="N55" s="244"/>
    </row>
    <row r="56" spans="1:17" x14ac:dyDescent="0.3">
      <c r="A56" s="157" t="s">
        <v>912</v>
      </c>
      <c r="B56" s="35"/>
      <c r="C56" s="35"/>
      <c r="D56" s="53"/>
      <c r="E56" s="243"/>
      <c r="F56" s="243"/>
      <c r="G56" s="243"/>
      <c r="H56" s="243"/>
      <c r="I56" s="243"/>
      <c r="J56" s="243"/>
      <c r="K56" s="243"/>
      <c r="L56" s="243"/>
      <c r="M56" s="243"/>
      <c r="N56" s="244"/>
    </row>
    <row r="57" spans="1:17" x14ac:dyDescent="0.3">
      <c r="A57" s="157"/>
      <c r="B57" s="35" t="s">
        <v>1006</v>
      </c>
      <c r="C57" s="35"/>
      <c r="D57" s="53"/>
      <c r="E57" s="580">
        <f>'9b. Summary Schedules-sf'!AG177</f>
        <v>3822484.6549347816</v>
      </c>
      <c r="F57" s="580">
        <f>$E57*'11a. AF by class'!F53/'11a. AF by class'!$E53</f>
        <v>1326880.3743703102</v>
      </c>
      <c r="G57" s="580">
        <f>$E57*'11a. AF by class'!G53/'11a. AF by class'!$E53</f>
        <v>356054.81939219433</v>
      </c>
      <c r="H57" s="580">
        <f>$E57*'11a. AF by class'!H53/'11a. AF by class'!$E53</f>
        <v>865427.04693838663</v>
      </c>
      <c r="I57" s="580">
        <f>$E57*'11a. AF by class'!I53/'11a. AF by class'!$E53</f>
        <v>561578.69045987562</v>
      </c>
      <c r="J57" s="580">
        <f>$E57*'11a. AF by class'!J53/'11a. AF by class'!$E53</f>
        <v>270883.3257766515</v>
      </c>
      <c r="K57" s="580">
        <f>$E57*'11a. AF by class'!K53/'11a. AF by class'!$E53</f>
        <v>424903.41051421448</v>
      </c>
      <c r="L57" s="580">
        <f>$E57*'11a. AF by class'!L53/'11a. AF by class'!$E53</f>
        <v>0</v>
      </c>
      <c r="M57" s="580">
        <f>$E57*'11a. AF by class'!M53/'11a. AF by class'!$E53</f>
        <v>763.31677270770081</v>
      </c>
      <c r="N57" s="600">
        <f>$E57*'11a. AF by class'!N53/'11a. AF by class'!$E53</f>
        <v>15993.67071044086</v>
      </c>
      <c r="P57" s="32">
        <f>SUM(F57:O57)</f>
        <v>3822484.6549347811</v>
      </c>
      <c r="Q57" s="32">
        <f>E57-P57</f>
        <v>0</v>
      </c>
    </row>
    <row r="58" spans="1:17" x14ac:dyDescent="0.3">
      <c r="A58" s="157"/>
      <c r="B58" s="35" t="s">
        <v>1014</v>
      </c>
      <c r="C58" s="35"/>
      <c r="D58" s="53"/>
      <c r="E58" s="243">
        <f t="shared" ref="E58:N58" si="9">SUM(E57:E57)</f>
        <v>3822484.6549347816</v>
      </c>
      <c r="F58" s="243">
        <f t="shared" si="9"/>
        <v>1326880.3743703102</v>
      </c>
      <c r="G58" s="243">
        <f t="shared" si="9"/>
        <v>356054.81939219433</v>
      </c>
      <c r="H58" s="243">
        <f t="shared" si="9"/>
        <v>865427.04693838663</v>
      </c>
      <c r="I58" s="243">
        <f t="shared" si="9"/>
        <v>561578.69045987562</v>
      </c>
      <c r="J58" s="243">
        <f t="shared" si="9"/>
        <v>270883.3257766515</v>
      </c>
      <c r="K58" s="243">
        <f t="shared" si="9"/>
        <v>424903.41051421448</v>
      </c>
      <c r="L58" s="243">
        <f t="shared" si="9"/>
        <v>0</v>
      </c>
      <c r="M58" s="243">
        <f t="shared" si="9"/>
        <v>763.31677270770081</v>
      </c>
      <c r="N58" s="244">
        <f t="shared" si="9"/>
        <v>15993.67071044086</v>
      </c>
      <c r="P58" s="32">
        <f>SUM(F58:O58)</f>
        <v>3822484.6549347811</v>
      </c>
      <c r="Q58" s="32">
        <f>E58-P58</f>
        <v>0</v>
      </c>
    </row>
    <row r="59" spans="1:17" x14ac:dyDescent="0.3">
      <c r="A59" s="157"/>
      <c r="B59" s="35"/>
      <c r="C59" s="35"/>
      <c r="D59" s="35"/>
      <c r="E59" s="243"/>
      <c r="F59" s="243"/>
      <c r="G59" s="243"/>
      <c r="H59" s="243"/>
      <c r="I59" s="243"/>
      <c r="J59" s="243"/>
      <c r="K59" s="243"/>
      <c r="L59" s="243"/>
      <c r="M59" s="243"/>
      <c r="N59" s="244"/>
    </row>
    <row r="60" spans="1:17" x14ac:dyDescent="0.3">
      <c r="A60" s="157" t="s">
        <v>913</v>
      </c>
      <c r="B60" s="35"/>
      <c r="C60" s="35"/>
      <c r="D60" s="35"/>
      <c r="E60" s="243">
        <f>'9b. Summary Schedules-sf'!AH177</f>
        <v>-7486.1</v>
      </c>
      <c r="F60" s="243">
        <f>$E60*'11a. AF by class'!F56/'11a. AF by class'!$E56</f>
        <v>-2977.4090414556081</v>
      </c>
      <c r="G60" s="243">
        <f>$E60*'11a. AF by class'!G56/'11a. AF by class'!$E56</f>
        <v>-763.26347453501216</v>
      </c>
      <c r="H60" s="243">
        <f>$E60*'11a. AF by class'!H56/'11a. AF by class'!$E56</f>
        <v>-1755.2502288557607</v>
      </c>
      <c r="I60" s="243">
        <f>$E60*'11a. AF by class'!I56/'11a. AF by class'!$E56</f>
        <v>-987.1404829123685</v>
      </c>
      <c r="J60" s="243">
        <f>$E60*'11a. AF by class'!J56/'11a. AF by class'!$E56</f>
        <v>-428.16588990551583</v>
      </c>
      <c r="K60" s="243">
        <f>$E60*'11a. AF by class'!K56/'11a. AF by class'!$E56</f>
        <v>-574.85691990207704</v>
      </c>
      <c r="L60" s="243">
        <f>$E60*'11a. AF by class'!L56/'11a. AF by class'!$E56</f>
        <v>0</v>
      </c>
      <c r="M60" s="243">
        <f>$E60*'11a. AF by class'!M56/'11a. AF by class'!$E56</f>
        <v>0</v>
      </c>
      <c r="N60" s="244">
        <f>$E60*'11a. AF by class'!N56/'11a. AF by class'!$E56</f>
        <v>-1.39624336572411E-2</v>
      </c>
      <c r="P60" s="32">
        <f>SUM(F60:O60)</f>
        <v>-7486.0999999999985</v>
      </c>
      <c r="Q60" s="32">
        <f>E60-P60</f>
        <v>0</v>
      </c>
    </row>
    <row r="61" spans="1:17" x14ac:dyDescent="0.3">
      <c r="A61" s="157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158"/>
    </row>
    <row r="62" spans="1:17" x14ac:dyDescent="0.3">
      <c r="A62" s="157" t="s">
        <v>982</v>
      </c>
      <c r="B62" s="35"/>
      <c r="C62" s="35"/>
      <c r="D62" s="35"/>
      <c r="E62" s="35">
        <f>SUM(E18,E20,E22,E41,E46,E48,E54,E58,E60)</f>
        <v>149542447.44051641</v>
      </c>
      <c r="F62" s="35">
        <f t="shared" ref="F62:N62" si="10">SUM(F18,F20,F22,F41,F46,F48,F54,F58,F60)</f>
        <v>64395820.746286631</v>
      </c>
      <c r="G62" s="35">
        <f t="shared" si="10"/>
        <v>18114565.684512164</v>
      </c>
      <c r="H62" s="35">
        <f t="shared" si="10"/>
        <v>29267932.036050677</v>
      </c>
      <c r="I62" s="35">
        <f t="shared" si="10"/>
        <v>16118094.881813191</v>
      </c>
      <c r="J62" s="35">
        <f t="shared" si="10"/>
        <v>6990831.2247351399</v>
      </c>
      <c r="K62" s="35">
        <f t="shared" si="10"/>
        <v>10377245.032816425</v>
      </c>
      <c r="L62" s="35">
        <f t="shared" si="10"/>
        <v>1980254.4467358151</v>
      </c>
      <c r="M62" s="35">
        <f t="shared" si="10"/>
        <v>66503.303940614918</v>
      </c>
      <c r="N62" s="158">
        <f t="shared" si="10"/>
        <v>2231200.0836257362</v>
      </c>
      <c r="P62" s="32">
        <f>SUM(F62:O62)</f>
        <v>149542447.44051641</v>
      </c>
      <c r="Q62" s="32">
        <f>E62-P62</f>
        <v>0</v>
      </c>
    </row>
    <row r="63" spans="1:17" ht="13.5" thickBot="1" x14ac:dyDescent="0.35">
      <c r="A63" s="33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161"/>
    </row>
  </sheetData>
  <customSheetViews>
    <customSheetView guid="{121E4431-22F3-11D5-8242-00600818425F}" scale="75" showRuler="0">
      <pane xSplit="2" ySplit="7" topLeftCell="C8" activePane="bottomRight" state="frozen"/>
      <selection pane="bottomRight" activeCell="E11" sqref="E11"/>
      <pageMargins left="0" right="0" top="0.5" bottom="0.4" header="0.2" footer="0.2"/>
      <printOptions horizontalCentered="1" gridLines="1"/>
      <pageSetup scale="65" orientation="landscape" horizontalDpi="300" verticalDpi="300" r:id="rId1"/>
      <headerFooter alignWithMargins="0">
        <oddHeader>&amp;R&amp;"Arial,Bold"&amp;8REVISED
&amp;D</oddHeader>
        <oddFooter>&amp;L&amp;8&amp;F&amp;C&amp;8&amp;A
page &amp;P&amp;R&amp;8&amp;D
&amp;T</oddFooter>
      </headerFooter>
    </customSheetView>
    <customSheetView guid="{26EFD302-2526-11D5-9AB1-0060975861A8}" scale="75" showPageBreaks="1" printArea="1" showRuler="0">
      <pane xSplit="2" ySplit="7" topLeftCell="C8" activePane="bottomRight" state="frozen"/>
      <selection pane="bottomRight" activeCell="E11" sqref="E11"/>
      <pageMargins left="0" right="0" top="0.5" bottom="0.4" header="0.2" footer="0.2"/>
      <printOptions horizontalCentered="1" gridLines="1"/>
      <pageSetup scale="65" orientation="landscape" horizontalDpi="300" verticalDpi="300" r:id="rId2"/>
      <headerFooter alignWithMargins="0">
        <oddHeader>&amp;R&amp;"Arial,Bold"&amp;8REVISED
&amp;D</oddHeader>
        <oddFooter>&amp;L&amp;8&amp;F&amp;C&amp;8&amp;A
page &amp;P&amp;R&amp;8&amp;D
&amp;T</oddFooter>
      </headerFooter>
    </customSheetView>
    <customSheetView guid="{44D25261-300E-11D5-83AB-006008184210}" scale="75" showPageBreaks="1" printArea="1" showRuler="0">
      <pane xSplit="2" ySplit="7" topLeftCell="C8" activePane="bottomRight" state="frozen"/>
      <selection pane="bottomRight" activeCell="E11" sqref="E11"/>
      <pageMargins left="0" right="0" top="0.5" bottom="0.4" header="0.2" footer="0.2"/>
      <printOptions horizontalCentered="1" gridLines="1"/>
      <pageSetup scale="65" orientation="landscape" horizontalDpi="300" verticalDpi="300" r:id="rId3"/>
      <headerFooter alignWithMargins="0">
        <oddHeader>&amp;R&amp;"Arial,Bold"&amp;8REVISED
&amp;D</oddHeader>
        <oddFooter>&amp;L&amp;8&amp;F&amp;C&amp;8&amp;A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65" orientation="landscape" horizontalDpi="300" verticalDpi="300" r:id="rId4"/>
  <headerFooter alignWithMargins="0">
    <oddFooter>&amp;L&amp;8&amp;F&amp;C&amp;8&amp;A
page &amp;P&amp;R&amp;8&amp;D
&amp;T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Q63"/>
  <sheetViews>
    <sheetView zoomScale="75" zoomScaleNormal="75" workbookViewId="0">
      <pane xSplit="2" ySplit="7" topLeftCell="C8" activePane="bottomRight" state="frozen"/>
      <selection activeCell="C9" sqref="C9"/>
      <selection pane="topRight" activeCell="C9" sqref="C9"/>
      <selection pane="bottomLeft" activeCell="C9" sqref="C9"/>
      <selection pane="bottomRight" activeCell="E11" sqref="E11:P13"/>
    </sheetView>
  </sheetViews>
  <sheetFormatPr defaultColWidth="9.1796875" defaultRowHeight="13" x14ac:dyDescent="0.3"/>
  <cols>
    <col min="1" max="1" width="4.54296875" style="32" customWidth="1"/>
    <col min="2" max="2" width="32.1796875" style="32" customWidth="1"/>
    <col min="3" max="3" width="12.81640625" style="32" customWidth="1"/>
    <col min="4" max="4" width="11.453125" style="32" customWidth="1"/>
    <col min="5" max="8" width="15" style="32" customWidth="1"/>
    <col min="9" max="16" width="12.54296875" style="32" customWidth="1"/>
    <col min="17" max="17" width="12.453125" style="32" customWidth="1"/>
    <col min="18" max="18" width="13.81640625" style="32" customWidth="1"/>
    <col min="19" max="20" width="9.1796875" style="32"/>
    <col min="21" max="21" width="11.453125" style="32" bestFit="1" customWidth="1"/>
    <col min="22" max="22" width="8.54296875" style="32" bestFit="1" customWidth="1"/>
    <col min="23" max="16384" width="9.1796875" style="32"/>
  </cols>
  <sheetData>
    <row r="1" spans="1:17" x14ac:dyDescent="0.3">
      <c r="A1" s="301" t="str">
        <f>'1. RB-i'!$A$1</f>
        <v>CPS Energy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3"/>
      <c r="O1" s="42"/>
      <c r="P1" s="42"/>
    </row>
    <row r="2" spans="1:17" x14ac:dyDescent="0.3">
      <c r="A2" s="307" t="s">
        <v>1251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98"/>
      <c r="O2" s="35"/>
      <c r="P2" s="35"/>
    </row>
    <row r="3" spans="1:17" x14ac:dyDescent="0.3">
      <c r="A3" s="307" t="str">
        <f>'10f. AG by class'!A3</f>
        <v>Based on FYE 2017 Test Year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98"/>
      <c r="O3" s="35"/>
      <c r="P3" s="35"/>
    </row>
    <row r="4" spans="1:17" s="5" customFormat="1" x14ac:dyDescent="0.3">
      <c r="A4" s="304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305"/>
    </row>
    <row r="5" spans="1:17" s="5" customFormat="1" x14ac:dyDescent="0.3">
      <c r="A5" s="304"/>
      <c r="B5" s="196"/>
      <c r="C5" s="196"/>
      <c r="D5" s="196"/>
      <c r="E5" s="196"/>
      <c r="F5" s="196"/>
      <c r="G5" s="196"/>
      <c r="H5" s="199"/>
      <c r="I5" s="199"/>
      <c r="J5" s="199"/>
      <c r="K5" s="196"/>
      <c r="L5" s="196"/>
      <c r="M5" s="196"/>
      <c r="N5" s="305"/>
      <c r="P5" s="5" t="s">
        <v>832</v>
      </c>
    </row>
    <row r="6" spans="1:17" s="5" customFormat="1" x14ac:dyDescent="0.3">
      <c r="A6" s="304"/>
      <c r="B6" s="196"/>
      <c r="C6" s="196" t="s">
        <v>359</v>
      </c>
      <c r="D6" s="196"/>
      <c r="E6" s="196" t="s">
        <v>355</v>
      </c>
      <c r="F6" s="196" t="s">
        <v>961</v>
      </c>
      <c r="G6" s="196" t="s">
        <v>962</v>
      </c>
      <c r="H6" s="196" t="s">
        <v>963</v>
      </c>
      <c r="I6" s="196" t="s">
        <v>964</v>
      </c>
      <c r="J6" s="196" t="s">
        <v>965</v>
      </c>
      <c r="K6" s="196" t="s">
        <v>966</v>
      </c>
      <c r="L6" s="196" t="s">
        <v>967</v>
      </c>
      <c r="M6" s="196" t="s">
        <v>968</v>
      </c>
      <c r="N6" s="305" t="s">
        <v>932</v>
      </c>
      <c r="P6" s="5" t="s">
        <v>833</v>
      </c>
      <c r="Q6" s="5" t="s">
        <v>824</v>
      </c>
    </row>
    <row r="7" spans="1:17" s="5" customFormat="1" ht="13.5" thickBot="1" x14ac:dyDescent="0.35">
      <c r="A7" s="299"/>
      <c r="B7" s="282"/>
      <c r="C7" s="282"/>
      <c r="D7" s="282"/>
      <c r="E7" s="282" t="s">
        <v>816</v>
      </c>
      <c r="F7" s="282" t="s">
        <v>817</v>
      </c>
      <c r="G7" s="282" t="s">
        <v>818</v>
      </c>
      <c r="H7" s="282" t="s">
        <v>819</v>
      </c>
      <c r="I7" s="282" t="s">
        <v>820</v>
      </c>
      <c r="J7" s="282" t="s">
        <v>821</v>
      </c>
      <c r="K7" s="282" t="s">
        <v>822</v>
      </c>
      <c r="L7" s="282" t="s">
        <v>823</v>
      </c>
      <c r="M7" s="282" t="s">
        <v>908</v>
      </c>
      <c r="N7" s="300" t="s">
        <v>914</v>
      </c>
    </row>
    <row r="8" spans="1:17" x14ac:dyDescent="0.3">
      <c r="A8" s="157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158"/>
      <c r="O8" s="35"/>
      <c r="P8" s="35"/>
    </row>
    <row r="9" spans="1:17" x14ac:dyDescent="0.3">
      <c r="A9" s="157" t="s">
        <v>544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158"/>
    </row>
    <row r="10" spans="1:17" x14ac:dyDescent="0.3">
      <c r="A10" s="157"/>
      <c r="B10" s="35" t="s">
        <v>969</v>
      </c>
      <c r="C10" s="35"/>
      <c r="D10" s="35"/>
      <c r="E10" s="243">
        <f>SUM(F10:N10)</f>
        <v>218613544.25674683</v>
      </c>
      <c r="F10" s="243">
        <f>+'10d-1. Fuel by class'!F10+'10e. OM excl Fuel by class'!F10+'10f. AG by class'!F10+'10d-2. Trans by class'!F10</f>
        <v>87026161.069346905</v>
      </c>
      <c r="G10" s="243">
        <f>+'10d-1. Fuel by class'!G10+'10e. OM excl Fuel by class'!G10+'10f. AG by class'!G10+'10d-2. Trans by class'!G10</f>
        <v>25803177.031226762</v>
      </c>
      <c r="H10" s="243">
        <f>+'10d-1. Fuel by class'!H10+'10e. OM excl Fuel by class'!H10+'10f. AG by class'!H10+'10d-2. Trans by class'!H10</f>
        <v>45700768.502105877</v>
      </c>
      <c r="I10" s="243">
        <f>+'10d-1. Fuel by class'!I10+'10e. OM excl Fuel by class'!I10+'10f. AG by class'!I10+'10d-2. Trans by class'!I10</f>
        <v>26812709.742520832</v>
      </c>
      <c r="J10" s="243">
        <f>+'10d-1. Fuel by class'!J10+'10e. OM excl Fuel by class'!J10+'10f. AG by class'!J10+'10d-2. Trans by class'!J10</f>
        <v>11269341.084733106</v>
      </c>
      <c r="K10" s="243">
        <f>+'10d-1. Fuel by class'!K10+'10e. OM excl Fuel by class'!K10+'10f. AG by class'!K10+'10d-2. Trans by class'!K10</f>
        <v>16695877.563752979</v>
      </c>
      <c r="L10" s="243">
        <f>+'10d-1. Fuel by class'!L10+'10e. OM excl Fuel by class'!L10+'10f. AG by class'!L10+'10d-2. Trans by class'!L10</f>
        <v>4346101.7826221343</v>
      </c>
      <c r="M10" s="243">
        <f>+'10d-1. Fuel by class'!M10+'10e. OM excl Fuel by class'!M10+'10f. AG by class'!M10+'10d-2. Trans by class'!M10</f>
        <v>23364.80031290698</v>
      </c>
      <c r="N10" s="244">
        <f>+'10d-1. Fuel by class'!N10+'10e. OM excl Fuel by class'!N10+'10f. AG by class'!N10+'10d-2. Trans by class'!N10</f>
        <v>936042.68012531137</v>
      </c>
      <c r="P10" s="32">
        <f>SUM(F10:O10)</f>
        <v>218613544.25674683</v>
      </c>
      <c r="Q10" s="32">
        <f>E10-P10</f>
        <v>0</v>
      </c>
    </row>
    <row r="11" spans="1:17" x14ac:dyDescent="0.3">
      <c r="A11" s="157"/>
      <c r="B11" s="35" t="s">
        <v>1140</v>
      </c>
      <c r="C11" s="35"/>
      <c r="D11" s="35"/>
      <c r="E11" s="642"/>
      <c r="F11" s="642"/>
      <c r="G11" s="642"/>
      <c r="H11" s="642"/>
      <c r="I11" s="642"/>
      <c r="J11" s="642"/>
      <c r="K11" s="642"/>
      <c r="L11" s="642"/>
      <c r="M11" s="642"/>
      <c r="N11" s="643"/>
      <c r="O11" s="641"/>
      <c r="P11" s="641"/>
      <c r="Q11" s="32">
        <f t="shared" ref="Q11:Q13" si="0">E11-P11</f>
        <v>0</v>
      </c>
    </row>
    <row r="12" spans="1:17" x14ac:dyDescent="0.3">
      <c r="A12" s="157"/>
      <c r="B12" s="35" t="s">
        <v>1139</v>
      </c>
      <c r="C12" s="35"/>
      <c r="D12" s="35"/>
      <c r="E12" s="642"/>
      <c r="F12" s="642"/>
      <c r="G12" s="642"/>
      <c r="H12" s="642"/>
      <c r="I12" s="642"/>
      <c r="J12" s="642"/>
      <c r="K12" s="642"/>
      <c r="L12" s="642"/>
      <c r="M12" s="642"/>
      <c r="N12" s="643"/>
      <c r="O12" s="641"/>
      <c r="P12" s="641"/>
      <c r="Q12" s="32">
        <f t="shared" si="0"/>
        <v>0</v>
      </c>
    </row>
    <row r="13" spans="1:17" x14ac:dyDescent="0.3">
      <c r="A13" s="157"/>
      <c r="B13" s="35" t="s">
        <v>947</v>
      </c>
      <c r="C13" s="35"/>
      <c r="D13" s="35"/>
      <c r="E13" s="642"/>
      <c r="F13" s="642"/>
      <c r="G13" s="642"/>
      <c r="H13" s="642"/>
      <c r="I13" s="642"/>
      <c r="J13" s="642"/>
      <c r="K13" s="642"/>
      <c r="L13" s="642"/>
      <c r="M13" s="642"/>
      <c r="N13" s="643"/>
      <c r="O13" s="641"/>
      <c r="P13" s="641"/>
      <c r="Q13" s="32">
        <f t="shared" si="0"/>
        <v>0</v>
      </c>
    </row>
    <row r="14" spans="1:17" x14ac:dyDescent="0.3">
      <c r="A14" s="157"/>
      <c r="B14" s="35"/>
      <c r="C14" s="35"/>
      <c r="D14" s="35"/>
      <c r="E14" s="243"/>
      <c r="F14" s="243"/>
      <c r="G14" s="243"/>
      <c r="H14" s="243"/>
      <c r="I14" s="243"/>
      <c r="J14" s="243"/>
      <c r="K14" s="243"/>
      <c r="L14" s="243"/>
      <c r="M14" s="243"/>
      <c r="N14" s="244"/>
    </row>
    <row r="15" spans="1:17" x14ac:dyDescent="0.3">
      <c r="A15" s="157"/>
      <c r="B15" s="35" t="s">
        <v>970</v>
      </c>
      <c r="C15" s="35"/>
      <c r="D15" s="35"/>
      <c r="E15" s="243">
        <f>SUM(F15:N15)</f>
        <v>90980260.817195684</v>
      </c>
      <c r="F15" s="243">
        <f>+'10d-1. Fuel by class'!F15+'10e. OM excl Fuel by class'!F15+'10f. AG by class'!F15+'10d-2. Trans by class'!F15</f>
        <v>30951100.155448392</v>
      </c>
      <c r="G15" s="243">
        <f>+'10d-1. Fuel by class'!G15+'10e. OM excl Fuel by class'!G15+'10f. AG by class'!G15+'10d-2. Trans by class'!G15</f>
        <v>8305412.1446839012</v>
      </c>
      <c r="H15" s="243">
        <f>+'10d-1. Fuel by class'!H15+'10e. OM excl Fuel by class'!H15+'10f. AG by class'!H15+'10d-2. Trans by class'!H15</f>
        <v>20187139.492311485</v>
      </c>
      <c r="I15" s="243">
        <f>+'10d-1. Fuel by class'!I15+'10e. OM excl Fuel by class'!I15+'10f. AG by class'!I15+'10d-2. Trans by class'!I15</f>
        <v>13099506.654349143</v>
      </c>
      <c r="J15" s="243">
        <f>+'10d-1. Fuel by class'!J15+'10e. OM excl Fuel by class'!J15+'10f. AG by class'!J15+'10d-2. Trans by class'!J15</f>
        <v>6318683.3632481042</v>
      </c>
      <c r="K15" s="243">
        <f>+'10d-1. Fuel by class'!K15+'10e. OM excl Fuel by class'!K15+'10f. AG by class'!K15+'10d-2. Trans by class'!K15</f>
        <v>9911389.3529838026</v>
      </c>
      <c r="L15" s="243">
        <f>+'10d-1. Fuel by class'!L15+'10e. OM excl Fuel by class'!L15+'10f. AG by class'!L15+'10d-2. Trans by class'!L15</f>
        <v>1816152.5201710062</v>
      </c>
      <c r="M15" s="243">
        <f>+'10d-1. Fuel by class'!M15+'10e. OM excl Fuel by class'!M15+'10f. AG by class'!M15+'10d-2. Trans by class'!M15</f>
        <v>17805.293030746267</v>
      </c>
      <c r="N15" s="244">
        <f>+'10d-1. Fuel by class'!N15+'10e. OM excl Fuel by class'!N15+'10f. AG by class'!N15+'10d-2. Trans by class'!N15</f>
        <v>373071.84096911224</v>
      </c>
      <c r="P15" s="32">
        <f>SUM(F15:O15)</f>
        <v>90980260.817195684</v>
      </c>
      <c r="Q15" s="32">
        <f>E15-P15</f>
        <v>0</v>
      </c>
    </row>
    <row r="16" spans="1:17" x14ac:dyDescent="0.3">
      <c r="A16" s="157"/>
      <c r="B16" s="35" t="s">
        <v>971</v>
      </c>
      <c r="C16" s="35"/>
      <c r="D16" s="35"/>
      <c r="E16" s="35">
        <f>E10+E15</f>
        <v>309593805.07394254</v>
      </c>
      <c r="F16" s="35">
        <f t="shared" ref="F16:P16" si="1">F10+F15</f>
        <v>117977261.2247953</v>
      </c>
      <c r="G16" s="35">
        <f t="shared" si="1"/>
        <v>34108589.175910667</v>
      </c>
      <c r="H16" s="35">
        <f t="shared" si="1"/>
        <v>65887907.994417362</v>
      </c>
      <c r="I16" s="35">
        <f t="shared" si="1"/>
        <v>39912216.396869972</v>
      </c>
      <c r="J16" s="35">
        <f t="shared" si="1"/>
        <v>17588024.447981209</v>
      </c>
      <c r="K16" s="35">
        <f t="shared" si="1"/>
        <v>26607266.916736782</v>
      </c>
      <c r="L16" s="35">
        <f t="shared" si="1"/>
        <v>6162254.3027931405</v>
      </c>
      <c r="M16" s="35">
        <f t="shared" si="1"/>
        <v>41170.09334365325</v>
      </c>
      <c r="N16" s="158">
        <f t="shared" si="1"/>
        <v>1309114.5210944237</v>
      </c>
      <c r="O16" s="35"/>
      <c r="P16" s="35">
        <f t="shared" si="1"/>
        <v>309593805.07394254</v>
      </c>
      <c r="Q16" s="32">
        <f>E16-P16</f>
        <v>0</v>
      </c>
    </row>
    <row r="17" spans="1:17" x14ac:dyDescent="0.3">
      <c r="A17" s="157"/>
      <c r="B17" s="35" t="s">
        <v>617</v>
      </c>
      <c r="C17" s="35" t="s">
        <v>980</v>
      </c>
      <c r="D17" s="35"/>
      <c r="E17" s="243">
        <f>SUM(F17:N17)</f>
        <v>317042422.25952005</v>
      </c>
      <c r="F17" s="243">
        <f>+'10d-1. Fuel by class'!F17+'10e. OM excl Fuel by class'!F17+'10f. AG by class'!F17+'10d-2. Trans by class'!F17</f>
        <v>107421713.86848</v>
      </c>
      <c r="G17" s="243">
        <f>+'10d-1. Fuel by class'!G17+'10e. OM excl Fuel by class'!G17+'10f. AG by class'!G17+'10d-2. Trans by class'!G17</f>
        <v>28825521.628799997</v>
      </c>
      <c r="H17" s="243">
        <f>+'10d-1. Fuel by class'!H17+'10e. OM excl Fuel by class'!H17+'10f. AG by class'!H17+'10d-2. Trans by class'!H17</f>
        <v>70063329.299280003</v>
      </c>
      <c r="I17" s="243">
        <f>+'10d-1. Fuel by class'!I17+'10e. OM excl Fuel by class'!I17+'10f. AG by class'!I17+'10d-2. Trans by class'!I17</f>
        <v>45497176.394640006</v>
      </c>
      <c r="J17" s="243">
        <f>+'10d-1. Fuel by class'!J17+'10e. OM excl Fuel by class'!J17+'10f. AG by class'!J17+'10d-2. Trans by class'!J17</f>
        <v>22019527.455839999</v>
      </c>
      <c r="K17" s="243">
        <f>+'10d-1. Fuel by class'!K17+'10e. OM excl Fuel by class'!K17+'10f. AG by class'!K17+'10d-2. Trans by class'!K17</f>
        <v>35258916.896640003</v>
      </c>
      <c r="L17" s="243">
        <f>+'10d-1. Fuel by class'!L17+'10e. OM excl Fuel by class'!L17+'10f. AG by class'!L17+'10d-2. Trans by class'!L17</f>
        <v>6599622.8495999994</v>
      </c>
      <c r="M17" s="243">
        <f>+'10d-1. Fuel by class'!M17+'10e. OM excl Fuel by class'!M17+'10f. AG by class'!M17+'10d-2. Trans by class'!M17</f>
        <v>61796.675520000004</v>
      </c>
      <c r="N17" s="244">
        <f>+'10d-1. Fuel by class'!N17+'10e. OM excl Fuel by class'!N17+'10f. AG by class'!N17+'10d-2. Trans by class'!N17</f>
        <v>1294817.1907200001</v>
      </c>
      <c r="P17" s="32">
        <f>SUM(F17:O17)</f>
        <v>317042422.25952005</v>
      </c>
      <c r="Q17" s="32">
        <f>E17-P17</f>
        <v>0</v>
      </c>
    </row>
    <row r="18" spans="1:17" x14ac:dyDescent="0.3">
      <c r="A18" s="157"/>
      <c r="B18" s="35" t="s">
        <v>972</v>
      </c>
      <c r="C18" s="35"/>
      <c r="D18" s="35"/>
      <c r="E18" s="243">
        <f t="shared" ref="E18:N18" si="2">SUM(E16:E17)</f>
        <v>626636227.3334626</v>
      </c>
      <c r="F18" s="243">
        <f t="shared" si="2"/>
        <v>225398975.09327531</v>
      </c>
      <c r="G18" s="243">
        <f t="shared" si="2"/>
        <v>62934110.804710664</v>
      </c>
      <c r="H18" s="243">
        <f t="shared" si="2"/>
        <v>135951237.29369736</v>
      </c>
      <c r="I18" s="243">
        <f t="shared" si="2"/>
        <v>85409392.791509986</v>
      </c>
      <c r="J18" s="243">
        <f t="shared" si="2"/>
        <v>39607551.903821208</v>
      </c>
      <c r="K18" s="243">
        <f t="shared" si="2"/>
        <v>61866183.813376784</v>
      </c>
      <c r="L18" s="243">
        <f t="shared" si="2"/>
        <v>12761877.15239314</v>
      </c>
      <c r="M18" s="243">
        <f t="shared" si="2"/>
        <v>102966.76886365325</v>
      </c>
      <c r="N18" s="244">
        <f t="shared" si="2"/>
        <v>2603931.711814424</v>
      </c>
      <c r="P18" s="32">
        <f>SUM(F18:O18)</f>
        <v>626636227.33346248</v>
      </c>
      <c r="Q18" s="32">
        <f>E18-P18</f>
        <v>0</v>
      </c>
    </row>
    <row r="19" spans="1:17" x14ac:dyDescent="0.3">
      <c r="A19" s="157"/>
      <c r="B19" s="35"/>
      <c r="C19" s="35"/>
      <c r="D19" s="35"/>
      <c r="E19" s="243"/>
      <c r="F19" s="243"/>
      <c r="G19" s="243"/>
      <c r="H19" s="243"/>
      <c r="I19" s="243"/>
      <c r="J19" s="243"/>
      <c r="K19" s="243"/>
      <c r="L19" s="243"/>
      <c r="M19" s="243"/>
      <c r="N19" s="244"/>
    </row>
    <row r="20" spans="1:17" x14ac:dyDescent="0.3">
      <c r="A20" s="157" t="s">
        <v>984</v>
      </c>
      <c r="B20" s="35"/>
      <c r="C20" s="35"/>
      <c r="D20" s="35"/>
      <c r="E20" s="243">
        <f>SUM(F20:N20)</f>
        <v>0</v>
      </c>
      <c r="F20" s="243">
        <f>+'10d-1. Fuel by class'!F20+'10e. OM excl Fuel by class'!F20+'10f. AG by class'!F20+'10d-2. Trans by class'!F20</f>
        <v>0</v>
      </c>
      <c r="G20" s="243">
        <f>+'10d-1. Fuel by class'!G20+'10e. OM excl Fuel by class'!G20+'10f. AG by class'!G20+'10d-2. Trans by class'!G20</f>
        <v>0</v>
      </c>
      <c r="H20" s="243">
        <f>+'10d-1. Fuel by class'!H20+'10e. OM excl Fuel by class'!H20+'10f. AG by class'!H20+'10d-2. Trans by class'!H20</f>
        <v>0</v>
      </c>
      <c r="I20" s="243">
        <f>+'10d-1. Fuel by class'!I20+'10e. OM excl Fuel by class'!I20+'10f. AG by class'!I20+'10d-2. Trans by class'!I20</f>
        <v>0</v>
      </c>
      <c r="J20" s="243">
        <f>+'10d-1. Fuel by class'!J20+'10e. OM excl Fuel by class'!J20+'10f. AG by class'!J20+'10d-2. Trans by class'!J20</f>
        <v>0</v>
      </c>
      <c r="K20" s="243">
        <f>+'10d-1. Fuel by class'!K20+'10e. OM excl Fuel by class'!K20+'10f. AG by class'!K20+'10d-2. Trans by class'!K20</f>
        <v>0</v>
      </c>
      <c r="L20" s="243">
        <f>+'10d-1. Fuel by class'!L20+'10e. OM excl Fuel by class'!L20+'10f. AG by class'!L20+'10d-2. Trans by class'!L20</f>
        <v>0</v>
      </c>
      <c r="M20" s="243">
        <f>+'10d-1. Fuel by class'!M20+'10e. OM excl Fuel by class'!M20+'10f. AG by class'!M20+'10d-2. Trans by class'!M20</f>
        <v>0</v>
      </c>
      <c r="N20" s="244">
        <f>+'10d-1. Fuel by class'!N20+'10e. OM excl Fuel by class'!N20+'10f. AG by class'!N20+'10d-2. Trans by class'!N20</f>
        <v>0</v>
      </c>
      <c r="P20" s="32">
        <f>SUM(F20:O20)</f>
        <v>0</v>
      </c>
      <c r="Q20" s="32">
        <f>E20-P20</f>
        <v>0</v>
      </c>
    </row>
    <row r="21" spans="1:17" x14ac:dyDescent="0.3">
      <c r="A21" s="157"/>
      <c r="B21" s="35"/>
      <c r="C21" s="35"/>
      <c r="D21" s="35"/>
      <c r="E21" s="243"/>
      <c r="F21" s="243"/>
      <c r="G21" s="243"/>
      <c r="H21" s="243"/>
      <c r="I21" s="243"/>
      <c r="J21" s="243"/>
      <c r="K21" s="243"/>
      <c r="L21" s="243"/>
      <c r="M21" s="243"/>
      <c r="N21" s="244"/>
    </row>
    <row r="22" spans="1:17" x14ac:dyDescent="0.3">
      <c r="A22" s="157" t="s">
        <v>366</v>
      </c>
      <c r="B22" s="35"/>
      <c r="C22" s="35"/>
      <c r="D22" s="35"/>
      <c r="E22" s="243">
        <f>SUM(F22:N22)</f>
        <v>60215752.567019679</v>
      </c>
      <c r="F22" s="243">
        <f>+'10d-1. Fuel by class'!F22+'10e. OM excl Fuel by class'!F22+'10f. AG by class'!F22+'10d-2. Trans by class'!F22</f>
        <v>25380620.402390152</v>
      </c>
      <c r="G22" s="243">
        <f>+'10d-1. Fuel by class'!G22+'10e. OM excl Fuel by class'!G22+'10f. AG by class'!G22+'10d-2. Trans by class'!G22</f>
        <v>5760957.4634842165</v>
      </c>
      <c r="H22" s="243">
        <f>+'10d-1. Fuel by class'!H22+'10e. OM excl Fuel by class'!H22+'10f. AG by class'!H22+'10d-2. Trans by class'!H22</f>
        <v>11937679.299332533</v>
      </c>
      <c r="I22" s="243">
        <f>+'10d-1. Fuel by class'!I22+'10e. OM excl Fuel by class'!I22+'10f. AG by class'!I22+'10d-2. Trans by class'!I22</f>
        <v>8014757.3898473149</v>
      </c>
      <c r="J22" s="243">
        <f>+'10d-1. Fuel by class'!J22+'10e. OM excl Fuel by class'!J22+'10f. AG by class'!J22+'10d-2. Trans by class'!J22</f>
        <v>3176962.7345390208</v>
      </c>
      <c r="K22" s="243">
        <f>+'10d-1. Fuel by class'!K22+'10e. OM excl Fuel by class'!K22+'10f. AG by class'!K22+'10d-2. Trans by class'!K22</f>
        <v>4678116.9289494818</v>
      </c>
      <c r="L22" s="243">
        <f>+'10d-1. Fuel by class'!L22+'10e. OM excl Fuel by class'!L22+'10f. AG by class'!L22+'10d-2. Trans by class'!L22</f>
        <v>1260126.717192736</v>
      </c>
      <c r="M22" s="243">
        <f>+'10d-1. Fuel by class'!M22+'10e. OM excl Fuel by class'!M22+'10f. AG by class'!M22+'10d-2. Trans by class'!M22</f>
        <v>6531.631284224788</v>
      </c>
      <c r="N22" s="244">
        <f>+'10d-1. Fuel by class'!N22+'10e. OM excl Fuel by class'!N22+'10f. AG by class'!N22+'10d-2. Trans by class'!N22</f>
        <v>0</v>
      </c>
      <c r="P22" s="32">
        <f>SUM(F22:O22)</f>
        <v>60215752.567019679</v>
      </c>
      <c r="Q22" s="32">
        <f>E22-P22</f>
        <v>0</v>
      </c>
    </row>
    <row r="23" spans="1:17" x14ac:dyDescent="0.3">
      <c r="A23" s="157"/>
      <c r="B23" s="35"/>
      <c r="C23" s="35"/>
      <c r="D23" s="35"/>
      <c r="E23" s="243"/>
      <c r="F23" s="243"/>
      <c r="G23" s="243"/>
      <c r="H23" s="243"/>
      <c r="I23" s="243"/>
      <c r="J23" s="243"/>
      <c r="K23" s="243"/>
      <c r="L23" s="243"/>
      <c r="M23" s="243"/>
      <c r="N23" s="244"/>
    </row>
    <row r="24" spans="1:17" x14ac:dyDescent="0.3">
      <c r="A24" s="157" t="s">
        <v>367</v>
      </c>
      <c r="B24" s="35"/>
      <c r="C24" s="35"/>
      <c r="D24" s="35"/>
      <c r="E24" s="243"/>
      <c r="F24" s="243"/>
      <c r="G24" s="243"/>
      <c r="H24" s="243"/>
      <c r="I24" s="243"/>
      <c r="J24" s="243"/>
      <c r="K24" s="243"/>
      <c r="L24" s="243"/>
      <c r="M24" s="243"/>
      <c r="N24" s="244"/>
    </row>
    <row r="25" spans="1:17" x14ac:dyDescent="0.3">
      <c r="A25" s="157"/>
      <c r="B25" s="35" t="s">
        <v>973</v>
      </c>
      <c r="C25" s="35"/>
      <c r="D25" s="35"/>
      <c r="E25" s="243"/>
      <c r="F25" s="243"/>
      <c r="G25" s="243"/>
      <c r="H25" s="243"/>
      <c r="I25" s="243"/>
      <c r="J25" s="243"/>
      <c r="K25" s="243"/>
      <c r="L25" s="243"/>
      <c r="M25" s="243"/>
      <c r="N25" s="244"/>
    </row>
    <row r="26" spans="1:17" x14ac:dyDescent="0.3">
      <c r="A26" s="157"/>
      <c r="B26" s="159" t="s">
        <v>974</v>
      </c>
      <c r="C26" s="35"/>
      <c r="D26" s="35"/>
      <c r="E26" s="243">
        <f>SUM(F26:N26)</f>
        <v>35587994.271100037</v>
      </c>
      <c r="F26" s="243">
        <f>+'10d-1. Fuel by class'!F26+'10e. OM excl Fuel by class'!F26+'10f. AG by class'!F26+'10d-2. Trans by class'!F26</f>
        <v>14350608.820723049</v>
      </c>
      <c r="G26" s="243">
        <f>+'10d-1. Fuel by class'!G26+'10e. OM excl Fuel by class'!G26+'10f. AG by class'!G26+'10d-2. Trans by class'!G26</f>
        <v>4282120.7877222914</v>
      </c>
      <c r="H26" s="243">
        <f>+'10d-1. Fuel by class'!H26+'10e. OM excl Fuel by class'!H26+'10f. AG by class'!H26+'10d-2. Trans by class'!H26</f>
        <v>7413388.6865314934</v>
      </c>
      <c r="I26" s="243">
        <f>+'10d-1. Fuel by class'!I26+'10e. OM excl Fuel by class'!I26+'10f. AG by class'!I26+'10d-2. Trans by class'!I26</f>
        <v>4310282.1764386306</v>
      </c>
      <c r="J26" s="243">
        <f>+'10d-1. Fuel by class'!J26+'10e. OM excl Fuel by class'!J26+'10f. AG by class'!J26+'10d-2. Trans by class'!J26</f>
        <v>1786254.4859192427</v>
      </c>
      <c r="K26" s="243">
        <f>+'10d-1. Fuel by class'!K26+'10e. OM excl Fuel by class'!K26+'10f. AG by class'!K26+'10d-2. Trans by class'!K26</f>
        <v>2629237.1147509944</v>
      </c>
      <c r="L26" s="243">
        <f>+'10d-1. Fuel by class'!L26+'10e. OM excl Fuel by class'!L26+'10f. AG by class'!L26+'10d-2. Trans by class'!L26</f>
        <v>659450.77920594928</v>
      </c>
      <c r="M26" s="243">
        <f>+'10d-1. Fuel by class'!M26+'10e. OM excl Fuel by class'!M26+'10f. AG by class'!M26+'10d-2. Trans by class'!M26</f>
        <v>3553.8398170141709</v>
      </c>
      <c r="N26" s="244">
        <f>+'10d-1. Fuel by class'!N26+'10e. OM excl Fuel by class'!N26+'10f. AG by class'!N26+'10d-2. Trans by class'!N26</f>
        <v>153097.57999137201</v>
      </c>
      <c r="P26" s="32">
        <f>SUM(F26:O26)</f>
        <v>35587994.271100037</v>
      </c>
      <c r="Q26" s="32">
        <f>E26-P26</f>
        <v>0</v>
      </c>
    </row>
    <row r="27" spans="1:17" x14ac:dyDescent="0.3">
      <c r="A27" s="157"/>
      <c r="B27" s="159" t="s">
        <v>975</v>
      </c>
      <c r="C27" s="35"/>
      <c r="D27" s="35"/>
      <c r="E27" s="243">
        <f>SUM(F27:N27)</f>
        <v>43903474.412209116</v>
      </c>
      <c r="F27" s="243">
        <f>+'10d-1. Fuel by class'!F27+'10e. OM excl Fuel by class'!F27+'10f. AG by class'!F27+'10d-2. Trans by class'!F27</f>
        <v>18012854.562613849</v>
      </c>
      <c r="G27" s="243">
        <f>+'10d-1. Fuel by class'!G27+'10e. OM excl Fuel by class'!G27+'10f. AG by class'!G27+'10d-2. Trans by class'!G27</f>
        <v>5374909.1716166465</v>
      </c>
      <c r="H27" s="243">
        <f>+'10d-1. Fuel by class'!H27+'10e. OM excl Fuel by class'!H27+'10f. AG by class'!H27+'10d-2. Trans by class'!H27</f>
        <v>9305270.1731918938</v>
      </c>
      <c r="I27" s="243">
        <f>+'10d-1. Fuel by class'!I27+'10e. OM excl Fuel by class'!I27+'10f. AG by class'!I27+'10d-2. Trans by class'!I27</f>
        <v>5410257.2885896452</v>
      </c>
      <c r="J27" s="243">
        <f>+'10d-1. Fuel by class'!J27+'10e. OM excl Fuel by class'!J27+'10f. AG by class'!J27+'10d-2. Trans by class'!J27</f>
        <v>2242102.9427139475</v>
      </c>
      <c r="K27" s="243">
        <f>+'10d-1. Fuel by class'!K27+'10e. OM excl Fuel by class'!K27+'10f. AG by class'!K27+'10d-2. Trans by class'!K27</f>
        <v>3300212.9979493022</v>
      </c>
      <c r="L27" s="243">
        <f>+'10d-1. Fuel by class'!L27+'10e. OM excl Fuel by class'!L27+'10f. AG by class'!L27+'10d-2. Trans by class'!L27</f>
        <v>61238.736822593659</v>
      </c>
      <c r="M27" s="243">
        <f>+'10d-1. Fuel by class'!M27+'10e. OM excl Fuel by class'!M27+'10f. AG by class'!M27+'10d-2. Trans by class'!M27</f>
        <v>4460.7724008379118</v>
      </c>
      <c r="N27" s="244">
        <f>+'10d-1. Fuel by class'!N27+'10e. OM excl Fuel by class'!N27+'10f. AG by class'!N27+'10d-2. Trans by class'!N27</f>
        <v>192167.76631040365</v>
      </c>
      <c r="P27" s="32">
        <f>SUM(F27:O27)</f>
        <v>43903474.412209116</v>
      </c>
      <c r="Q27" s="32">
        <f>E27-P27</f>
        <v>0</v>
      </c>
    </row>
    <row r="28" spans="1:17" x14ac:dyDescent="0.3">
      <c r="A28" s="157"/>
      <c r="B28" s="159" t="s">
        <v>976</v>
      </c>
      <c r="C28" s="35"/>
      <c r="D28" s="35"/>
      <c r="E28" s="243">
        <f>SUM(F28:N28)</f>
        <v>12079646.767523915</v>
      </c>
      <c r="F28" s="243">
        <f>+'10d-1. Fuel by class'!F28+'10e. OM excl Fuel by class'!F28+'10f. AG by class'!F28+'10d-2. Trans by class'!F28</f>
        <v>6136845.4559102068</v>
      </c>
      <c r="G28" s="243">
        <f>+'10d-1. Fuel by class'!G28+'10e. OM excl Fuel by class'!G28+'10f. AG by class'!G28+'10d-2. Trans by class'!G28</f>
        <v>2256611.8381515467</v>
      </c>
      <c r="H28" s="243">
        <f>+'10d-1. Fuel by class'!H28+'10e. OM excl Fuel by class'!H28+'10f. AG by class'!H28+'10d-2. Trans by class'!H28</f>
        <v>2091071.323877438</v>
      </c>
      <c r="I28" s="243">
        <f>+'10d-1. Fuel by class'!I28+'10e. OM excl Fuel by class'!I28+'10f. AG by class'!I28+'10d-2. Trans by class'!I28</f>
        <v>1075184.4692978656</v>
      </c>
      <c r="J28" s="243">
        <f>+'10d-1. Fuel by class'!J28+'10e. OM excl Fuel by class'!J28+'10f. AG by class'!J28+'10d-2. Trans by class'!J28</f>
        <v>365522.1266041472</v>
      </c>
      <c r="K28" s="243">
        <f>+'10d-1. Fuel by class'!K28+'10e. OM excl Fuel by class'!K28+'10f. AG by class'!K28+'10d-2. Trans by class'!K28</f>
        <v>122049.29311659379</v>
      </c>
      <c r="L28" s="243">
        <f>+'10d-1. Fuel by class'!L28+'10e. OM excl Fuel by class'!L28+'10f. AG by class'!L28+'10d-2. Trans by class'!L28</f>
        <v>0</v>
      </c>
      <c r="M28" s="243">
        <f>+'10d-1. Fuel by class'!M28+'10e. OM excl Fuel by class'!M28+'10f. AG by class'!M28+'10d-2. Trans by class'!M28</f>
        <v>734.17968575789564</v>
      </c>
      <c r="N28" s="244">
        <f>+'10d-1. Fuel by class'!N28+'10e. OM excl Fuel by class'!N28+'10f. AG by class'!N28+'10d-2. Trans by class'!N28</f>
        <v>31628.080880357706</v>
      </c>
      <c r="P28" s="32">
        <f>SUM(F28:O28)</f>
        <v>12079646.767523915</v>
      </c>
      <c r="Q28" s="32">
        <f>E28-P28</f>
        <v>0</v>
      </c>
    </row>
    <row r="29" spans="1:17" x14ac:dyDescent="0.3">
      <c r="A29" s="157"/>
      <c r="B29" s="159" t="s">
        <v>931</v>
      </c>
      <c r="C29" s="35"/>
      <c r="D29" s="35"/>
      <c r="E29" s="580">
        <f>SUM(F29:N29)</f>
        <v>2035082.6040734979</v>
      </c>
      <c r="F29" s="580">
        <f>+'10d-1. Fuel by class'!F29+'10e. OM excl Fuel by class'!F29+'10f. AG by class'!F29+'10d-2. Trans by class'!F29</f>
        <v>985628.40061557805</v>
      </c>
      <c r="G29" s="580">
        <f>+'10d-1. Fuel by class'!G29+'10e. OM excl Fuel by class'!G29+'10f. AG by class'!G29+'10d-2. Trans by class'!G29</f>
        <v>340174.5842766483</v>
      </c>
      <c r="H29" s="580">
        <f>+'10d-1. Fuel by class'!H29+'10e. OM excl Fuel by class'!H29+'10f. AG by class'!H29+'10d-2. Trans by class'!H29</f>
        <v>392300.39806868904</v>
      </c>
      <c r="I29" s="580">
        <f>+'10d-1. Fuel by class'!I29+'10e. OM excl Fuel by class'!I29+'10f. AG by class'!I29+'10d-2. Trans by class'!I29</f>
        <v>210423.51993142453</v>
      </c>
      <c r="J29" s="580">
        <f>+'10d-1. Fuel by class'!J29+'10e. OM excl Fuel by class'!J29+'10f. AG by class'!J29+'10d-2. Trans by class'!J29</f>
        <v>74360.689521200809</v>
      </c>
      <c r="K29" s="580">
        <f>+'10d-1. Fuel by class'!K29+'10e. OM excl Fuel by class'!K29+'10f. AG by class'!K29+'10d-2. Trans by class'!K29</f>
        <v>25185.805427784198</v>
      </c>
      <c r="L29" s="580">
        <f>+'10d-1. Fuel by class'!L29+'10e. OM excl Fuel by class'!L29+'10f. AG by class'!L29+'10d-2. Trans by class'!L29</f>
        <v>0</v>
      </c>
      <c r="M29" s="580">
        <f>+'10d-1. Fuel by class'!M29+'10e. OM excl Fuel by class'!M29+'10f. AG by class'!M29+'10d-2. Trans by class'!M29</f>
        <v>159.01289770645195</v>
      </c>
      <c r="N29" s="600">
        <f>+'10d-1. Fuel by class'!N29+'10e. OM excl Fuel by class'!N29+'10f. AG by class'!N29+'10d-2. Trans by class'!N29</f>
        <v>6850.1933344668578</v>
      </c>
      <c r="P29" s="32">
        <f>SUM(F29:O29)</f>
        <v>2035082.6040734979</v>
      </c>
      <c r="Q29" s="32">
        <f>E29-P29</f>
        <v>0</v>
      </c>
    </row>
    <row r="30" spans="1:17" x14ac:dyDescent="0.3">
      <c r="A30" s="157"/>
      <c r="B30" s="35" t="s">
        <v>977</v>
      </c>
      <c r="C30" s="35"/>
      <c r="D30" s="35"/>
      <c r="E30" s="243">
        <f t="shared" ref="E30:N30" si="3">SUM(E26:E29)</f>
        <v>93606198.054906562</v>
      </c>
      <c r="F30" s="243">
        <f t="shared" si="3"/>
        <v>39485937.239862688</v>
      </c>
      <c r="G30" s="243">
        <f t="shared" si="3"/>
        <v>12253816.381767131</v>
      </c>
      <c r="H30" s="243">
        <f t="shared" si="3"/>
        <v>19202030.581669513</v>
      </c>
      <c r="I30" s="243">
        <f t="shared" si="3"/>
        <v>11006147.454257565</v>
      </c>
      <c r="J30" s="243">
        <f t="shared" si="3"/>
        <v>4468240.244758538</v>
      </c>
      <c r="K30" s="243">
        <f t="shared" si="3"/>
        <v>6076685.2112446744</v>
      </c>
      <c r="L30" s="243">
        <f t="shared" si="3"/>
        <v>720689.51602854289</v>
      </c>
      <c r="M30" s="243">
        <f t="shared" si="3"/>
        <v>8907.8048013164298</v>
      </c>
      <c r="N30" s="244">
        <f t="shared" si="3"/>
        <v>383743.6205166002</v>
      </c>
      <c r="P30" s="32">
        <f>SUM(F30:O30)</f>
        <v>93606198.054906547</v>
      </c>
      <c r="Q30" s="32">
        <f>E30-P30</f>
        <v>0</v>
      </c>
    </row>
    <row r="31" spans="1:17" x14ac:dyDescent="0.3">
      <c r="A31" s="157"/>
      <c r="B31" s="35"/>
      <c r="C31" s="35"/>
      <c r="D31" s="35"/>
      <c r="E31" s="243"/>
      <c r="F31" s="243"/>
      <c r="G31" s="243"/>
      <c r="H31" s="243"/>
      <c r="I31" s="243"/>
      <c r="J31" s="243"/>
      <c r="K31" s="243"/>
      <c r="L31" s="243"/>
      <c r="M31" s="243"/>
      <c r="N31" s="244"/>
    </row>
    <row r="32" spans="1:17" x14ac:dyDescent="0.3">
      <c r="A32" s="157"/>
      <c r="B32" s="35" t="s">
        <v>978</v>
      </c>
      <c r="C32" s="35"/>
      <c r="D32" s="35"/>
      <c r="E32" s="243"/>
      <c r="F32" s="243"/>
      <c r="G32" s="243"/>
      <c r="H32" s="243"/>
      <c r="I32" s="243"/>
      <c r="J32" s="243"/>
      <c r="K32" s="243"/>
      <c r="L32" s="243"/>
      <c r="M32" s="243"/>
      <c r="N32" s="244"/>
    </row>
    <row r="33" spans="1:17" x14ac:dyDescent="0.3">
      <c r="A33" s="157"/>
      <c r="B33" s="159" t="s">
        <v>975</v>
      </c>
      <c r="C33" s="35"/>
      <c r="D33" s="35"/>
      <c r="E33" s="243">
        <f t="shared" ref="E33:E38" si="4">SUM(F33:N33)</f>
        <v>31109703.329897549</v>
      </c>
      <c r="F33" s="243">
        <f>+'10d-1. Fuel by class'!F33+'10e. OM excl Fuel by class'!F33+'10f. AG by class'!F33+'10d-2. Trans by class'!F33</f>
        <v>22312179.58424101</v>
      </c>
      <c r="G33" s="243">
        <f>+'10d-1. Fuel by class'!G33+'10e. OM excl Fuel by class'!G33+'10f. AG by class'!G33+'10d-2. Trans by class'!G33</f>
        <v>5487300.7977166958</v>
      </c>
      <c r="H33" s="243">
        <f>+'10d-1. Fuel by class'!H33+'10e. OM excl Fuel by class'!H33+'10f. AG by class'!H33+'10d-2. Trans by class'!H33</f>
        <v>2923948.3170810034</v>
      </c>
      <c r="I33" s="243">
        <f>+'10d-1. Fuel by class'!I33+'10e. OM excl Fuel by class'!I33+'10f. AG by class'!I33+'10d-2. Trans by class'!I33</f>
        <v>79573.042263202253</v>
      </c>
      <c r="J33" s="243">
        <f>+'10d-1. Fuel by class'!J33+'10e. OM excl Fuel by class'!J33+'10f. AG by class'!J33+'10d-2. Trans by class'!J33</f>
        <v>7024.5942164670942</v>
      </c>
      <c r="K33" s="243">
        <f>+'10d-1. Fuel by class'!K33+'10e. OM excl Fuel by class'!K33+'10f. AG by class'!K33+'10d-2. Trans by class'!K33</f>
        <v>1521.9954135678704</v>
      </c>
      <c r="L33" s="243">
        <f>+'10d-1. Fuel by class'!L33+'10e. OM excl Fuel by class'!L33+'10f. AG by class'!L33+'10d-2. Trans by class'!L33</f>
        <v>78.051046849634389</v>
      </c>
      <c r="M33" s="243">
        <f>+'10d-1. Fuel by class'!M33+'10e. OM excl Fuel by class'!M33+'10f. AG by class'!M33+'10d-2. Trans by class'!M33</f>
        <v>70675.222922343935</v>
      </c>
      <c r="N33" s="244">
        <f>+'10d-1. Fuel by class'!N33+'10e. OM excl Fuel by class'!N33+'10f. AG by class'!N33+'10d-2. Trans by class'!N33</f>
        <v>227401.72499640979</v>
      </c>
      <c r="P33" s="32">
        <f t="shared" ref="P33:P39" si="5">SUM(F33:O33)</f>
        <v>31109703.329897549</v>
      </c>
      <c r="Q33" s="32">
        <f t="shared" ref="Q33:Q39" si="6">E33-P33</f>
        <v>0</v>
      </c>
    </row>
    <row r="34" spans="1:17" x14ac:dyDescent="0.3">
      <c r="A34" s="157"/>
      <c r="B34" s="159" t="s">
        <v>976</v>
      </c>
      <c r="C34" s="35"/>
      <c r="D34" s="35"/>
      <c r="E34" s="243">
        <f t="shared" si="4"/>
        <v>8273389.6059218775</v>
      </c>
      <c r="F34" s="243">
        <f>+'10d-1. Fuel by class'!F34+'10e. OM excl Fuel by class'!F34+'10f. AG by class'!F34+'10d-2. Trans by class'!F34</f>
        <v>5934402.5658312794</v>
      </c>
      <c r="G34" s="243">
        <f>+'10d-1. Fuel by class'!G34+'10e. OM excl Fuel by class'!G34+'10f. AG by class'!G34+'10d-2. Trans by class'!G34</f>
        <v>1459465.3028186313</v>
      </c>
      <c r="H34" s="243">
        <f>+'10d-1. Fuel by class'!H34+'10e. OM excl Fuel by class'!H34+'10f. AG by class'!H34+'10d-2. Trans by class'!H34</f>
        <v>777686.74860877846</v>
      </c>
      <c r="I34" s="243">
        <f>+'10d-1. Fuel by class'!I34+'10e. OM excl Fuel by class'!I34+'10f. AG by class'!I34+'10d-2. Trans by class'!I34</f>
        <v>20748.969762278415</v>
      </c>
      <c r="J34" s="243">
        <f>+'10d-1. Fuel by class'!J34+'10e. OM excl Fuel by class'!J34+'10f. AG by class'!J34+'10d-2. Trans by class'!J34</f>
        <v>1691.8869791152488</v>
      </c>
      <c r="K34" s="243">
        <f>+'10d-1. Fuel by class'!K34+'10e. OM excl Fuel by class'!K34+'10f. AG by class'!K34+'10d-2. Trans by class'!K34</f>
        <v>114.17642190348303</v>
      </c>
      <c r="L34" s="243">
        <f>+'10d-1. Fuel by class'!L34+'10e. OM excl Fuel by class'!L34+'10f. AG by class'!L34+'10d-2. Trans by class'!L34</f>
        <v>0</v>
      </c>
      <c r="M34" s="243">
        <f>+'10d-1. Fuel by class'!M34+'10e. OM excl Fuel by class'!M34+'10f. AG by class'!M34+'10d-2. Trans by class'!M34</f>
        <v>18797.590915200708</v>
      </c>
      <c r="N34" s="244">
        <f>+'10d-1. Fuel by class'!N34+'10e. OM excl Fuel by class'!N34+'10f. AG by class'!N34+'10d-2. Trans by class'!N34</f>
        <v>60482.364584690513</v>
      </c>
      <c r="P34" s="32">
        <f t="shared" si="5"/>
        <v>8273389.6059218775</v>
      </c>
      <c r="Q34" s="32">
        <f t="shared" si="6"/>
        <v>0</v>
      </c>
    </row>
    <row r="35" spans="1:17" x14ac:dyDescent="0.3">
      <c r="A35" s="157"/>
      <c r="B35" s="159" t="s">
        <v>931</v>
      </c>
      <c r="C35" s="35"/>
      <c r="D35" s="35"/>
      <c r="E35" s="243">
        <f t="shared" si="4"/>
        <v>2224646.5519959987</v>
      </c>
      <c r="F35" s="243">
        <f>+'10d-1. Fuel by class'!F35+'10e. OM excl Fuel by class'!F35+'10f. AG by class'!F35+'10d-2. Trans by class'!F35</f>
        <v>1595712.1367502324</v>
      </c>
      <c r="G35" s="243">
        <f>+'10d-1. Fuel by class'!G35+'10e. OM excl Fuel by class'!G35+'10f. AG by class'!G35+'10d-2. Trans by class'!G35</f>
        <v>392438.23974508495</v>
      </c>
      <c r="H35" s="243">
        <f>+'10d-1. Fuel by class'!H35+'10e. OM excl Fuel by class'!H35+'10f. AG by class'!H35+'10d-2. Trans by class'!H35</f>
        <v>209113.58297295135</v>
      </c>
      <c r="I35" s="243">
        <f>+'10d-1. Fuel by class'!I35+'10e. OM excl Fuel by class'!I35+'10f. AG by class'!I35+'10d-2. Trans by class'!I35</f>
        <v>5579.2276488565712</v>
      </c>
      <c r="J35" s="243">
        <f>+'10d-1. Fuel by class'!J35+'10e. OM excl Fuel by class'!J35+'10f. AG by class'!J35+'10d-2. Trans by class'!J35</f>
        <v>454.9345206421317</v>
      </c>
      <c r="K35" s="243">
        <f>+'10d-1. Fuel by class'!K35+'10e. OM excl Fuel by class'!K35+'10f. AG by class'!K35+'10d-2. Trans by class'!K35</f>
        <v>30.701102620021157</v>
      </c>
      <c r="L35" s="243">
        <f>+'10d-1. Fuel by class'!L35+'10e. OM excl Fuel by class'!L35+'10f. AG by class'!L35+'10d-2. Trans by class'!L35</f>
        <v>0</v>
      </c>
      <c r="M35" s="243">
        <f>+'10d-1. Fuel by class'!M35+'10e. OM excl Fuel by class'!M35+'10f. AG by class'!M35+'10d-2. Trans by class'!M35</f>
        <v>5054.5178949871188</v>
      </c>
      <c r="N35" s="244">
        <f>+'10d-1. Fuel by class'!N35+'10e. OM excl Fuel by class'!N35+'10f. AG by class'!N35+'10d-2. Trans by class'!N35</f>
        <v>16263.211360623933</v>
      </c>
      <c r="P35" s="32">
        <f t="shared" si="5"/>
        <v>2224646.5519959987</v>
      </c>
      <c r="Q35" s="32">
        <f t="shared" si="6"/>
        <v>0</v>
      </c>
    </row>
    <row r="36" spans="1:17" x14ac:dyDescent="0.3">
      <c r="A36" s="157"/>
      <c r="B36" s="159" t="s">
        <v>456</v>
      </c>
      <c r="C36" s="35"/>
      <c r="D36" s="35"/>
      <c r="E36" s="243">
        <f t="shared" si="4"/>
        <v>77186.851341631816</v>
      </c>
      <c r="F36" s="243">
        <f>+'10d-1. Fuel by class'!F36+'10e. OM excl Fuel by class'!F36+'10f. AG by class'!F36+'10d-2. Trans by class'!F36</f>
        <v>42137.086848038838</v>
      </c>
      <c r="G36" s="243">
        <f>+'10d-1. Fuel by class'!G36+'10e. OM excl Fuel by class'!G36+'10f. AG by class'!G36+'10d-2. Trans by class'!G36</f>
        <v>10362.89930357185</v>
      </c>
      <c r="H36" s="243">
        <f>+'10d-1. Fuel by class'!H36+'10e. OM excl Fuel by class'!H36+'10f. AG by class'!H36+'10d-2. Trans by class'!H36</f>
        <v>16565.839797610748</v>
      </c>
      <c r="I36" s="243">
        <f>+'10d-1. Fuel by class'!I36+'10e. OM excl Fuel by class'!I36+'10f. AG by class'!I36+'10d-2. Trans by class'!I36</f>
        <v>7366.3787650205286</v>
      </c>
      <c r="J36" s="243">
        <f>+'10d-1. Fuel by class'!J36+'10e. OM excl Fuel by class'!J36+'10f. AG by class'!J36+'10d-2. Trans by class'!J36</f>
        <v>600.66019944889752</v>
      </c>
      <c r="K36" s="243">
        <f>+'10d-1. Fuel by class'!K36+'10e. OM excl Fuel by class'!K36+'10f. AG by class'!K36+'10d-2. Trans by class'!K36</f>
        <v>40.535350883054434</v>
      </c>
      <c r="L36" s="243">
        <f>+'10d-1. Fuel by class'!L36+'10e. OM excl Fuel by class'!L36+'10f. AG by class'!L36+'10d-2. Trans by class'!L36</f>
        <v>0</v>
      </c>
      <c r="M36" s="243">
        <f>+'10d-1. Fuel by class'!M36+'10e. OM excl Fuel by class'!M36+'10f. AG by class'!M36+'10d-2. Trans by class'!M36</f>
        <v>113.45107705787244</v>
      </c>
      <c r="N36" s="244">
        <f>+'10d-1. Fuel by class'!N36+'10e. OM excl Fuel by class'!N36+'10f. AG by class'!N36+'10d-2. Trans by class'!N36</f>
        <v>0</v>
      </c>
      <c r="P36" s="32">
        <f t="shared" si="5"/>
        <v>77186.851341631816</v>
      </c>
      <c r="Q36" s="32">
        <f t="shared" si="6"/>
        <v>0</v>
      </c>
    </row>
    <row r="37" spans="1:17" x14ac:dyDescent="0.3">
      <c r="A37" s="157"/>
      <c r="B37" s="159" t="s">
        <v>932</v>
      </c>
      <c r="C37" s="35"/>
      <c r="D37" s="35"/>
      <c r="E37" s="243">
        <f t="shared" si="4"/>
        <v>6702932.1810656358</v>
      </c>
      <c r="F37" s="243">
        <f>+'10d-1. Fuel by class'!F37+'10e. OM excl Fuel by class'!F37+'10f. AG by class'!F37+'10d-2. Trans by class'!F37</f>
        <v>0</v>
      </c>
      <c r="G37" s="243">
        <f>+'10d-1. Fuel by class'!G37+'10e. OM excl Fuel by class'!G37+'10f. AG by class'!G37+'10d-2. Trans by class'!G37</f>
        <v>0</v>
      </c>
      <c r="H37" s="243">
        <f>+'10d-1. Fuel by class'!H37+'10e. OM excl Fuel by class'!H37+'10f. AG by class'!H37+'10d-2. Trans by class'!H37</f>
        <v>0</v>
      </c>
      <c r="I37" s="243">
        <f>+'10d-1. Fuel by class'!I37+'10e. OM excl Fuel by class'!I37+'10f. AG by class'!I37+'10d-2. Trans by class'!I37</f>
        <v>0</v>
      </c>
      <c r="J37" s="243">
        <f>+'10d-1. Fuel by class'!J37+'10e. OM excl Fuel by class'!J37+'10f. AG by class'!J37+'10d-2. Trans by class'!J37</f>
        <v>0</v>
      </c>
      <c r="K37" s="243">
        <f>+'10d-1. Fuel by class'!K37+'10e. OM excl Fuel by class'!K37+'10f. AG by class'!K37+'10d-2. Trans by class'!K37</f>
        <v>0</v>
      </c>
      <c r="L37" s="243">
        <f>+'10d-1. Fuel by class'!L37+'10e. OM excl Fuel by class'!L37+'10f. AG by class'!L37+'10d-2. Trans by class'!L37</f>
        <v>0</v>
      </c>
      <c r="M37" s="243">
        <f>+'10d-1. Fuel by class'!M37+'10e. OM excl Fuel by class'!M37+'10f. AG by class'!M37+'10d-2. Trans by class'!M37</f>
        <v>0</v>
      </c>
      <c r="N37" s="244">
        <f>+'10d-1. Fuel by class'!N37+'10e. OM excl Fuel by class'!N37+'10f. AG by class'!N37+'10d-2. Trans by class'!N37</f>
        <v>6702932.1810656358</v>
      </c>
      <c r="P37" s="32">
        <f t="shared" si="5"/>
        <v>6702932.1810656358</v>
      </c>
      <c r="Q37" s="32">
        <f t="shared" si="6"/>
        <v>0</v>
      </c>
    </row>
    <row r="38" spans="1:17" x14ac:dyDescent="0.3">
      <c r="A38" s="157"/>
      <c r="B38" s="159" t="s">
        <v>1013</v>
      </c>
      <c r="C38" s="35"/>
      <c r="D38" s="35"/>
      <c r="E38" s="580">
        <f t="shared" si="4"/>
        <v>1623956.7394606851</v>
      </c>
      <c r="F38" s="580">
        <f>+'10d-1. Fuel by class'!F38+'10e. OM excl Fuel by class'!F38+'10f. AG by class'!F38+'10d-2. Trans by class'!F38</f>
        <v>566198.24504144385</v>
      </c>
      <c r="G38" s="580">
        <f>+'10d-1. Fuel by class'!G38+'10e. OM excl Fuel by class'!G38+'10f. AG by class'!G38+'10d-2. Trans by class'!G38</f>
        <v>151933.52601516899</v>
      </c>
      <c r="H38" s="580">
        <f>+'10d-1. Fuel by class'!H38+'10e. OM excl Fuel by class'!H38+'10f. AG by class'!H38+'10d-2. Trans by class'!H38</f>
        <v>369289.71492283297</v>
      </c>
      <c r="I38" s="580">
        <f>+'10d-1. Fuel by class'!I38+'10e. OM excl Fuel by class'!I38+'10f. AG by class'!I38+'10d-2. Trans by class'!I38</f>
        <v>239633.41016476223</v>
      </c>
      <c r="J38" s="580">
        <f>+'10d-1. Fuel by class'!J38+'10e. OM excl Fuel by class'!J38+'10f. AG by class'!J38+'10d-2. Trans by class'!J38</f>
        <v>115589.66929367345</v>
      </c>
      <c r="K38" s="580">
        <f>+'10d-1. Fuel by class'!K38+'10e. OM excl Fuel by class'!K38+'10f. AG by class'!K38+'10d-2. Trans by class'!K38</f>
        <v>181312.17402280355</v>
      </c>
      <c r="L38" s="580">
        <f>+'10d-1. Fuel by class'!L38+'10e. OM excl Fuel by class'!L38+'10f. AG by class'!L38+'10d-2. Trans by class'!L38</f>
        <v>0</v>
      </c>
      <c r="M38" s="580">
        <f>+'10d-1. Fuel by class'!M38+'10e. OM excl Fuel by class'!M38+'10f. AG by class'!M38+'10d-2. Trans by class'!M38</f>
        <v>0</v>
      </c>
      <c r="N38" s="600">
        <f>+'10d-1. Fuel by class'!N38+'10e. OM excl Fuel by class'!N38+'10f. AG by class'!N38+'10d-2. Trans by class'!N38</f>
        <v>0</v>
      </c>
      <c r="P38" s="32">
        <f t="shared" si="5"/>
        <v>1623956.7394606851</v>
      </c>
      <c r="Q38" s="32">
        <f t="shared" si="6"/>
        <v>0</v>
      </c>
    </row>
    <row r="39" spans="1:17" x14ac:dyDescent="0.3">
      <c r="A39" s="157"/>
      <c r="B39" s="35" t="s">
        <v>979</v>
      </c>
      <c r="C39" s="35"/>
      <c r="D39" s="35"/>
      <c r="E39" s="243">
        <f t="shared" ref="E39:N39" si="7">SUM(E33:E38)</f>
        <v>50011815.259683378</v>
      </c>
      <c r="F39" s="243">
        <f t="shared" si="7"/>
        <v>30450629.618712008</v>
      </c>
      <c r="G39" s="243">
        <f t="shared" si="7"/>
        <v>7501500.7655991539</v>
      </c>
      <c r="H39" s="243">
        <f t="shared" si="7"/>
        <v>4296604.2033831766</v>
      </c>
      <c r="I39" s="243">
        <f t="shared" si="7"/>
        <v>352901.02860412002</v>
      </c>
      <c r="J39" s="243">
        <f t="shared" si="7"/>
        <v>125361.74520934682</v>
      </c>
      <c r="K39" s="243">
        <f t="shared" si="7"/>
        <v>183019.58231177798</v>
      </c>
      <c r="L39" s="243">
        <f t="shared" si="7"/>
        <v>78.051046849634389</v>
      </c>
      <c r="M39" s="243">
        <f t="shared" si="7"/>
        <v>94640.78280958964</v>
      </c>
      <c r="N39" s="244">
        <f t="shared" si="7"/>
        <v>7007079.4820073601</v>
      </c>
      <c r="P39" s="32">
        <f t="shared" si="5"/>
        <v>50011815.259683385</v>
      </c>
      <c r="Q39" s="32">
        <f t="shared" si="6"/>
        <v>0</v>
      </c>
    </row>
    <row r="40" spans="1:17" x14ac:dyDescent="0.3">
      <c r="A40" s="157"/>
      <c r="B40" s="35"/>
      <c r="C40" s="35"/>
      <c r="D40" s="35"/>
      <c r="E40" s="243"/>
      <c r="F40" s="243"/>
      <c r="G40" s="243"/>
      <c r="H40" s="243"/>
      <c r="I40" s="243"/>
      <c r="J40" s="243"/>
      <c r="K40" s="243"/>
      <c r="L40" s="243"/>
      <c r="M40" s="243"/>
      <c r="N40" s="244"/>
    </row>
    <row r="41" spans="1:17" x14ac:dyDescent="0.3">
      <c r="A41" s="157"/>
      <c r="B41" s="35" t="s">
        <v>543</v>
      </c>
      <c r="C41" s="35"/>
      <c r="D41" s="35"/>
      <c r="E41" s="243">
        <f t="shared" ref="E41:N41" si="8">SUM(E30,E39)</f>
        <v>143618013.31458995</v>
      </c>
      <c r="F41" s="243">
        <f t="shared" si="8"/>
        <v>69936566.858574688</v>
      </c>
      <c r="G41" s="243">
        <f t="shared" si="8"/>
        <v>19755317.147366285</v>
      </c>
      <c r="H41" s="243">
        <f t="shared" si="8"/>
        <v>23498634.785052691</v>
      </c>
      <c r="I41" s="243">
        <f t="shared" si="8"/>
        <v>11359048.482861685</v>
      </c>
      <c r="J41" s="243">
        <f t="shared" si="8"/>
        <v>4593601.9899678845</v>
      </c>
      <c r="K41" s="243">
        <f t="shared" si="8"/>
        <v>6259704.7935564527</v>
      </c>
      <c r="L41" s="243">
        <f t="shared" si="8"/>
        <v>720767.56707539246</v>
      </c>
      <c r="M41" s="243">
        <f t="shared" si="8"/>
        <v>103548.58761090608</v>
      </c>
      <c r="N41" s="244">
        <f t="shared" si="8"/>
        <v>7390823.1025239602</v>
      </c>
      <c r="P41" s="32">
        <f>SUM(F41:O41)</f>
        <v>143618013.31458995</v>
      </c>
      <c r="Q41" s="32">
        <f>E41-P41</f>
        <v>0</v>
      </c>
    </row>
    <row r="42" spans="1:17" x14ac:dyDescent="0.3">
      <c r="A42" s="157"/>
      <c r="B42" s="35"/>
      <c r="C42" s="35"/>
      <c r="D42" s="35"/>
      <c r="E42" s="243"/>
      <c r="F42" s="243"/>
      <c r="G42" s="243"/>
      <c r="H42" s="243"/>
      <c r="I42" s="243"/>
      <c r="J42" s="243"/>
      <c r="K42" s="243"/>
      <c r="L42" s="243"/>
      <c r="M42" s="243"/>
      <c r="N42" s="244"/>
    </row>
    <row r="43" spans="1:17" x14ac:dyDescent="0.3">
      <c r="A43" s="157" t="s">
        <v>907</v>
      </c>
      <c r="B43" s="35"/>
      <c r="C43" s="35"/>
      <c r="D43" s="35"/>
      <c r="E43" s="243"/>
      <c r="F43" s="243"/>
      <c r="G43" s="243"/>
      <c r="H43" s="243"/>
      <c r="I43" s="243"/>
      <c r="J43" s="243"/>
      <c r="K43" s="243"/>
      <c r="L43" s="243"/>
      <c r="M43" s="243"/>
      <c r="N43" s="244"/>
    </row>
    <row r="44" spans="1:17" x14ac:dyDescent="0.3">
      <c r="A44" s="157"/>
      <c r="B44" s="35" t="s">
        <v>907</v>
      </c>
      <c r="C44" s="35"/>
      <c r="D44" s="35"/>
      <c r="E44" s="243">
        <f>SUM(F44:N44)</f>
        <v>13012760.867366849</v>
      </c>
      <c r="F44" s="243">
        <f>+'10d-1. Fuel by class'!F44+'10e. OM excl Fuel by class'!F44+'10f. AG by class'!F44+'10d-2. Trans by class'!F44</f>
        <v>6913105.3506548097</v>
      </c>
      <c r="G44" s="243">
        <f>+'10d-1. Fuel by class'!G44+'10e. OM excl Fuel by class'!G44+'10f. AG by class'!G44+'10d-2. Trans by class'!G44</f>
        <v>1675648.6589118466</v>
      </c>
      <c r="H44" s="243">
        <f>+'10d-1. Fuel by class'!H44+'10e. OM excl Fuel by class'!H44+'10f. AG by class'!H44+'10d-2. Trans by class'!H44</f>
        <v>3638293.5507736946</v>
      </c>
      <c r="I44" s="243">
        <f>+'10d-1. Fuel by class'!I44+'10e. OM excl Fuel by class'!I44+'10f. AG by class'!I44+'10d-2. Trans by class'!I44</f>
        <v>569962.48334072588</v>
      </c>
      <c r="J44" s="243">
        <f>+'10d-1. Fuel by class'!J44+'10e. OM excl Fuel by class'!J44+'10f. AG by class'!J44+'10d-2. Trans by class'!J44</f>
        <v>50664.109502136736</v>
      </c>
      <c r="K44" s="243">
        <f>+'10d-1. Fuel by class'!K44+'10e. OM excl Fuel by class'!K44+'10f. AG by class'!K44+'10d-2. Trans by class'!K44</f>
        <v>126575.24126747507</v>
      </c>
      <c r="L44" s="243">
        <f>+'10d-1. Fuel by class'!L44+'10e. OM excl Fuel by class'!L44+'10f. AG by class'!L44+'10d-2. Trans by class'!L44</f>
        <v>15345.974514626516</v>
      </c>
      <c r="M44" s="243">
        <f>+'10d-1. Fuel by class'!M44+'10e. OM excl Fuel by class'!M44+'10f. AG by class'!M44+'10d-2. Trans by class'!M44</f>
        <v>23165.498401533194</v>
      </c>
      <c r="N44" s="244">
        <f>+'10d-1. Fuel by class'!N44+'10e. OM excl Fuel by class'!N44+'10f. AG by class'!N44+'10d-2. Trans by class'!N44</f>
        <v>0</v>
      </c>
      <c r="P44" s="32">
        <f>SUM(F44:O44)</f>
        <v>13012760.867366849</v>
      </c>
      <c r="Q44" s="32">
        <f>E44-P44</f>
        <v>0</v>
      </c>
    </row>
    <row r="45" spans="1:17" x14ac:dyDescent="0.3">
      <c r="A45" s="157"/>
      <c r="B45" s="35" t="s">
        <v>996</v>
      </c>
      <c r="C45" s="35"/>
      <c r="D45" s="35"/>
      <c r="E45" s="580">
        <f>SUM(F45:N45)</f>
        <v>10740257.740399564</v>
      </c>
      <c r="F45" s="580">
        <f>+'10d-1. Fuel by class'!F45+'10e. OM excl Fuel by class'!F45+'10f. AG by class'!F45+'10d-2. Trans by class'!F45</f>
        <v>6927969.5940538906</v>
      </c>
      <c r="G45" s="580">
        <f>+'10d-1. Fuel by class'!G45+'10e. OM excl Fuel by class'!G45+'10f. AG by class'!G45+'10d-2. Trans by class'!G45</f>
        <v>1703816.202109603</v>
      </c>
      <c r="H45" s="580">
        <f>+'10d-1. Fuel by class'!H45+'10e. OM excl Fuel by class'!H45+'10f. AG by class'!H45+'10d-2. Trans by class'!H45</f>
        <v>1815781.8207621169</v>
      </c>
      <c r="I45" s="580">
        <f>+'10d-1. Fuel by class'!I45+'10e. OM excl Fuel by class'!I45+'10f. AG by class'!I45+'10d-2. Trans by class'!I45</f>
        <v>247075.64548969336</v>
      </c>
      <c r="J45" s="580">
        <f>+'10d-1. Fuel by class'!J45+'10e. OM excl Fuel by class'!J45+'10f. AG by class'!J45+'10d-2. Trans by class'!J45</f>
        <v>21811.4841530872</v>
      </c>
      <c r="K45" s="580">
        <f>+'10d-1. Fuel by class'!K45+'10e. OM excl Fuel by class'!K45+'10f. AG by class'!K45+'10d-2. Trans by class'!K45</f>
        <v>4725.8215665022271</v>
      </c>
      <c r="L45" s="580">
        <f>+'10d-1. Fuel by class'!L45+'10e. OM excl Fuel by class'!L45+'10f. AG by class'!L45+'10d-2. Trans by class'!L45</f>
        <v>424.11219186558446</v>
      </c>
      <c r="M45" s="580">
        <f>+'10d-1. Fuel by class'!M45+'10e. OM excl Fuel by class'!M45+'10f. AG by class'!M45+'10d-2. Trans by class'!M45</f>
        <v>18653.060072808214</v>
      </c>
      <c r="N45" s="600">
        <f>+'10d-1. Fuel by class'!N45+'10e. OM excl Fuel by class'!N45+'10f. AG by class'!N45+'10d-2. Trans by class'!N45</f>
        <v>0</v>
      </c>
      <c r="P45" s="32">
        <f>SUM(F45:O45)</f>
        <v>10740257.740399564</v>
      </c>
      <c r="Q45" s="32">
        <f>E45-P45</f>
        <v>0</v>
      </c>
    </row>
    <row r="46" spans="1:17" x14ac:dyDescent="0.3">
      <c r="A46" s="157"/>
      <c r="B46" s="35" t="s">
        <v>997</v>
      </c>
      <c r="C46" s="35"/>
      <c r="D46" s="35"/>
      <c r="E46" s="243">
        <f t="shared" ref="E46:N46" si="9">SUM(E44:E45)</f>
        <v>23753018.607766412</v>
      </c>
      <c r="F46" s="243">
        <f t="shared" si="9"/>
        <v>13841074.944708701</v>
      </c>
      <c r="G46" s="243">
        <f t="shared" si="9"/>
        <v>3379464.8610214498</v>
      </c>
      <c r="H46" s="243">
        <f t="shared" si="9"/>
        <v>5454075.3715358116</v>
      </c>
      <c r="I46" s="243">
        <f t="shared" si="9"/>
        <v>817038.12883041927</v>
      </c>
      <c r="J46" s="243">
        <f t="shared" si="9"/>
        <v>72475.593655223929</v>
      </c>
      <c r="K46" s="243">
        <f t="shared" si="9"/>
        <v>131301.06283397728</v>
      </c>
      <c r="L46" s="243">
        <f t="shared" si="9"/>
        <v>15770.0867064921</v>
      </c>
      <c r="M46" s="243">
        <f t="shared" si="9"/>
        <v>41818.558474341407</v>
      </c>
      <c r="N46" s="244">
        <f t="shared" si="9"/>
        <v>0</v>
      </c>
      <c r="P46" s="32">
        <f>SUM(F46:O46)</f>
        <v>23753018.607766412</v>
      </c>
      <c r="Q46" s="32">
        <f>E46-P46</f>
        <v>0</v>
      </c>
    </row>
    <row r="47" spans="1:17" x14ac:dyDescent="0.3">
      <c r="A47" s="157"/>
      <c r="B47" s="35"/>
      <c r="C47" s="35"/>
      <c r="D47" s="35"/>
      <c r="E47" s="243"/>
      <c r="F47" s="243"/>
      <c r="G47" s="243"/>
      <c r="H47" s="243"/>
      <c r="I47" s="243"/>
      <c r="J47" s="243"/>
      <c r="K47" s="243"/>
      <c r="L47" s="243"/>
      <c r="M47" s="243"/>
      <c r="N47" s="244"/>
    </row>
    <row r="48" spans="1:17" x14ac:dyDescent="0.3">
      <c r="A48" s="157" t="s">
        <v>84</v>
      </c>
      <c r="B48" s="35"/>
      <c r="C48" s="35"/>
      <c r="D48" s="35"/>
      <c r="E48" s="243">
        <f>SUM(F48:N48)</f>
        <v>6889148.4272033079</v>
      </c>
      <c r="F48" s="243">
        <f>+'10d-1. Fuel by class'!F48+'10e. OM excl Fuel by class'!F48+'10f. AG by class'!F48+'10d-2. Trans by class'!F48</f>
        <v>4133478.1394219799</v>
      </c>
      <c r="G48" s="243">
        <f>+'10d-1. Fuel by class'!G48+'10e. OM excl Fuel by class'!G48+'10f. AG by class'!G48+'10d-2. Trans by class'!G48</f>
        <v>1016558.5933081451</v>
      </c>
      <c r="H48" s="243">
        <f>+'10d-1. Fuel by class'!H48+'10e. OM excl Fuel by class'!H48+'10f. AG by class'!H48+'10d-2. Trans by class'!H48</f>
        <v>1625042.0184844276</v>
      </c>
      <c r="I48" s="243">
        <f>+'10d-1. Fuel by class'!I48+'10e. OM excl Fuel by class'!I48+'10f. AG by class'!I48+'10d-2. Trans by class'!I48</f>
        <v>73707.149371134932</v>
      </c>
      <c r="J48" s="243">
        <f>+'10d-1. Fuel by class'!J48+'10e. OM excl Fuel by class'!J48+'10f. AG by class'!J48+'10d-2. Trans by class'!J48</f>
        <v>6506.7615923512931</v>
      </c>
      <c r="K48" s="243">
        <f>+'10d-1. Fuel by class'!K48+'10e. OM excl Fuel by class'!K48+'10f. AG by class'!K48+'10d-2. Trans by class'!K48</f>
        <v>1409.7983450094468</v>
      </c>
      <c r="L48" s="243">
        <f>+'10d-1. Fuel by class'!L48+'10e. OM excl Fuel by class'!L48+'10f. AG by class'!L48+'10d-2. Trans by class'!L48</f>
        <v>253.04072859143918</v>
      </c>
      <c r="M48" s="243">
        <f>+'10d-1. Fuel by class'!M48+'10e. OM excl Fuel by class'!M48+'10f. AG by class'!M48+'10d-2. Trans by class'!M48</f>
        <v>11129.092730206625</v>
      </c>
      <c r="N48" s="244">
        <f>+'10d-1. Fuel by class'!N48+'10e. OM excl Fuel by class'!N48+'10f. AG by class'!N48+'10d-2. Trans by class'!N48</f>
        <v>21063.83322146166</v>
      </c>
      <c r="P48" s="32">
        <f>SUM(F48:O48)</f>
        <v>6889148.4272033079</v>
      </c>
      <c r="Q48" s="32">
        <f>E48-P48</f>
        <v>0</v>
      </c>
    </row>
    <row r="49" spans="1:17" x14ac:dyDescent="0.3">
      <c r="A49" s="157"/>
      <c r="B49" s="35"/>
      <c r="C49" s="35"/>
      <c r="D49" s="35"/>
      <c r="E49" s="243"/>
      <c r="F49" s="243"/>
      <c r="G49" s="243"/>
      <c r="H49" s="243"/>
      <c r="I49" s="243"/>
      <c r="J49" s="243"/>
      <c r="K49" s="243"/>
      <c r="L49" s="243"/>
      <c r="M49" s="243"/>
      <c r="N49" s="244"/>
    </row>
    <row r="50" spans="1:17" x14ac:dyDescent="0.3">
      <c r="A50" s="157" t="s">
        <v>82</v>
      </c>
      <c r="B50" s="35"/>
      <c r="C50" s="35"/>
      <c r="D50" s="35"/>
      <c r="E50" s="243"/>
      <c r="F50" s="243"/>
      <c r="G50" s="243"/>
      <c r="H50" s="243"/>
      <c r="I50" s="243"/>
      <c r="J50" s="243"/>
      <c r="K50" s="243"/>
      <c r="L50" s="243"/>
      <c r="M50" s="243"/>
      <c r="N50" s="244"/>
    </row>
    <row r="51" spans="1:17" x14ac:dyDescent="0.3">
      <c r="A51" s="157"/>
      <c r="B51" s="35" t="s">
        <v>81</v>
      </c>
      <c r="C51" s="35"/>
      <c r="D51" s="35"/>
      <c r="E51" s="243">
        <f>SUM(F51:N51)</f>
        <v>21630013.776808269</v>
      </c>
      <c r="F51" s="243">
        <f>+'10d-1. Fuel by class'!F51+'10e. OM excl Fuel by class'!F51+'10f. AG by class'!F51+'10d-2. Trans by class'!F51</f>
        <v>15570063.080103319</v>
      </c>
      <c r="G51" s="243">
        <f>+'10d-1. Fuel by class'!G51+'10e. OM excl Fuel by class'!G51+'10f. AG by class'!G51+'10d-2. Trans by class'!G51</f>
        <v>3829191.9997047</v>
      </c>
      <c r="H51" s="243">
        <f>+'10d-1. Fuel by class'!H51+'10e. OM excl Fuel by class'!H51+'10f. AG by class'!H51+'10d-2. Trans by class'!H51</f>
        <v>2040412.930884978</v>
      </c>
      <c r="I51" s="243">
        <f>+'10d-1. Fuel by class'!I51+'10e. OM excl Fuel by class'!I51+'10f. AG by class'!I51+'10d-2. Trans by class'!I51</f>
        <v>55528.294886477903</v>
      </c>
      <c r="J51" s="243">
        <f>+'10d-1. Fuel by class'!J51+'10e. OM excl Fuel by class'!J51+'10f. AG by class'!J51+'10d-2. Trans by class'!J51</f>
        <v>4901.9583519205589</v>
      </c>
      <c r="K51" s="243">
        <f>+'10d-1. Fuel by class'!K51+'10e. OM excl Fuel by class'!K51+'10f. AG by class'!K51+'10d-2. Trans by class'!K51</f>
        <v>1062.0909762494546</v>
      </c>
      <c r="L51" s="243">
        <f>+'10d-1. Fuel by class'!L51+'10e. OM excl Fuel by class'!L51+'10f. AG by class'!L51+'10d-2. Trans by class'!L51</f>
        <v>190.63171368579953</v>
      </c>
      <c r="M51" s="243">
        <f>+'10d-1. Fuel by class'!M51+'10e. OM excl Fuel by class'!M51+'10f. AG by class'!M51+'10d-2. Trans by class'!M51</f>
        <v>49319.147640711853</v>
      </c>
      <c r="N51" s="244">
        <f>+'10d-1. Fuel by class'!N51+'10e. OM excl Fuel by class'!N51+'10f. AG by class'!N51+'10d-2. Trans by class'!N51</f>
        <v>79343.642546225281</v>
      </c>
      <c r="P51" s="32">
        <f>SUM(F51:O51)</f>
        <v>21630013.776808269</v>
      </c>
      <c r="Q51" s="32">
        <f>E51-P51</f>
        <v>0</v>
      </c>
    </row>
    <row r="52" spans="1:17" x14ac:dyDescent="0.3">
      <c r="A52" s="157"/>
      <c r="B52" s="35" t="s">
        <v>1007</v>
      </c>
      <c r="C52" s="35"/>
      <c r="D52" s="35"/>
      <c r="E52" s="243">
        <f>SUM(F52:N52)</f>
        <v>341010.97013688786</v>
      </c>
      <c r="F52" s="243">
        <f>+'10d-1. Fuel by class'!F52+'10e. OM excl Fuel by class'!F52+'10f. AG by class'!F52+'10d-2. Trans by class'!F52</f>
        <v>118373.46766990138</v>
      </c>
      <c r="G52" s="243">
        <f>+'10d-1. Fuel by class'!G52+'10e. OM excl Fuel by class'!G52+'10f. AG by class'!G52+'10d-2. Trans by class'!G52</f>
        <v>31764.313095697227</v>
      </c>
      <c r="H52" s="243">
        <f>+'10d-1. Fuel by class'!H52+'10e. OM excl Fuel by class'!H52+'10f. AG by class'!H52+'10d-2. Trans by class'!H52</f>
        <v>77206.357513604322</v>
      </c>
      <c r="I52" s="243">
        <f>+'10d-1. Fuel by class'!I52+'10e. OM excl Fuel by class'!I52+'10f. AG by class'!I52+'10d-2. Trans by class'!I52</f>
        <v>50099.480136485377</v>
      </c>
      <c r="J52" s="243">
        <f>+'10d-1. Fuel by class'!J52+'10e. OM excl Fuel by class'!J52+'10f. AG by class'!J52+'10d-2. Trans by class'!J52</f>
        <v>24166.005636608275</v>
      </c>
      <c r="K52" s="243">
        <f>+'10d-1. Fuel by class'!K52+'10e. OM excl Fuel by class'!K52+'10f. AG by class'!K52+'10d-2. Trans by class'!K52</f>
        <v>37906.42404459745</v>
      </c>
      <c r="L52" s="243">
        <f>+'10d-1. Fuel by class'!L52+'10e. OM excl Fuel by class'!L52+'10f. AG by class'!L52+'10d-2. Trans by class'!L52</f>
        <v>0</v>
      </c>
      <c r="M52" s="243">
        <f>+'10d-1. Fuel by class'!M52+'10e. OM excl Fuel by class'!M52+'10f. AG by class'!M52+'10d-2. Trans by class'!M52</f>
        <v>68.096909910879035</v>
      </c>
      <c r="N52" s="244">
        <f>+'10d-1. Fuel by class'!N52+'10e. OM excl Fuel by class'!N52+'10f. AG by class'!N52+'10d-2. Trans by class'!N52</f>
        <v>1426.8251300829411</v>
      </c>
      <c r="P52" s="32">
        <f>SUM(F52:O52)</f>
        <v>341010.97013688786</v>
      </c>
      <c r="Q52" s="32">
        <f>E52-P52</f>
        <v>0</v>
      </c>
    </row>
    <row r="53" spans="1:17" x14ac:dyDescent="0.3">
      <c r="A53" s="157"/>
      <c r="B53" s="35" t="s">
        <v>1008</v>
      </c>
      <c r="C53" s="35"/>
      <c r="D53" s="35"/>
      <c r="E53" s="580">
        <f>SUM(F53:N53)</f>
        <v>0</v>
      </c>
      <c r="F53" s="580">
        <f>+'10d-1. Fuel by class'!F53+'10e. OM excl Fuel by class'!F53+'10f. AG by class'!F53+'10d-2. Trans by class'!F53</f>
        <v>0</v>
      </c>
      <c r="G53" s="580">
        <f>+'10d-1. Fuel by class'!G53+'10e. OM excl Fuel by class'!G53+'10f. AG by class'!G53+'10d-2. Trans by class'!G53</f>
        <v>0</v>
      </c>
      <c r="H53" s="580">
        <f>+'10d-1. Fuel by class'!H53+'10e. OM excl Fuel by class'!H53+'10f. AG by class'!H53+'10d-2. Trans by class'!H53</f>
        <v>0</v>
      </c>
      <c r="I53" s="580">
        <f>+'10d-1. Fuel by class'!I53+'10e. OM excl Fuel by class'!I53+'10f. AG by class'!I53+'10d-2. Trans by class'!I53</f>
        <v>0</v>
      </c>
      <c r="J53" s="580">
        <f>+'10d-1. Fuel by class'!J53+'10e. OM excl Fuel by class'!J53+'10f. AG by class'!J53+'10d-2. Trans by class'!J53</f>
        <v>0</v>
      </c>
      <c r="K53" s="580">
        <f>+'10d-1. Fuel by class'!K53+'10e. OM excl Fuel by class'!K53+'10f. AG by class'!K53+'10d-2. Trans by class'!K53</f>
        <v>0</v>
      </c>
      <c r="L53" s="580">
        <f>+'10d-1. Fuel by class'!L53+'10e. OM excl Fuel by class'!L53+'10f. AG by class'!L53+'10d-2. Trans by class'!L53</f>
        <v>0</v>
      </c>
      <c r="M53" s="580">
        <f>+'10d-1. Fuel by class'!M53+'10e. OM excl Fuel by class'!M53+'10f. AG by class'!M53+'10d-2. Trans by class'!M53</f>
        <v>0</v>
      </c>
      <c r="N53" s="600">
        <f>+'10d-1. Fuel by class'!N53+'10e. OM excl Fuel by class'!N53+'10f. AG by class'!N53+'10d-2. Trans by class'!N53</f>
        <v>0</v>
      </c>
      <c r="P53" s="32">
        <f>SUM(F53:O53)</f>
        <v>0</v>
      </c>
      <c r="Q53" s="32">
        <f>E53-P53</f>
        <v>0</v>
      </c>
    </row>
    <row r="54" spans="1:17" x14ac:dyDescent="0.3">
      <c r="A54" s="157"/>
      <c r="B54" s="35" t="s">
        <v>83</v>
      </c>
      <c r="C54" s="35"/>
      <c r="D54" s="35"/>
      <c r="E54" s="243">
        <f t="shared" ref="E54:N54" si="10">SUM(E51:E53)</f>
        <v>21971024.746945158</v>
      </c>
      <c r="F54" s="243">
        <f t="shared" si="10"/>
        <v>15688436.54777322</v>
      </c>
      <c r="G54" s="243">
        <f t="shared" si="10"/>
        <v>3860956.3128003972</v>
      </c>
      <c r="H54" s="243">
        <f t="shared" si="10"/>
        <v>2117619.2883985825</v>
      </c>
      <c r="I54" s="243">
        <f t="shared" si="10"/>
        <v>105627.77502296328</v>
      </c>
      <c r="J54" s="243">
        <f t="shared" si="10"/>
        <v>29067.963988528834</v>
      </c>
      <c r="K54" s="243">
        <f t="shared" si="10"/>
        <v>38968.515020846906</v>
      </c>
      <c r="L54" s="243">
        <f t="shared" si="10"/>
        <v>190.63171368579953</v>
      </c>
      <c r="M54" s="243">
        <f t="shared" si="10"/>
        <v>49387.24455062273</v>
      </c>
      <c r="N54" s="244">
        <f t="shared" si="10"/>
        <v>80770.467676308224</v>
      </c>
      <c r="P54" s="32">
        <f>SUM(F54:O54)</f>
        <v>21971024.746945154</v>
      </c>
      <c r="Q54" s="32">
        <f>E54-P54</f>
        <v>0</v>
      </c>
    </row>
    <row r="55" spans="1:17" x14ac:dyDescent="0.3">
      <c r="A55" s="157"/>
      <c r="B55" s="35"/>
      <c r="C55" s="35"/>
      <c r="D55" s="35"/>
      <c r="E55" s="243"/>
      <c r="F55" s="243"/>
      <c r="G55" s="243"/>
      <c r="H55" s="243"/>
      <c r="I55" s="243"/>
      <c r="J55" s="243"/>
      <c r="K55" s="243"/>
      <c r="L55" s="243"/>
      <c r="M55" s="243"/>
      <c r="N55" s="244"/>
    </row>
    <row r="56" spans="1:17" x14ac:dyDescent="0.3">
      <c r="A56" s="157" t="s">
        <v>912</v>
      </c>
      <c r="B56" s="35"/>
      <c r="C56" s="35"/>
      <c r="D56" s="35"/>
      <c r="E56" s="243"/>
      <c r="F56" s="243"/>
      <c r="G56" s="243"/>
      <c r="H56" s="243"/>
      <c r="I56" s="243"/>
      <c r="J56" s="243"/>
      <c r="K56" s="243"/>
      <c r="L56" s="243"/>
      <c r="M56" s="243"/>
      <c r="N56" s="244"/>
    </row>
    <row r="57" spans="1:17" x14ac:dyDescent="0.3">
      <c r="A57" s="157"/>
      <c r="B57" s="35" t="s">
        <v>1006</v>
      </c>
      <c r="C57" s="35"/>
      <c r="D57" s="35"/>
      <c r="E57" s="580">
        <f>SUM(F57:N57)</f>
        <v>15123004.914934782</v>
      </c>
      <c r="F57" s="580">
        <f>+'10d-1. Fuel by class'!F57+'10e. OM excl Fuel by class'!F57+'10f. AG by class'!F57+'10d-2. Trans by class'!F57</f>
        <v>5249574.6182335103</v>
      </c>
      <c r="G57" s="580">
        <f>+'10d-1. Fuel by class'!G57+'10e. OM excl Fuel by class'!G57+'10f. AG by class'!G57+'10d-2. Trans by class'!G57</f>
        <v>1408669.8233576668</v>
      </c>
      <c r="H57" s="580">
        <f>+'10d-1. Fuel by class'!H57+'10e. OM excl Fuel by class'!H57+'10f. AG by class'!H57+'10d-2. Trans by class'!H57</f>
        <v>3423913.6754860347</v>
      </c>
      <c r="I57" s="580">
        <f>+'10d-1. Fuel by class'!I57+'10e. OM excl Fuel by class'!I57+'10f. AG by class'!I57+'10d-2. Trans by class'!I57</f>
        <v>2221789.7683338746</v>
      </c>
      <c r="J57" s="580">
        <f>+'10d-1. Fuel by class'!J57+'10e. OM excl Fuel by class'!J57+'10f. AG by class'!J57+'10d-2. Trans by class'!J57</f>
        <v>1071703.4172538947</v>
      </c>
      <c r="K57" s="580">
        <f>+'10d-1. Fuel by class'!K57+'10e. OM excl Fuel by class'!K57+'10f. AG by class'!K57+'10d-2. Trans by class'!K57</f>
        <v>1681057.4654062679</v>
      </c>
      <c r="L57" s="580">
        <f>+'10d-1. Fuel by class'!L57+'10e. OM excl Fuel by class'!L57+'10f. AG by class'!L57+'10d-2. Trans by class'!L57</f>
        <v>0</v>
      </c>
      <c r="M57" s="580">
        <f>+'10d-1. Fuel by class'!M57+'10e. OM excl Fuel by class'!M57+'10f. AG by class'!M57+'10d-2. Trans by class'!M57</f>
        <v>3019.9318891726639</v>
      </c>
      <c r="N57" s="600">
        <f>+'10d-1. Fuel by class'!N57+'10e. OM excl Fuel by class'!N57+'10f. AG by class'!N57+'10d-2. Trans by class'!N57</f>
        <v>63276.214974360002</v>
      </c>
      <c r="P57" s="32">
        <f>SUM(F57:O57)</f>
        <v>15123004.914934782</v>
      </c>
      <c r="Q57" s="32">
        <f>E57-P57</f>
        <v>0</v>
      </c>
    </row>
    <row r="58" spans="1:17" x14ac:dyDescent="0.3">
      <c r="A58" s="157"/>
      <c r="B58" s="35" t="s">
        <v>1014</v>
      </c>
      <c r="C58" s="35"/>
      <c r="D58" s="35"/>
      <c r="E58" s="243">
        <f t="shared" ref="E58:N58" si="11">SUM(E57:E57)</f>
        <v>15123004.914934782</v>
      </c>
      <c r="F58" s="243">
        <f t="shared" si="11"/>
        <v>5249574.6182335103</v>
      </c>
      <c r="G58" s="243">
        <f t="shared" si="11"/>
        <v>1408669.8233576668</v>
      </c>
      <c r="H58" s="243">
        <f t="shared" si="11"/>
        <v>3423913.6754860347</v>
      </c>
      <c r="I58" s="243">
        <f t="shared" si="11"/>
        <v>2221789.7683338746</v>
      </c>
      <c r="J58" s="243">
        <f t="shared" si="11"/>
        <v>1071703.4172538947</v>
      </c>
      <c r="K58" s="243">
        <f t="shared" si="11"/>
        <v>1681057.4654062679</v>
      </c>
      <c r="L58" s="243">
        <f t="shared" si="11"/>
        <v>0</v>
      </c>
      <c r="M58" s="243">
        <f t="shared" si="11"/>
        <v>3019.9318891726639</v>
      </c>
      <c r="N58" s="244">
        <f t="shared" si="11"/>
        <v>63276.214974360002</v>
      </c>
      <c r="P58" s="32">
        <f>SUM(F58:O58)</f>
        <v>15123004.914934782</v>
      </c>
      <c r="Q58" s="32">
        <f>E58-P58</f>
        <v>0</v>
      </c>
    </row>
    <row r="59" spans="1:17" x14ac:dyDescent="0.3">
      <c r="A59" s="157"/>
      <c r="B59" s="35"/>
      <c r="C59" s="35"/>
      <c r="D59" s="35"/>
      <c r="E59" s="243"/>
      <c r="F59" s="243"/>
      <c r="G59" s="243"/>
      <c r="H59" s="243"/>
      <c r="I59" s="243"/>
      <c r="J59" s="243"/>
      <c r="K59" s="243"/>
      <c r="L59" s="243"/>
      <c r="M59" s="243"/>
      <c r="N59" s="244"/>
    </row>
    <row r="60" spans="1:17" x14ac:dyDescent="0.3">
      <c r="A60" s="157" t="s">
        <v>913</v>
      </c>
      <c r="B60" s="35"/>
      <c r="C60" s="35"/>
      <c r="D60" s="35"/>
      <c r="E60" s="243">
        <f>SUM(F60:N60)</f>
        <v>-7486.0999999999985</v>
      </c>
      <c r="F60" s="243">
        <f>+'10d-1. Fuel by class'!F60+'10e. OM excl Fuel by class'!F60+'10f. AG by class'!F60+'10d-2. Trans by class'!F60</f>
        <v>-2977.4090414556081</v>
      </c>
      <c r="G60" s="243">
        <f>+'10d-1. Fuel by class'!G60+'10e. OM excl Fuel by class'!G60+'10f. AG by class'!G60+'10d-2. Trans by class'!G60</f>
        <v>-763.26347453501216</v>
      </c>
      <c r="H60" s="243">
        <f>+'10d-1. Fuel by class'!H60+'10e. OM excl Fuel by class'!H60+'10f. AG by class'!H60+'10d-2. Trans by class'!H60</f>
        <v>-1755.2502288557607</v>
      </c>
      <c r="I60" s="243">
        <f>+'10d-1. Fuel by class'!I60+'10e. OM excl Fuel by class'!I60+'10f. AG by class'!I60+'10d-2. Trans by class'!I60</f>
        <v>-987.1404829123685</v>
      </c>
      <c r="J60" s="243">
        <f>+'10d-1. Fuel by class'!J60+'10e. OM excl Fuel by class'!J60+'10f. AG by class'!J60+'10d-2. Trans by class'!J60</f>
        <v>-428.16588990551583</v>
      </c>
      <c r="K60" s="243">
        <f>+'10d-1. Fuel by class'!K60+'10e. OM excl Fuel by class'!K60+'10f. AG by class'!K60+'10d-2. Trans by class'!K60</f>
        <v>-574.85691990207704</v>
      </c>
      <c r="L60" s="243">
        <f>+'10d-1. Fuel by class'!L60+'10e. OM excl Fuel by class'!L60+'10f. AG by class'!L60+'10d-2. Trans by class'!L60</f>
        <v>0</v>
      </c>
      <c r="M60" s="243">
        <f>+'10d-1. Fuel by class'!M60+'10e. OM excl Fuel by class'!M60+'10f. AG by class'!M60+'10d-2. Trans by class'!M60</f>
        <v>0</v>
      </c>
      <c r="N60" s="244">
        <f>+'10d-1. Fuel by class'!N60+'10e. OM excl Fuel by class'!N60+'10f. AG by class'!N60+'10d-2. Trans by class'!N60</f>
        <v>-1.39624336572411E-2</v>
      </c>
      <c r="P60" s="32">
        <f>SUM(F60:O60)</f>
        <v>-7486.0999999999985</v>
      </c>
      <c r="Q60" s="32">
        <f>E60-P60</f>
        <v>0</v>
      </c>
    </row>
    <row r="61" spans="1:17" x14ac:dyDescent="0.3">
      <c r="A61" s="157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158"/>
    </row>
    <row r="62" spans="1:17" x14ac:dyDescent="0.3">
      <c r="A62" s="157" t="s">
        <v>1016</v>
      </c>
      <c r="B62" s="35"/>
      <c r="C62" s="35"/>
      <c r="D62" s="35"/>
      <c r="E62" s="35">
        <f>SUM(E18,E20,E22,E41,E46,E48,E54,E58,E60)</f>
        <v>898198703.81192183</v>
      </c>
      <c r="F62" s="35">
        <f t="shared" ref="F62:N62" si="12">SUM(F18,F20,F22,F41,F46,F48,F54,F58,F60)</f>
        <v>359625749.19533616</v>
      </c>
      <c r="G62" s="35">
        <f t="shared" si="12"/>
        <v>98115271.742574289</v>
      </c>
      <c r="H62" s="35">
        <f t="shared" si="12"/>
        <v>184006446.48175856</v>
      </c>
      <c r="I62" s="35">
        <f t="shared" si="12"/>
        <v>108000374.34529446</v>
      </c>
      <c r="J62" s="35">
        <f t="shared" si="12"/>
        <v>48557442.198928207</v>
      </c>
      <c r="K62" s="35">
        <f t="shared" si="12"/>
        <v>74656167.520568937</v>
      </c>
      <c r="L62" s="35">
        <f t="shared" si="12"/>
        <v>14758985.195810037</v>
      </c>
      <c r="M62" s="35">
        <f t="shared" si="12"/>
        <v>318401.81540312752</v>
      </c>
      <c r="N62" s="158">
        <f t="shared" si="12"/>
        <v>10159865.316248082</v>
      </c>
      <c r="P62" s="32">
        <f>SUM(F62:O62)</f>
        <v>898198703.81192195</v>
      </c>
      <c r="Q62" s="32">
        <f>E62-P62</f>
        <v>0</v>
      </c>
    </row>
    <row r="63" spans="1:17" ht="13.5" thickBot="1" x14ac:dyDescent="0.35">
      <c r="A63" s="33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161"/>
    </row>
  </sheetData>
  <customSheetViews>
    <customSheetView guid="{121E4431-22F3-11D5-8242-00600818425F}" scale="75" showRuler="0">
      <pane xSplit="2" ySplit="7" topLeftCell="C8" activePane="bottomRight" state="frozen"/>
      <selection pane="bottomRight" activeCell="F11" sqref="F11"/>
      <pageMargins left="0" right="0" top="0.5" bottom="0.4" header="0.2" footer="0.2"/>
      <printOptions horizontalCentered="1" gridLines="1"/>
      <pageSetup scale="65" orientation="landscape" horizontalDpi="300" vertic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showRuler="0">
      <pane xSplit="2" ySplit="7" topLeftCell="C8" activePane="bottomRight" state="frozen"/>
      <selection pane="bottomRight" activeCell="F11" sqref="F11"/>
      <pageMargins left="0" right="0" top="0.5" bottom="0.4" header="0.2" footer="0.2"/>
      <printOptions horizontalCentered="1" gridLines="1"/>
      <pageSetup scale="65" orientation="landscape" horizontalDpi="300" vertic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showRuler="0">
      <pane xSplit="2" ySplit="7" topLeftCell="C8" activePane="bottomRight" state="frozen"/>
      <selection pane="bottomRight" activeCell="F11" sqref="F11"/>
      <pageMargins left="0" right="0" top="0.5" bottom="0.4" header="0.2" footer="0.2"/>
      <printOptions horizontalCentered="1" gridLines="1"/>
      <pageSetup scale="65" orientation="landscape" horizontalDpi="300" verticalDpi="30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65" orientation="landscape" horizontalDpi="300" verticalDpi="300" r:id="rId4"/>
  <headerFooter alignWithMargins="0">
    <oddFooter>&amp;L&amp;8&amp;F&amp;C&amp;8&amp;A
page &amp;P&amp;R&amp;8&amp;D
&amp;T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Q63"/>
  <sheetViews>
    <sheetView zoomScale="75" zoomScaleNormal="75" workbookViewId="0">
      <pane xSplit="2" ySplit="7" topLeftCell="C8" activePane="bottomRight" state="frozen"/>
      <selection activeCell="C9" sqref="C9"/>
      <selection pane="topRight" activeCell="C9" sqref="C9"/>
      <selection pane="bottomLeft" activeCell="C9" sqref="C9"/>
      <selection pane="bottomRight" activeCell="C8" sqref="C8"/>
    </sheetView>
  </sheetViews>
  <sheetFormatPr defaultColWidth="9.1796875" defaultRowHeight="13" x14ac:dyDescent="0.3"/>
  <cols>
    <col min="1" max="1" width="4.54296875" style="32" customWidth="1"/>
    <col min="2" max="2" width="32.1796875" style="32" customWidth="1"/>
    <col min="3" max="3" width="12.81640625" style="32" customWidth="1"/>
    <col min="4" max="4" width="11.453125" style="32" customWidth="1"/>
    <col min="5" max="8" width="15" style="32" customWidth="1"/>
    <col min="9" max="16" width="12.54296875" style="32" customWidth="1"/>
    <col min="17" max="17" width="12.453125" style="32" customWidth="1"/>
    <col min="18" max="18" width="13.81640625" style="32" customWidth="1"/>
    <col min="19" max="20" width="9.1796875" style="32"/>
    <col min="21" max="21" width="11.453125" style="32" bestFit="1" customWidth="1"/>
    <col min="22" max="22" width="8.54296875" style="32" bestFit="1" customWidth="1"/>
    <col min="23" max="16384" width="9.1796875" style="32"/>
  </cols>
  <sheetData>
    <row r="1" spans="1:17" x14ac:dyDescent="0.3">
      <c r="A1" s="301" t="str">
        <f>'1. RB-i'!$A$1</f>
        <v>CPS Energy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3"/>
      <c r="O1" s="42"/>
      <c r="P1" s="42"/>
    </row>
    <row r="2" spans="1:17" x14ac:dyDescent="0.3">
      <c r="A2" s="307" t="s">
        <v>1314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98"/>
      <c r="O2" s="35"/>
      <c r="P2" s="35"/>
    </row>
    <row r="3" spans="1:17" x14ac:dyDescent="0.3">
      <c r="A3" s="307" t="str">
        <f>'10g.Total Op ex by class '!A3</f>
        <v>Based on FYE 2017 Test Year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98"/>
      <c r="O3" s="35"/>
      <c r="P3" s="35"/>
    </row>
    <row r="4" spans="1:17" s="5" customFormat="1" x14ac:dyDescent="0.3">
      <c r="A4" s="304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305"/>
    </row>
    <row r="5" spans="1:17" s="5" customFormat="1" x14ac:dyDescent="0.3">
      <c r="A5" s="304"/>
      <c r="B5" s="196"/>
      <c r="C5" s="196"/>
      <c r="D5" s="196"/>
      <c r="E5" s="196"/>
      <c r="F5" s="196"/>
      <c r="G5" s="196"/>
      <c r="H5" s="199"/>
      <c r="I5" s="199"/>
      <c r="J5" s="199"/>
      <c r="K5" s="196"/>
      <c r="L5" s="196"/>
      <c r="M5" s="196"/>
      <c r="N5" s="305"/>
      <c r="P5" s="5" t="s">
        <v>832</v>
      </c>
    </row>
    <row r="6" spans="1:17" s="5" customFormat="1" x14ac:dyDescent="0.3">
      <c r="A6" s="304"/>
      <c r="B6" s="196"/>
      <c r="C6" s="196" t="s">
        <v>359</v>
      </c>
      <c r="D6" s="196"/>
      <c r="E6" s="196" t="s">
        <v>355</v>
      </c>
      <c r="F6" s="196" t="s">
        <v>961</v>
      </c>
      <c r="G6" s="196" t="s">
        <v>962</v>
      </c>
      <c r="H6" s="196" t="s">
        <v>963</v>
      </c>
      <c r="I6" s="196" t="s">
        <v>964</v>
      </c>
      <c r="J6" s="196" t="s">
        <v>965</v>
      </c>
      <c r="K6" s="196" t="s">
        <v>966</v>
      </c>
      <c r="L6" s="196" t="s">
        <v>967</v>
      </c>
      <c r="M6" s="196" t="s">
        <v>968</v>
      </c>
      <c r="N6" s="305" t="s">
        <v>932</v>
      </c>
      <c r="P6" s="5" t="s">
        <v>833</v>
      </c>
      <c r="Q6" s="5" t="s">
        <v>824</v>
      </c>
    </row>
    <row r="7" spans="1:17" s="5" customFormat="1" ht="13.5" thickBot="1" x14ac:dyDescent="0.35">
      <c r="A7" s="299"/>
      <c r="B7" s="282"/>
      <c r="C7" s="282"/>
      <c r="D7" s="282"/>
      <c r="E7" s="282" t="s">
        <v>816</v>
      </c>
      <c r="F7" s="282" t="s">
        <v>817</v>
      </c>
      <c r="G7" s="282" t="s">
        <v>818</v>
      </c>
      <c r="H7" s="282" t="s">
        <v>819</v>
      </c>
      <c r="I7" s="282" t="s">
        <v>820</v>
      </c>
      <c r="J7" s="282" t="s">
        <v>821</v>
      </c>
      <c r="K7" s="282" t="s">
        <v>822</v>
      </c>
      <c r="L7" s="282" t="s">
        <v>823</v>
      </c>
      <c r="M7" s="282" t="s">
        <v>908</v>
      </c>
      <c r="N7" s="300" t="s">
        <v>914</v>
      </c>
    </row>
    <row r="8" spans="1:17" x14ac:dyDescent="0.3">
      <c r="A8" s="157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158"/>
      <c r="O8" s="35"/>
      <c r="P8" s="35"/>
    </row>
    <row r="9" spans="1:17" x14ac:dyDescent="0.3">
      <c r="A9" s="157" t="s">
        <v>544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158"/>
    </row>
    <row r="10" spans="1:17" x14ac:dyDescent="0.3">
      <c r="A10" s="157"/>
      <c r="B10" s="35" t="s">
        <v>969</v>
      </c>
      <c r="C10" s="35"/>
      <c r="D10" s="35"/>
      <c r="E10" s="243">
        <f>'9b. Summary Schedules-sf'!E178</f>
        <v>0</v>
      </c>
      <c r="F10" s="243">
        <f>$E10*'11a. AF by class'!F10/'11a. AF by class'!$E10</f>
        <v>0</v>
      </c>
      <c r="G10" s="243">
        <f>$E10*'11a. AF by class'!G10/'11a. AF by class'!$E10</f>
        <v>0</v>
      </c>
      <c r="H10" s="243">
        <f>$E10*'11a. AF by class'!H10/'11a. AF by class'!$E10</f>
        <v>0</v>
      </c>
      <c r="I10" s="243">
        <f>$E10*'11a. AF by class'!I10/'11a. AF by class'!$E10</f>
        <v>0</v>
      </c>
      <c r="J10" s="243">
        <f>$E10*'11a. AF by class'!J10/'11a. AF by class'!$E10</f>
        <v>0</v>
      </c>
      <c r="K10" s="243">
        <f>$E10*'11a. AF by class'!K10/'11a. AF by class'!$E10</f>
        <v>0</v>
      </c>
      <c r="L10" s="243">
        <f>$E10*'11a. AF by class'!L10/'11a. AF by class'!$E10</f>
        <v>0</v>
      </c>
      <c r="M10" s="243">
        <f>$E10*'11a. AF by class'!M10/'11a. AF by class'!$E10</f>
        <v>0</v>
      </c>
      <c r="N10" s="244">
        <f>$E10*'11a. AF by class'!N10/'11a. AF by class'!$E10</f>
        <v>0</v>
      </c>
      <c r="P10" s="32">
        <f>SUM(F10:O10)</f>
        <v>0</v>
      </c>
      <c r="Q10" s="32">
        <f>E10-P10</f>
        <v>0</v>
      </c>
    </row>
    <row r="11" spans="1:17" x14ac:dyDescent="0.3">
      <c r="A11" s="157"/>
      <c r="B11" s="35" t="s">
        <v>1140</v>
      </c>
      <c r="C11" s="35"/>
      <c r="D11" s="35"/>
      <c r="E11" s="642"/>
      <c r="F11" s="642"/>
      <c r="G11" s="642"/>
      <c r="H11" s="642"/>
      <c r="I11" s="642"/>
      <c r="J11" s="642"/>
      <c r="K11" s="642"/>
      <c r="L11" s="642"/>
      <c r="M11" s="642"/>
      <c r="N11" s="643"/>
      <c r="O11" s="641"/>
      <c r="P11" s="641"/>
    </row>
    <row r="12" spans="1:17" x14ac:dyDescent="0.3">
      <c r="A12" s="157"/>
      <c r="B12" s="35" t="s">
        <v>1139</v>
      </c>
      <c r="C12" s="35"/>
      <c r="D12" s="35"/>
      <c r="E12" s="642"/>
      <c r="F12" s="642"/>
      <c r="G12" s="642"/>
      <c r="H12" s="642"/>
      <c r="I12" s="642"/>
      <c r="J12" s="642"/>
      <c r="K12" s="642"/>
      <c r="L12" s="642"/>
      <c r="M12" s="642"/>
      <c r="N12" s="643"/>
      <c r="O12" s="641"/>
      <c r="P12" s="641"/>
    </row>
    <row r="13" spans="1:17" x14ac:dyDescent="0.3">
      <c r="A13" s="157"/>
      <c r="B13" s="35" t="s">
        <v>947</v>
      </c>
      <c r="C13" s="35"/>
      <c r="D13" s="35"/>
      <c r="E13" s="642"/>
      <c r="F13" s="642"/>
      <c r="G13" s="642"/>
      <c r="H13" s="642"/>
      <c r="I13" s="642"/>
      <c r="J13" s="642"/>
      <c r="K13" s="642"/>
      <c r="L13" s="642"/>
      <c r="M13" s="642"/>
      <c r="N13" s="643"/>
      <c r="O13" s="641"/>
      <c r="P13" s="641"/>
    </row>
    <row r="14" spans="1:17" x14ac:dyDescent="0.3">
      <c r="A14" s="157"/>
      <c r="B14" s="35"/>
      <c r="C14" s="35"/>
      <c r="D14" s="35"/>
      <c r="E14" s="243"/>
      <c r="F14" s="243"/>
      <c r="G14" s="243"/>
      <c r="H14" s="243"/>
      <c r="I14" s="243"/>
      <c r="J14" s="243"/>
      <c r="K14" s="243"/>
      <c r="L14" s="243"/>
      <c r="M14" s="243"/>
      <c r="N14" s="244"/>
    </row>
    <row r="15" spans="1:17" x14ac:dyDescent="0.3">
      <c r="A15" s="157"/>
      <c r="B15" s="35" t="s">
        <v>970</v>
      </c>
      <c r="C15" s="35"/>
      <c r="D15" s="35"/>
      <c r="E15" s="243">
        <f>'9b. Summary Schedules-sf'!I178</f>
        <v>0</v>
      </c>
      <c r="F15" s="243">
        <f>$E15*'11a. AF by class'!F11/'11a. AF by class'!$E11</f>
        <v>0</v>
      </c>
      <c r="G15" s="243">
        <f>$E15*'11a. AF by class'!G11/'11a. AF by class'!$E11</f>
        <v>0</v>
      </c>
      <c r="H15" s="243">
        <f>$E15*'11a. AF by class'!H11/'11a. AF by class'!$E11</f>
        <v>0</v>
      </c>
      <c r="I15" s="243">
        <f>$E15*'11a. AF by class'!I11/'11a. AF by class'!$E11</f>
        <v>0</v>
      </c>
      <c r="J15" s="243">
        <f>$E15*'11a. AF by class'!J11/'11a. AF by class'!$E11</f>
        <v>0</v>
      </c>
      <c r="K15" s="243">
        <f>$E15*'11a. AF by class'!K11/'11a. AF by class'!$E11</f>
        <v>0</v>
      </c>
      <c r="L15" s="243">
        <f>$E15*'11a. AF by class'!L11/'11a. AF by class'!$E11</f>
        <v>0</v>
      </c>
      <c r="M15" s="243">
        <f>$E15*'11a. AF by class'!M11/'11a. AF by class'!$E11</f>
        <v>0</v>
      </c>
      <c r="N15" s="244">
        <f>$E15*'11a. AF by class'!N11/'11a. AF by class'!$E11</f>
        <v>0</v>
      </c>
      <c r="P15" s="32">
        <f>SUM(F15:O15)</f>
        <v>0</v>
      </c>
      <c r="Q15" s="32">
        <f>E15-P15</f>
        <v>0</v>
      </c>
    </row>
    <row r="16" spans="1:17" x14ac:dyDescent="0.3">
      <c r="A16" s="157"/>
      <c r="B16" s="35" t="s">
        <v>971</v>
      </c>
      <c r="C16" s="35"/>
      <c r="D16" s="35"/>
      <c r="E16" s="35">
        <f>E10+E15</f>
        <v>0</v>
      </c>
      <c r="F16" s="35">
        <f t="shared" ref="F16:P16" si="0">F10+F15</f>
        <v>0</v>
      </c>
      <c r="G16" s="35">
        <f t="shared" si="0"/>
        <v>0</v>
      </c>
      <c r="H16" s="35">
        <f t="shared" si="0"/>
        <v>0</v>
      </c>
      <c r="I16" s="35">
        <f t="shared" si="0"/>
        <v>0</v>
      </c>
      <c r="J16" s="35">
        <f t="shared" si="0"/>
        <v>0</v>
      </c>
      <c r="K16" s="35">
        <f t="shared" si="0"/>
        <v>0</v>
      </c>
      <c r="L16" s="35">
        <f t="shared" si="0"/>
        <v>0</v>
      </c>
      <c r="M16" s="35">
        <f t="shared" si="0"/>
        <v>0</v>
      </c>
      <c r="N16" s="158">
        <f t="shared" si="0"/>
        <v>0</v>
      </c>
      <c r="O16" s="35"/>
      <c r="P16" s="35">
        <f t="shared" si="0"/>
        <v>0</v>
      </c>
      <c r="Q16" s="32">
        <f>E16-P16</f>
        <v>0</v>
      </c>
    </row>
    <row r="17" spans="1:17" x14ac:dyDescent="0.3">
      <c r="A17" s="157"/>
      <c r="B17" s="35" t="s">
        <v>617</v>
      </c>
      <c r="C17" s="35"/>
      <c r="D17" s="35"/>
      <c r="E17" s="243">
        <f>'9b. Summary Schedules-sf'!J178</f>
        <v>0</v>
      </c>
      <c r="F17" s="243">
        <f>$E17*'11a. AF by class'!F13/'11a. AF by class'!$E13</f>
        <v>0</v>
      </c>
      <c r="G17" s="243">
        <f>$E17*'11a. AF by class'!G13/'11a. AF by class'!$E13</f>
        <v>0</v>
      </c>
      <c r="H17" s="243">
        <f>$E17*'11a. AF by class'!H13/'11a. AF by class'!$E13</f>
        <v>0</v>
      </c>
      <c r="I17" s="243">
        <f>$E17*'11a. AF by class'!I13/'11a. AF by class'!$E13</f>
        <v>0</v>
      </c>
      <c r="J17" s="243">
        <f>$E17*'11a. AF by class'!J13/'11a. AF by class'!$E13</f>
        <v>0</v>
      </c>
      <c r="K17" s="243">
        <f>$E17*'11a. AF by class'!K13/'11a. AF by class'!$E13</f>
        <v>0</v>
      </c>
      <c r="L17" s="243">
        <f>$E17*'11a. AF by class'!L13/'11a. AF by class'!$E13</f>
        <v>0</v>
      </c>
      <c r="M17" s="243">
        <f>$E17*'11a. AF by class'!M13/'11a. AF by class'!$E13</f>
        <v>0</v>
      </c>
      <c r="N17" s="244">
        <f>$E17*'11a. AF by class'!N13/'11a. AF by class'!$E13</f>
        <v>0</v>
      </c>
      <c r="P17" s="32">
        <f>SUM(F17:O17)</f>
        <v>0</v>
      </c>
      <c r="Q17" s="32">
        <f>E17-P17</f>
        <v>0</v>
      </c>
    </row>
    <row r="18" spans="1:17" x14ac:dyDescent="0.3">
      <c r="A18" s="157"/>
      <c r="B18" s="35" t="s">
        <v>972</v>
      </c>
      <c r="C18" s="35"/>
      <c r="D18" s="35"/>
      <c r="E18" s="243">
        <f>SUM(E16:E17)</f>
        <v>0</v>
      </c>
      <c r="F18" s="243">
        <f t="shared" ref="F18:N18" si="1">SUM(F16:F17)</f>
        <v>0</v>
      </c>
      <c r="G18" s="243">
        <f t="shared" si="1"/>
        <v>0</v>
      </c>
      <c r="H18" s="243">
        <f t="shared" si="1"/>
        <v>0</v>
      </c>
      <c r="I18" s="243">
        <f t="shared" si="1"/>
        <v>0</v>
      </c>
      <c r="J18" s="243">
        <f t="shared" si="1"/>
        <v>0</v>
      </c>
      <c r="K18" s="243">
        <f t="shared" si="1"/>
        <v>0</v>
      </c>
      <c r="L18" s="243">
        <f t="shared" si="1"/>
        <v>0</v>
      </c>
      <c r="M18" s="243">
        <f t="shared" si="1"/>
        <v>0</v>
      </c>
      <c r="N18" s="244">
        <f t="shared" si="1"/>
        <v>0</v>
      </c>
      <c r="P18" s="32">
        <f>SUM(F18:O18)</f>
        <v>0</v>
      </c>
      <c r="Q18" s="32">
        <f>E18-P18</f>
        <v>0</v>
      </c>
    </row>
    <row r="19" spans="1:17" x14ac:dyDescent="0.3">
      <c r="A19" s="157"/>
      <c r="B19" s="35"/>
      <c r="C19" s="35"/>
      <c r="D19" s="35"/>
      <c r="E19" s="243"/>
      <c r="F19" s="243"/>
      <c r="G19" s="243"/>
      <c r="H19" s="243"/>
      <c r="I19" s="243"/>
      <c r="J19" s="243"/>
      <c r="K19" s="243"/>
      <c r="L19" s="243"/>
      <c r="M19" s="243"/>
      <c r="N19" s="244"/>
    </row>
    <row r="20" spans="1:17" x14ac:dyDescent="0.3">
      <c r="A20" s="157" t="s">
        <v>984</v>
      </c>
      <c r="B20" s="35"/>
      <c r="C20" s="35"/>
      <c r="D20" s="35"/>
      <c r="E20" s="243">
        <f>'9b. Summary Schedules-sf'!K178</f>
        <v>0</v>
      </c>
      <c r="F20" s="243">
        <f>$E20*'11a. AF by class'!F16/'11a. AF by class'!$E16</f>
        <v>0</v>
      </c>
      <c r="G20" s="243">
        <f>$E20*'11a. AF by class'!G16/'11a. AF by class'!$E16</f>
        <v>0</v>
      </c>
      <c r="H20" s="243">
        <f>$E20*'11a. AF by class'!H16/'11a. AF by class'!$E16</f>
        <v>0</v>
      </c>
      <c r="I20" s="243">
        <f>$E20*'11a. AF by class'!I16/'11a. AF by class'!$E16</f>
        <v>0</v>
      </c>
      <c r="J20" s="243">
        <f>$E20*'11a. AF by class'!J16/'11a. AF by class'!$E16</f>
        <v>0</v>
      </c>
      <c r="K20" s="243">
        <f>$E20*'11a. AF by class'!K16/'11a. AF by class'!$E16</f>
        <v>0</v>
      </c>
      <c r="L20" s="243">
        <f>$E20*'11a. AF by class'!L16/'11a. AF by class'!$E16</f>
        <v>0</v>
      </c>
      <c r="M20" s="243">
        <f>$E20*'11a. AF by class'!M16/'11a. AF by class'!$E16</f>
        <v>0</v>
      </c>
      <c r="N20" s="244">
        <f>$E20*'11a. AF by class'!N16/'11a. AF by class'!$E16</f>
        <v>0</v>
      </c>
      <c r="P20" s="32">
        <f>SUM(F20:O20)</f>
        <v>0</v>
      </c>
      <c r="Q20" s="32">
        <f>E20-P20</f>
        <v>0</v>
      </c>
    </row>
    <row r="21" spans="1:17" x14ac:dyDescent="0.3">
      <c r="A21" s="157"/>
      <c r="B21" s="35"/>
      <c r="C21" s="35"/>
      <c r="D21" s="35"/>
      <c r="E21" s="243"/>
      <c r="F21" s="243"/>
      <c r="G21" s="243"/>
      <c r="H21" s="243"/>
      <c r="I21" s="243"/>
      <c r="J21" s="243"/>
      <c r="K21" s="243"/>
      <c r="L21" s="243"/>
      <c r="M21" s="243"/>
      <c r="N21" s="244"/>
    </row>
    <row r="22" spans="1:17" x14ac:dyDescent="0.3">
      <c r="A22" s="157" t="s">
        <v>366</v>
      </c>
      <c r="B22" s="35"/>
      <c r="C22" s="35"/>
      <c r="D22" s="35"/>
      <c r="E22" s="243">
        <f>'9b. Summary Schedules-sf'!L178</f>
        <v>0</v>
      </c>
      <c r="F22" s="243">
        <f>$E22*'11a. AF by class'!F18/'11a. AF by class'!$E18</f>
        <v>0</v>
      </c>
      <c r="G22" s="243">
        <f>$E22*'11a. AF by class'!G18/'11a. AF by class'!$E18</f>
        <v>0</v>
      </c>
      <c r="H22" s="243">
        <f>$E22*'11a. AF by class'!H18/'11a. AF by class'!$E18</f>
        <v>0</v>
      </c>
      <c r="I22" s="243">
        <f>$E22*'11a. AF by class'!I18/'11a. AF by class'!$E18</f>
        <v>0</v>
      </c>
      <c r="J22" s="243">
        <f>$E22*'11a. AF by class'!J18/'11a. AF by class'!$E18</f>
        <v>0</v>
      </c>
      <c r="K22" s="243">
        <f>$E22*'11a. AF by class'!K18/'11a. AF by class'!$E18</f>
        <v>0</v>
      </c>
      <c r="L22" s="243">
        <f>$E22*'11a. AF by class'!L18/'11a. AF by class'!$E18</f>
        <v>0</v>
      </c>
      <c r="M22" s="243">
        <f>$E22*'11a. AF by class'!M18/'11a. AF by class'!$E18</f>
        <v>0</v>
      </c>
      <c r="N22" s="244">
        <f>$E22*'11a. AF by class'!N18/'11a. AF by class'!$E18</f>
        <v>0</v>
      </c>
      <c r="P22" s="32">
        <f>SUM(F22:O22)</f>
        <v>0</v>
      </c>
      <c r="Q22" s="32">
        <f>E22-P22</f>
        <v>0</v>
      </c>
    </row>
    <row r="23" spans="1:17" x14ac:dyDescent="0.3">
      <c r="A23" s="157"/>
      <c r="B23" s="35"/>
      <c r="C23" s="35"/>
      <c r="D23" s="35"/>
      <c r="E23" s="243"/>
      <c r="F23" s="243"/>
      <c r="G23" s="243"/>
      <c r="H23" s="243"/>
      <c r="I23" s="243"/>
      <c r="J23" s="243"/>
      <c r="K23" s="243"/>
      <c r="L23" s="243"/>
      <c r="M23" s="243"/>
      <c r="N23" s="244"/>
    </row>
    <row r="24" spans="1:17" x14ac:dyDescent="0.3">
      <c r="A24" s="157" t="s">
        <v>367</v>
      </c>
      <c r="B24" s="35"/>
      <c r="C24" s="35"/>
      <c r="D24" s="35"/>
      <c r="E24" s="243"/>
      <c r="F24" s="243"/>
      <c r="G24" s="243"/>
      <c r="H24" s="243"/>
      <c r="I24" s="243"/>
      <c r="J24" s="243"/>
      <c r="K24" s="243"/>
      <c r="L24" s="243"/>
      <c r="M24" s="243"/>
      <c r="N24" s="244"/>
    </row>
    <row r="25" spans="1:17" x14ac:dyDescent="0.3">
      <c r="A25" s="157"/>
      <c r="B25" s="35" t="s">
        <v>973</v>
      </c>
      <c r="C25" s="35"/>
      <c r="D25" s="35"/>
      <c r="E25" s="243"/>
      <c r="F25" s="243"/>
      <c r="G25" s="243"/>
      <c r="H25" s="243"/>
      <c r="I25" s="243"/>
      <c r="J25" s="243"/>
      <c r="K25" s="243"/>
      <c r="L25" s="243"/>
      <c r="M25" s="243"/>
      <c r="N25" s="244"/>
    </row>
    <row r="26" spans="1:17" x14ac:dyDescent="0.3">
      <c r="A26" s="157"/>
      <c r="B26" s="35" t="s">
        <v>974</v>
      </c>
      <c r="C26" s="35"/>
      <c r="D26" s="35"/>
      <c r="E26" s="243">
        <f>'9b. Summary Schedules-sf'!N178</f>
        <v>0</v>
      </c>
      <c r="F26" s="243">
        <f>$E26*'11a. AF by class'!F22/'11a. AF by class'!$E22</f>
        <v>0</v>
      </c>
      <c r="G26" s="243">
        <f>$E26*'11a. AF by class'!G22/'11a. AF by class'!$E22</f>
        <v>0</v>
      </c>
      <c r="H26" s="243">
        <f>$E26*'11a. AF by class'!H22/'11a. AF by class'!$E22</f>
        <v>0</v>
      </c>
      <c r="I26" s="243">
        <f>$E26*'11a. AF by class'!I22/'11a. AF by class'!$E22</f>
        <v>0</v>
      </c>
      <c r="J26" s="243">
        <f>$E26*'11a. AF by class'!J22/'11a. AF by class'!$E22</f>
        <v>0</v>
      </c>
      <c r="K26" s="243">
        <f>$E26*'11a. AF by class'!K22/'11a. AF by class'!$E22</f>
        <v>0</v>
      </c>
      <c r="L26" s="243">
        <f>$E26*'11a. AF by class'!L22/'11a. AF by class'!$E22</f>
        <v>0</v>
      </c>
      <c r="M26" s="243">
        <f>$E26*'11a. AF by class'!M22/'11a. AF by class'!$E22</f>
        <v>0</v>
      </c>
      <c r="N26" s="244">
        <f>$E26*'11a. AF by class'!N22/'11a. AF by class'!$E22</f>
        <v>0</v>
      </c>
      <c r="P26" s="32">
        <f>SUM(F26:O26)</f>
        <v>0</v>
      </c>
      <c r="Q26" s="32">
        <f>E26-P26</f>
        <v>0</v>
      </c>
    </row>
    <row r="27" spans="1:17" x14ac:dyDescent="0.3">
      <c r="A27" s="157"/>
      <c r="B27" s="35" t="s">
        <v>975</v>
      </c>
      <c r="C27" s="35"/>
      <c r="D27" s="35"/>
      <c r="E27" s="243">
        <f>'9b. Summary Schedules-sf'!O178</f>
        <v>0</v>
      </c>
      <c r="F27" s="243">
        <f>$E27*'11a. AF by class'!F23/'11a. AF by class'!$E23</f>
        <v>0</v>
      </c>
      <c r="G27" s="243">
        <f>$E27*'11a. AF by class'!G23/'11a. AF by class'!$E23</f>
        <v>0</v>
      </c>
      <c r="H27" s="243">
        <f>$E27*'11a. AF by class'!H23/'11a. AF by class'!$E23</f>
        <v>0</v>
      </c>
      <c r="I27" s="243">
        <f>$E27*'11a. AF by class'!I23/'11a. AF by class'!$E23</f>
        <v>0</v>
      </c>
      <c r="J27" s="243">
        <f>$E27*'11a. AF by class'!J23/'11a. AF by class'!$E23</f>
        <v>0</v>
      </c>
      <c r="K27" s="243">
        <f>$E27*'11a. AF by class'!K23/'11a. AF by class'!$E23</f>
        <v>0</v>
      </c>
      <c r="L27" s="243">
        <f>$E27*'11a. AF by class'!L23/'11a. AF by class'!$E23</f>
        <v>0</v>
      </c>
      <c r="M27" s="243">
        <f>$E27*'11a. AF by class'!M23/'11a. AF by class'!$E23</f>
        <v>0</v>
      </c>
      <c r="N27" s="244">
        <f>$E27*'11a. AF by class'!N23/'11a. AF by class'!$E23</f>
        <v>0</v>
      </c>
      <c r="P27" s="32">
        <f>SUM(F27:O27)</f>
        <v>0</v>
      </c>
      <c r="Q27" s="32">
        <f>E27-P27</f>
        <v>0</v>
      </c>
    </row>
    <row r="28" spans="1:17" x14ac:dyDescent="0.3">
      <c r="A28" s="157"/>
      <c r="B28" s="35" t="s">
        <v>976</v>
      </c>
      <c r="C28" s="35"/>
      <c r="D28" s="35"/>
      <c r="E28" s="243">
        <f>'9b. Summary Schedules-sf'!P178</f>
        <v>0</v>
      </c>
      <c r="F28" s="243">
        <f>$E28*'11a. AF by class'!F24/'11a. AF by class'!$E24</f>
        <v>0</v>
      </c>
      <c r="G28" s="243">
        <f>$E28*'11a. AF by class'!G24/'11a. AF by class'!$E24</f>
        <v>0</v>
      </c>
      <c r="H28" s="243">
        <f>$E28*'11a. AF by class'!H24/'11a. AF by class'!$E24</f>
        <v>0</v>
      </c>
      <c r="I28" s="243">
        <f>$E28*'11a. AF by class'!I24/'11a. AF by class'!$E24</f>
        <v>0</v>
      </c>
      <c r="J28" s="243">
        <f>$E28*'11a. AF by class'!J24/'11a. AF by class'!$E24</f>
        <v>0</v>
      </c>
      <c r="K28" s="243">
        <f>$E28*'11a. AF by class'!K24/'11a. AF by class'!$E24</f>
        <v>0</v>
      </c>
      <c r="L28" s="243">
        <f>$E28*'11a. AF by class'!L24/'11a. AF by class'!$E24</f>
        <v>0</v>
      </c>
      <c r="M28" s="243">
        <f>$E28*'11a. AF by class'!M24/'11a. AF by class'!$E24</f>
        <v>0</v>
      </c>
      <c r="N28" s="244">
        <f>$E28*'11a. AF by class'!N24/'11a. AF by class'!$E24</f>
        <v>0</v>
      </c>
      <c r="P28" s="32">
        <f>SUM(F28:O28)</f>
        <v>0</v>
      </c>
      <c r="Q28" s="32">
        <f>E28-P28</f>
        <v>0</v>
      </c>
    </row>
    <row r="29" spans="1:17" x14ac:dyDescent="0.3">
      <c r="A29" s="157"/>
      <c r="B29" s="35" t="s">
        <v>931</v>
      </c>
      <c r="C29" s="35"/>
      <c r="D29" s="35"/>
      <c r="E29" s="580">
        <f>'9b. Summary Schedules-sf'!Q178</f>
        <v>0</v>
      </c>
      <c r="F29" s="580">
        <f>$E29*'11a. AF by class'!F25/'11a. AF by class'!$E25</f>
        <v>0</v>
      </c>
      <c r="G29" s="580">
        <f>$E29*'11a. AF by class'!G25/'11a. AF by class'!$E25</f>
        <v>0</v>
      </c>
      <c r="H29" s="580">
        <f>$E29*'11a. AF by class'!H25/'11a. AF by class'!$E25</f>
        <v>0</v>
      </c>
      <c r="I29" s="580">
        <f>$E29*'11a. AF by class'!I25/'11a. AF by class'!$E25</f>
        <v>0</v>
      </c>
      <c r="J29" s="580">
        <f>$E29*'11a. AF by class'!J25/'11a. AF by class'!$E25</f>
        <v>0</v>
      </c>
      <c r="K29" s="580">
        <f>$E29*'11a. AF by class'!K25/'11a. AF by class'!$E25</f>
        <v>0</v>
      </c>
      <c r="L29" s="580">
        <f>$E29*'11a. AF by class'!L25/'11a. AF by class'!$E25</f>
        <v>0</v>
      </c>
      <c r="M29" s="580">
        <f>$E29*'11a. AF by class'!M25/'11a. AF by class'!$E25</f>
        <v>0</v>
      </c>
      <c r="N29" s="600">
        <f>$E29*'11a. AF by class'!N25/'11a. AF by class'!$E25</f>
        <v>0</v>
      </c>
      <c r="P29" s="32">
        <f>SUM(F29:O29)</f>
        <v>0</v>
      </c>
      <c r="Q29" s="32">
        <f>E29-P29</f>
        <v>0</v>
      </c>
    </row>
    <row r="30" spans="1:17" x14ac:dyDescent="0.3">
      <c r="A30" s="157"/>
      <c r="B30" s="35" t="s">
        <v>977</v>
      </c>
      <c r="C30" s="35"/>
      <c r="D30" s="35"/>
      <c r="E30" s="243">
        <f>SUM(E26:E29)</f>
        <v>0</v>
      </c>
      <c r="F30" s="243">
        <f t="shared" ref="F30:N30" si="2">SUM(F26:F29)</f>
        <v>0</v>
      </c>
      <c r="G30" s="243">
        <f t="shared" si="2"/>
        <v>0</v>
      </c>
      <c r="H30" s="243">
        <f t="shared" si="2"/>
        <v>0</v>
      </c>
      <c r="I30" s="243">
        <f t="shared" si="2"/>
        <v>0</v>
      </c>
      <c r="J30" s="243">
        <f t="shared" si="2"/>
        <v>0</v>
      </c>
      <c r="K30" s="243">
        <f t="shared" si="2"/>
        <v>0</v>
      </c>
      <c r="L30" s="243">
        <f t="shared" si="2"/>
        <v>0</v>
      </c>
      <c r="M30" s="243">
        <f t="shared" si="2"/>
        <v>0</v>
      </c>
      <c r="N30" s="244">
        <f t="shared" si="2"/>
        <v>0</v>
      </c>
      <c r="P30" s="32">
        <f>SUM(F30:O30)</f>
        <v>0</v>
      </c>
      <c r="Q30" s="32">
        <f>E30-P30</f>
        <v>0</v>
      </c>
    </row>
    <row r="31" spans="1:17" x14ac:dyDescent="0.3">
      <c r="A31" s="157"/>
      <c r="B31" s="35"/>
      <c r="C31" s="35"/>
      <c r="D31" s="35"/>
      <c r="E31" s="243"/>
      <c r="F31" s="243"/>
      <c r="G31" s="243"/>
      <c r="H31" s="243"/>
      <c r="I31" s="243"/>
      <c r="J31" s="243"/>
      <c r="K31" s="243"/>
      <c r="L31" s="243"/>
      <c r="M31" s="243"/>
      <c r="N31" s="244"/>
    </row>
    <row r="32" spans="1:17" x14ac:dyDescent="0.3">
      <c r="A32" s="157"/>
      <c r="B32" s="35" t="s">
        <v>978</v>
      </c>
      <c r="C32" s="35"/>
      <c r="D32" s="35"/>
      <c r="E32" s="243"/>
      <c r="F32" s="243"/>
      <c r="G32" s="243"/>
      <c r="H32" s="243"/>
      <c r="I32" s="243"/>
      <c r="J32" s="243"/>
      <c r="K32" s="243"/>
      <c r="L32" s="243"/>
      <c r="M32" s="243"/>
      <c r="N32" s="244"/>
    </row>
    <row r="33" spans="1:17" x14ac:dyDescent="0.3">
      <c r="A33" s="157"/>
      <c r="B33" s="35" t="s">
        <v>975</v>
      </c>
      <c r="C33" s="35"/>
      <c r="D33" s="35"/>
      <c r="E33" s="243">
        <f>'9b. Summary Schedules-sf'!R178</f>
        <v>0</v>
      </c>
      <c r="F33" s="243">
        <f>$E33*'11a. AF by class'!F29/'11a. AF by class'!$E29</f>
        <v>0</v>
      </c>
      <c r="G33" s="243">
        <f>$E33*'11a. AF by class'!G29/'11a. AF by class'!$E29</f>
        <v>0</v>
      </c>
      <c r="H33" s="243">
        <f>$E33*'11a. AF by class'!H29/'11a. AF by class'!$E29</f>
        <v>0</v>
      </c>
      <c r="I33" s="243">
        <f>$E33*'11a. AF by class'!I29/'11a. AF by class'!$E29</f>
        <v>0</v>
      </c>
      <c r="J33" s="243">
        <f>$E33*'11a. AF by class'!J29/'11a. AF by class'!$E29</f>
        <v>0</v>
      </c>
      <c r="K33" s="243">
        <f>$E33*'11a. AF by class'!K29/'11a. AF by class'!$E29</f>
        <v>0</v>
      </c>
      <c r="L33" s="243">
        <f>$E33*'11a. AF by class'!L29/'11a. AF by class'!$E29</f>
        <v>0</v>
      </c>
      <c r="M33" s="243">
        <f>$E33*'11a. AF by class'!M29/'11a. AF by class'!$E29</f>
        <v>0</v>
      </c>
      <c r="N33" s="244">
        <f>$E33*'11a. AF by class'!N29/'11a. AF by class'!$E29</f>
        <v>0</v>
      </c>
      <c r="P33" s="32">
        <f t="shared" ref="P33:P39" si="3">SUM(F33:O33)</f>
        <v>0</v>
      </c>
      <c r="Q33" s="32">
        <f t="shared" ref="Q33:Q39" si="4">E33-P33</f>
        <v>0</v>
      </c>
    </row>
    <row r="34" spans="1:17" x14ac:dyDescent="0.3">
      <c r="A34" s="157"/>
      <c r="B34" s="35" t="s">
        <v>976</v>
      </c>
      <c r="C34" s="35"/>
      <c r="D34" s="35"/>
      <c r="E34" s="243">
        <f>'9b. Summary Schedules-sf'!S178</f>
        <v>0</v>
      </c>
      <c r="F34" s="243">
        <f>$E34*'11a. AF by class'!F30/'11a. AF by class'!$E30</f>
        <v>0</v>
      </c>
      <c r="G34" s="243">
        <f>$E34*'11a. AF by class'!G30/'11a. AF by class'!$E30</f>
        <v>0</v>
      </c>
      <c r="H34" s="243">
        <f>$E34*'11a. AF by class'!H30/'11a. AF by class'!$E30</f>
        <v>0</v>
      </c>
      <c r="I34" s="243">
        <f>$E34*'11a. AF by class'!I30/'11a. AF by class'!$E30</f>
        <v>0</v>
      </c>
      <c r="J34" s="243">
        <f>$E34*'11a. AF by class'!J30/'11a. AF by class'!$E30</f>
        <v>0</v>
      </c>
      <c r="K34" s="243">
        <f>$E34*'11a. AF by class'!K30/'11a. AF by class'!$E30</f>
        <v>0</v>
      </c>
      <c r="L34" s="243">
        <f>$E34*'11a. AF by class'!L30/'11a. AF by class'!$E30</f>
        <v>0</v>
      </c>
      <c r="M34" s="243">
        <f>$E34*'11a. AF by class'!M30/'11a. AF by class'!$E30</f>
        <v>0</v>
      </c>
      <c r="N34" s="244">
        <f>$E34*'11a. AF by class'!N30/'11a. AF by class'!$E30</f>
        <v>0</v>
      </c>
      <c r="P34" s="32">
        <f t="shared" si="3"/>
        <v>0</v>
      </c>
      <c r="Q34" s="32">
        <f t="shared" si="4"/>
        <v>0</v>
      </c>
    </row>
    <row r="35" spans="1:17" x14ac:dyDescent="0.3">
      <c r="A35" s="157"/>
      <c r="B35" s="35" t="s">
        <v>931</v>
      </c>
      <c r="C35" s="35"/>
      <c r="D35" s="35"/>
      <c r="E35" s="243">
        <f>'9b. Summary Schedules-sf'!T178</f>
        <v>0</v>
      </c>
      <c r="F35" s="243">
        <f>$E35*'11a. AF by class'!F31/'11a. AF by class'!$E31</f>
        <v>0</v>
      </c>
      <c r="G35" s="243">
        <f>$E35*'11a. AF by class'!G31/'11a. AF by class'!$E31</f>
        <v>0</v>
      </c>
      <c r="H35" s="243">
        <f>$E35*'11a. AF by class'!H31/'11a. AF by class'!$E31</f>
        <v>0</v>
      </c>
      <c r="I35" s="243">
        <f>$E35*'11a. AF by class'!I31/'11a. AF by class'!$E31</f>
        <v>0</v>
      </c>
      <c r="J35" s="243">
        <f>$E35*'11a. AF by class'!J31/'11a. AF by class'!$E31</f>
        <v>0</v>
      </c>
      <c r="K35" s="243">
        <f>$E35*'11a. AF by class'!K31/'11a. AF by class'!$E31</f>
        <v>0</v>
      </c>
      <c r="L35" s="243">
        <f>$E35*'11a. AF by class'!L31/'11a. AF by class'!$E31</f>
        <v>0</v>
      </c>
      <c r="M35" s="243">
        <f>$E35*'11a. AF by class'!M31/'11a. AF by class'!$E31</f>
        <v>0</v>
      </c>
      <c r="N35" s="244">
        <f>$E35*'11a. AF by class'!N31/'11a. AF by class'!$E31</f>
        <v>0</v>
      </c>
      <c r="P35" s="32">
        <f t="shared" si="3"/>
        <v>0</v>
      </c>
      <c r="Q35" s="32">
        <f t="shared" si="4"/>
        <v>0</v>
      </c>
    </row>
    <row r="36" spans="1:17" x14ac:dyDescent="0.3">
      <c r="A36" s="157"/>
      <c r="B36" s="35" t="s">
        <v>456</v>
      </c>
      <c r="C36" s="35"/>
      <c r="D36" s="35"/>
      <c r="E36" s="243">
        <f>'9b. Summary Schedules-sf'!U178</f>
        <v>0</v>
      </c>
      <c r="F36" s="243">
        <f>$E36*'11a. AF by class'!F32/'11a. AF by class'!$E32</f>
        <v>0</v>
      </c>
      <c r="G36" s="243">
        <f>$E36*'11a. AF by class'!G32/'11a. AF by class'!$E32</f>
        <v>0</v>
      </c>
      <c r="H36" s="243">
        <f>$E36*'11a. AF by class'!H32/'11a. AF by class'!$E32</f>
        <v>0</v>
      </c>
      <c r="I36" s="243">
        <f>$E36*'11a. AF by class'!I32/'11a. AF by class'!$E32</f>
        <v>0</v>
      </c>
      <c r="J36" s="243">
        <f>$E36*'11a. AF by class'!J32/'11a. AF by class'!$E32</f>
        <v>0</v>
      </c>
      <c r="K36" s="243">
        <f>$E36*'11a. AF by class'!K32/'11a. AF by class'!$E32</f>
        <v>0</v>
      </c>
      <c r="L36" s="243">
        <f>$E36*'11a. AF by class'!L32/'11a. AF by class'!$E32</f>
        <v>0</v>
      </c>
      <c r="M36" s="243">
        <f>$E36*'11a. AF by class'!M32/'11a. AF by class'!$E32</f>
        <v>0</v>
      </c>
      <c r="N36" s="244">
        <f>$E36*'11a. AF by class'!N32/'11a. AF by class'!$E32</f>
        <v>0</v>
      </c>
      <c r="P36" s="32">
        <f t="shared" si="3"/>
        <v>0</v>
      </c>
      <c r="Q36" s="32">
        <f t="shared" si="4"/>
        <v>0</v>
      </c>
    </row>
    <row r="37" spans="1:17" x14ac:dyDescent="0.3">
      <c r="A37" s="157"/>
      <c r="B37" s="35" t="s">
        <v>932</v>
      </c>
      <c r="C37" s="35"/>
      <c r="D37" s="35"/>
      <c r="E37" s="243">
        <f>'9b. Summary Schedules-sf'!V178</f>
        <v>0</v>
      </c>
      <c r="F37" s="243">
        <f>$E37*'11a. AF by class'!F33/'11a. AF by class'!$E33</f>
        <v>0</v>
      </c>
      <c r="G37" s="243">
        <f>$E37*'11a. AF by class'!G33/'11a. AF by class'!$E33</f>
        <v>0</v>
      </c>
      <c r="H37" s="243">
        <f>$E37*'11a. AF by class'!H33/'11a. AF by class'!$E33</f>
        <v>0</v>
      </c>
      <c r="I37" s="243">
        <f>$E37*'11a. AF by class'!I33/'11a. AF by class'!$E33</f>
        <v>0</v>
      </c>
      <c r="J37" s="243">
        <f>$E37*'11a. AF by class'!J33/'11a. AF by class'!$E33</f>
        <v>0</v>
      </c>
      <c r="K37" s="243">
        <f>$E37*'11a. AF by class'!K33/'11a. AF by class'!$E33</f>
        <v>0</v>
      </c>
      <c r="L37" s="243">
        <f>$E37*'11a. AF by class'!L33/'11a. AF by class'!$E33</f>
        <v>0</v>
      </c>
      <c r="M37" s="243">
        <f>$E37*'11a. AF by class'!M33/'11a. AF by class'!$E33</f>
        <v>0</v>
      </c>
      <c r="N37" s="244">
        <f>$E37*'11a. AF by class'!N33/'11a. AF by class'!$E33</f>
        <v>0</v>
      </c>
      <c r="P37" s="32">
        <f t="shared" si="3"/>
        <v>0</v>
      </c>
      <c r="Q37" s="32">
        <f t="shared" si="4"/>
        <v>0</v>
      </c>
    </row>
    <row r="38" spans="1:17" x14ac:dyDescent="0.3">
      <c r="A38" s="157"/>
      <c r="B38" s="35" t="s">
        <v>1013</v>
      </c>
      <c r="C38" s="35"/>
      <c r="D38" s="35"/>
      <c r="E38" s="580">
        <f>'9b. Summary Schedules-sf'!W178</f>
        <v>0</v>
      </c>
      <c r="F38" s="580">
        <f>$E38*'11a. AF by class'!F34/'11a. AF by class'!$E34</f>
        <v>0</v>
      </c>
      <c r="G38" s="580">
        <f>$E38*'11a. AF by class'!G34/'11a. AF by class'!$E34</f>
        <v>0</v>
      </c>
      <c r="H38" s="580">
        <f>$E38*'11a. AF by class'!H34/'11a. AF by class'!$E34</f>
        <v>0</v>
      </c>
      <c r="I38" s="580">
        <f>$E38*'11a. AF by class'!I34/'11a. AF by class'!$E34</f>
        <v>0</v>
      </c>
      <c r="J38" s="580">
        <f>$E38*'11a. AF by class'!J34/'11a. AF by class'!$E34</f>
        <v>0</v>
      </c>
      <c r="K38" s="580">
        <f>$E38*'11a. AF by class'!K34/'11a. AF by class'!$E34</f>
        <v>0</v>
      </c>
      <c r="L38" s="580">
        <f>$E38*'11a. AF by class'!L34/'11a. AF by class'!$E34</f>
        <v>0</v>
      </c>
      <c r="M38" s="580">
        <f>$E38*'11a. AF by class'!M34/'11a. AF by class'!$E34</f>
        <v>0</v>
      </c>
      <c r="N38" s="600">
        <f>$E38*'11a. AF by class'!N34/'11a. AF by class'!$E34</f>
        <v>0</v>
      </c>
      <c r="P38" s="32">
        <f>SUM(F38:O38)</f>
        <v>0</v>
      </c>
      <c r="Q38" s="32">
        <f>E38-P38</f>
        <v>0</v>
      </c>
    </row>
    <row r="39" spans="1:17" x14ac:dyDescent="0.3">
      <c r="A39" s="157"/>
      <c r="B39" s="35" t="s">
        <v>979</v>
      </c>
      <c r="C39" s="35"/>
      <c r="D39" s="35"/>
      <c r="E39" s="243">
        <f t="shared" ref="E39:N39" si="5">SUM(E33:E38)</f>
        <v>0</v>
      </c>
      <c r="F39" s="243">
        <f t="shared" si="5"/>
        <v>0</v>
      </c>
      <c r="G39" s="243">
        <f t="shared" si="5"/>
        <v>0</v>
      </c>
      <c r="H39" s="243">
        <f t="shared" si="5"/>
        <v>0</v>
      </c>
      <c r="I39" s="243">
        <f t="shared" si="5"/>
        <v>0</v>
      </c>
      <c r="J39" s="243">
        <f t="shared" si="5"/>
        <v>0</v>
      </c>
      <c r="K39" s="243">
        <f t="shared" si="5"/>
        <v>0</v>
      </c>
      <c r="L39" s="243">
        <f t="shared" si="5"/>
        <v>0</v>
      </c>
      <c r="M39" s="243">
        <f t="shared" si="5"/>
        <v>0</v>
      </c>
      <c r="N39" s="244">
        <f t="shared" si="5"/>
        <v>0</v>
      </c>
      <c r="P39" s="32">
        <f t="shared" si="3"/>
        <v>0</v>
      </c>
      <c r="Q39" s="32">
        <f t="shared" si="4"/>
        <v>0</v>
      </c>
    </row>
    <row r="40" spans="1:17" x14ac:dyDescent="0.3">
      <c r="A40" s="157"/>
      <c r="B40" s="35"/>
      <c r="C40" s="35"/>
      <c r="D40" s="35"/>
      <c r="E40" s="243"/>
      <c r="F40" s="243"/>
      <c r="G40" s="243"/>
      <c r="H40" s="243"/>
      <c r="I40" s="243"/>
      <c r="J40" s="243"/>
      <c r="K40" s="243"/>
      <c r="L40" s="243"/>
      <c r="M40" s="243"/>
      <c r="N40" s="244"/>
    </row>
    <row r="41" spans="1:17" x14ac:dyDescent="0.3">
      <c r="A41" s="157"/>
      <c r="B41" s="35" t="s">
        <v>543</v>
      </c>
      <c r="C41" s="35"/>
      <c r="D41" s="35"/>
      <c r="E41" s="243">
        <f t="shared" ref="E41:N41" si="6">SUM(E30,E39)</f>
        <v>0</v>
      </c>
      <c r="F41" s="243">
        <f t="shared" si="6"/>
        <v>0</v>
      </c>
      <c r="G41" s="243">
        <f t="shared" si="6"/>
        <v>0</v>
      </c>
      <c r="H41" s="243">
        <f t="shared" si="6"/>
        <v>0</v>
      </c>
      <c r="I41" s="243">
        <f t="shared" si="6"/>
        <v>0</v>
      </c>
      <c r="J41" s="243">
        <f t="shared" si="6"/>
        <v>0</v>
      </c>
      <c r="K41" s="243">
        <f t="shared" si="6"/>
        <v>0</v>
      </c>
      <c r="L41" s="243">
        <f t="shared" si="6"/>
        <v>0</v>
      </c>
      <c r="M41" s="243">
        <f t="shared" si="6"/>
        <v>0</v>
      </c>
      <c r="N41" s="244">
        <f t="shared" si="6"/>
        <v>0</v>
      </c>
      <c r="P41" s="32">
        <f>SUM(F41:O41)</f>
        <v>0</v>
      </c>
      <c r="Q41" s="32">
        <f>E41-P41</f>
        <v>0</v>
      </c>
    </row>
    <row r="42" spans="1:17" x14ac:dyDescent="0.3">
      <c r="A42" s="157"/>
      <c r="B42" s="35"/>
      <c r="C42" s="35"/>
      <c r="D42" s="35"/>
      <c r="E42" s="243"/>
      <c r="F42" s="243"/>
      <c r="G42" s="243"/>
      <c r="H42" s="243"/>
      <c r="I42" s="243"/>
      <c r="J42" s="243"/>
      <c r="K42" s="243"/>
      <c r="L42" s="243"/>
      <c r="M42" s="243"/>
      <c r="N42" s="244"/>
    </row>
    <row r="43" spans="1:17" x14ac:dyDescent="0.3">
      <c r="A43" s="157" t="s">
        <v>907</v>
      </c>
      <c r="B43" s="35"/>
      <c r="C43" s="35"/>
      <c r="D43" s="35"/>
      <c r="E43" s="243"/>
      <c r="F43" s="243"/>
      <c r="G43" s="243"/>
      <c r="H43" s="243"/>
      <c r="I43" s="243"/>
      <c r="J43" s="243"/>
      <c r="K43" s="243"/>
      <c r="L43" s="243"/>
      <c r="M43" s="243"/>
      <c r="N43" s="244"/>
    </row>
    <row r="44" spans="1:17" x14ac:dyDescent="0.3">
      <c r="A44" s="157"/>
      <c r="B44" s="35" t="s">
        <v>907</v>
      </c>
      <c r="C44" s="35"/>
      <c r="D44" s="35"/>
      <c r="E44" s="243">
        <f>'9b. Summary Schedules-sf'!Y178</f>
        <v>0</v>
      </c>
      <c r="F44" s="243">
        <f>$E44*'11a. AF by class'!F40/'11a. AF by class'!$E40</f>
        <v>0</v>
      </c>
      <c r="G44" s="243">
        <f>$E44*'11a. AF by class'!G40/'11a. AF by class'!$E40</f>
        <v>0</v>
      </c>
      <c r="H44" s="243">
        <f>$E44*'11a. AF by class'!H40/'11a. AF by class'!$E40</f>
        <v>0</v>
      </c>
      <c r="I44" s="243">
        <f>$E44*'11a. AF by class'!I40/'11a. AF by class'!$E40</f>
        <v>0</v>
      </c>
      <c r="J44" s="243">
        <f>$E44*'11a. AF by class'!J40/'11a. AF by class'!$E40</f>
        <v>0</v>
      </c>
      <c r="K44" s="243">
        <f>$E44*'11a. AF by class'!K40/'11a. AF by class'!$E40</f>
        <v>0</v>
      </c>
      <c r="L44" s="243">
        <f>$E44*'11a. AF by class'!L40/'11a. AF by class'!$E40</f>
        <v>0</v>
      </c>
      <c r="M44" s="243">
        <f>$E44*'11a. AF by class'!M40/'11a. AF by class'!$E40</f>
        <v>0</v>
      </c>
      <c r="N44" s="244">
        <f>$E44*'11a. AF by class'!N40/'11a. AF by class'!$E40</f>
        <v>0</v>
      </c>
      <c r="P44" s="32">
        <f>SUM(F44:O44)</f>
        <v>0</v>
      </c>
      <c r="Q44" s="32">
        <f>E44-P44</f>
        <v>0</v>
      </c>
    </row>
    <row r="45" spans="1:17" x14ac:dyDescent="0.3">
      <c r="A45" s="157"/>
      <c r="B45" s="35" t="s">
        <v>996</v>
      </c>
      <c r="C45" s="35"/>
      <c r="D45" s="35"/>
      <c r="E45" s="580">
        <f>'9b. Summary Schedules-sf'!Z178</f>
        <v>0</v>
      </c>
      <c r="F45" s="580">
        <f>$E45*'11a. AF by class'!F41/'11a. AF by class'!$E41</f>
        <v>0</v>
      </c>
      <c r="G45" s="580">
        <f>$E45*'11a. AF by class'!G41/'11a. AF by class'!$E41</f>
        <v>0</v>
      </c>
      <c r="H45" s="580">
        <f>$E45*'11a. AF by class'!H41/'11a. AF by class'!$E41</f>
        <v>0</v>
      </c>
      <c r="I45" s="580">
        <f>$E45*'11a. AF by class'!I41/'11a. AF by class'!$E41</f>
        <v>0</v>
      </c>
      <c r="J45" s="580">
        <f>$E45*'11a. AF by class'!J41/'11a. AF by class'!$E41</f>
        <v>0</v>
      </c>
      <c r="K45" s="580">
        <f>$E45*'11a. AF by class'!K41/'11a. AF by class'!$E41</f>
        <v>0</v>
      </c>
      <c r="L45" s="580">
        <f>$E45*'11a. AF by class'!L41/'11a. AF by class'!$E41</f>
        <v>0</v>
      </c>
      <c r="M45" s="580">
        <f>$E45*'11a. AF by class'!M41/'11a. AF by class'!$E41</f>
        <v>0</v>
      </c>
      <c r="N45" s="600">
        <f>$E45*'11a. AF by class'!N41/'11a. AF by class'!$E41</f>
        <v>0</v>
      </c>
      <c r="P45" s="32">
        <f>SUM(F45:O45)</f>
        <v>0</v>
      </c>
      <c r="Q45" s="32">
        <f>E45-P45</f>
        <v>0</v>
      </c>
    </row>
    <row r="46" spans="1:17" x14ac:dyDescent="0.3">
      <c r="A46" s="157"/>
      <c r="B46" s="35" t="s">
        <v>997</v>
      </c>
      <c r="C46" s="35"/>
      <c r="D46" s="35"/>
      <c r="E46" s="243">
        <f>E44+E45</f>
        <v>0</v>
      </c>
      <c r="F46" s="243">
        <f t="shared" ref="F46:N46" si="7">SUM(F44:F45)</f>
        <v>0</v>
      </c>
      <c r="G46" s="243">
        <f t="shared" si="7"/>
        <v>0</v>
      </c>
      <c r="H46" s="243">
        <f t="shared" si="7"/>
        <v>0</v>
      </c>
      <c r="I46" s="243">
        <f t="shared" si="7"/>
        <v>0</v>
      </c>
      <c r="J46" s="243">
        <f t="shared" si="7"/>
        <v>0</v>
      </c>
      <c r="K46" s="243">
        <f t="shared" si="7"/>
        <v>0</v>
      </c>
      <c r="L46" s="243">
        <f t="shared" si="7"/>
        <v>0</v>
      </c>
      <c r="M46" s="243">
        <f t="shared" si="7"/>
        <v>0</v>
      </c>
      <c r="N46" s="244">
        <f t="shared" si="7"/>
        <v>0</v>
      </c>
    </row>
    <row r="47" spans="1:17" x14ac:dyDescent="0.3">
      <c r="A47" s="157"/>
      <c r="B47" s="35"/>
      <c r="C47" s="35"/>
      <c r="D47" s="35"/>
      <c r="E47" s="243"/>
      <c r="F47" s="243"/>
      <c r="G47" s="243"/>
      <c r="H47" s="243"/>
      <c r="I47" s="243"/>
      <c r="J47" s="243"/>
      <c r="K47" s="243"/>
      <c r="L47" s="243"/>
      <c r="M47" s="243"/>
      <c r="N47" s="244"/>
    </row>
    <row r="48" spans="1:17" x14ac:dyDescent="0.3">
      <c r="A48" s="157" t="s">
        <v>84</v>
      </c>
      <c r="B48" s="35"/>
      <c r="C48" s="35"/>
      <c r="D48" s="35"/>
      <c r="E48" s="243">
        <f>'9b. Summary Schedules-sf'!AA178</f>
        <v>0</v>
      </c>
      <c r="F48" s="243">
        <f>$E48*'11a. AF by class'!F44/'11a. AF by class'!$E44</f>
        <v>0</v>
      </c>
      <c r="G48" s="243">
        <f>$E48*'11a. AF by class'!G44/'11a. AF by class'!$E44</f>
        <v>0</v>
      </c>
      <c r="H48" s="243">
        <f>$E48*'11a. AF by class'!H44/'11a. AF by class'!$E44</f>
        <v>0</v>
      </c>
      <c r="I48" s="243">
        <f>$E48*'11a. AF by class'!I44/'11a. AF by class'!$E44</f>
        <v>0</v>
      </c>
      <c r="J48" s="243">
        <f>$E48*'11a. AF by class'!J44/'11a. AF by class'!$E44</f>
        <v>0</v>
      </c>
      <c r="K48" s="243">
        <f>$E48*'11a. AF by class'!K44/'11a. AF by class'!$E44</f>
        <v>0</v>
      </c>
      <c r="L48" s="243">
        <f>$E48*'11a. AF by class'!L44/'11a. AF by class'!$E44</f>
        <v>0</v>
      </c>
      <c r="M48" s="243">
        <f>$E48*'11a. AF by class'!M44/'11a. AF by class'!$E44</f>
        <v>0</v>
      </c>
      <c r="N48" s="244">
        <f>$E48*'11a. AF by class'!N44/'11a. AF by class'!$E44</f>
        <v>0</v>
      </c>
      <c r="P48" s="32">
        <f>SUM(F48:O48)</f>
        <v>0</v>
      </c>
      <c r="Q48" s="32">
        <f>E48-P48</f>
        <v>0</v>
      </c>
    </row>
    <row r="49" spans="1:17" x14ac:dyDescent="0.3">
      <c r="A49" s="157"/>
      <c r="B49" s="35"/>
      <c r="C49" s="35"/>
      <c r="D49" s="35"/>
      <c r="E49" s="243"/>
      <c r="F49" s="243"/>
      <c r="G49" s="243"/>
      <c r="H49" s="243"/>
      <c r="I49" s="243"/>
      <c r="J49" s="243"/>
      <c r="K49" s="243"/>
      <c r="L49" s="243"/>
      <c r="M49" s="243"/>
      <c r="N49" s="244"/>
    </row>
    <row r="50" spans="1:17" x14ac:dyDescent="0.3">
      <c r="A50" s="157" t="s">
        <v>82</v>
      </c>
      <c r="B50" s="35"/>
      <c r="C50" s="35"/>
      <c r="D50" s="35"/>
      <c r="E50" s="243"/>
      <c r="F50" s="243"/>
      <c r="G50" s="243"/>
      <c r="H50" s="243"/>
      <c r="I50" s="243"/>
      <c r="J50" s="243"/>
      <c r="K50" s="243"/>
      <c r="L50" s="243"/>
      <c r="M50" s="243"/>
      <c r="N50" s="244"/>
    </row>
    <row r="51" spans="1:17" x14ac:dyDescent="0.3">
      <c r="A51" s="157"/>
      <c r="B51" s="35" t="s">
        <v>81</v>
      </c>
      <c r="C51" s="35"/>
      <c r="D51" s="35"/>
      <c r="E51" s="243">
        <f>'9b. Summary Schedules-sf'!AC178</f>
        <v>0</v>
      </c>
      <c r="F51" s="243">
        <f>$E51*'11a. AF by class'!F47/'11a. AF by class'!$E47</f>
        <v>0</v>
      </c>
      <c r="G51" s="243">
        <f>$E51*'11a. AF by class'!G47/'11a. AF by class'!$E47</f>
        <v>0</v>
      </c>
      <c r="H51" s="243">
        <f>$E51*'11a. AF by class'!H47/'11a. AF by class'!$E47</f>
        <v>0</v>
      </c>
      <c r="I51" s="243">
        <f>$E51*'11a. AF by class'!I47/'11a. AF by class'!$E47</f>
        <v>0</v>
      </c>
      <c r="J51" s="243">
        <f>$E51*'11a. AF by class'!J47/'11a. AF by class'!$E47</f>
        <v>0</v>
      </c>
      <c r="K51" s="243">
        <f>$E51*'11a. AF by class'!K47/'11a. AF by class'!$E47</f>
        <v>0</v>
      </c>
      <c r="L51" s="243">
        <f>$E51*'11a. AF by class'!L47/'11a. AF by class'!$E47</f>
        <v>0</v>
      </c>
      <c r="M51" s="243">
        <f>$E51*'11a. AF by class'!M47/'11a. AF by class'!$E47</f>
        <v>0</v>
      </c>
      <c r="N51" s="244">
        <f>$E51*'11a. AF by class'!N47/'11a. AF by class'!$E47</f>
        <v>0</v>
      </c>
      <c r="P51" s="32">
        <f>SUM(F51:O51)</f>
        <v>0</v>
      </c>
      <c r="Q51" s="32">
        <f>E51-P51</f>
        <v>0</v>
      </c>
    </row>
    <row r="52" spans="1:17" x14ac:dyDescent="0.3">
      <c r="A52" s="157"/>
      <c r="B52" s="35" t="s">
        <v>1007</v>
      </c>
      <c r="C52" s="35"/>
      <c r="D52" s="35"/>
      <c r="E52" s="243">
        <f>'9b. Summary Schedules-sf'!AD178</f>
        <v>0</v>
      </c>
      <c r="F52" s="243">
        <f>$E52*'11a. AF by class'!F48/'11a. AF by class'!$E48</f>
        <v>0</v>
      </c>
      <c r="G52" s="243">
        <f>$E52*'11a. AF by class'!G48/'11a. AF by class'!$E48</f>
        <v>0</v>
      </c>
      <c r="H52" s="243">
        <f>$E52*'11a. AF by class'!H48/'11a. AF by class'!$E48</f>
        <v>0</v>
      </c>
      <c r="I52" s="243">
        <f>$E52*'11a. AF by class'!I48/'11a. AF by class'!$E48</f>
        <v>0</v>
      </c>
      <c r="J52" s="243">
        <f>$E52*'11a. AF by class'!J48/'11a. AF by class'!$E48</f>
        <v>0</v>
      </c>
      <c r="K52" s="243">
        <f>$E52*'11a. AF by class'!K48/'11a. AF by class'!$E48</f>
        <v>0</v>
      </c>
      <c r="L52" s="243">
        <f>$E52*'11a. AF by class'!L48/'11a. AF by class'!$E48</f>
        <v>0</v>
      </c>
      <c r="M52" s="243">
        <f>$E52*'11a. AF by class'!M48/'11a. AF by class'!$E48</f>
        <v>0</v>
      </c>
      <c r="N52" s="244">
        <f>$E52*'11a. AF by class'!N48/'11a. AF by class'!$E48</f>
        <v>0</v>
      </c>
      <c r="P52" s="32">
        <f>SUM(F52:O52)</f>
        <v>0</v>
      </c>
      <c r="Q52" s="32">
        <f>E52-P52</f>
        <v>0</v>
      </c>
    </row>
    <row r="53" spans="1:17" x14ac:dyDescent="0.3">
      <c r="A53" s="157"/>
      <c r="B53" s="35" t="s">
        <v>1008</v>
      </c>
      <c r="C53" s="35"/>
      <c r="D53" s="35"/>
      <c r="E53" s="580">
        <f>'9b. Summary Schedules-sf'!AE178</f>
        <v>0</v>
      </c>
      <c r="F53" s="580">
        <f>$E53*'11a. AF by class'!F49/'11a. AF by class'!$E49</f>
        <v>0</v>
      </c>
      <c r="G53" s="580">
        <f>$E53*'11a. AF by class'!G49/'11a. AF by class'!$E49</f>
        <v>0</v>
      </c>
      <c r="H53" s="580">
        <f>$E53*'11a. AF by class'!H49/'11a. AF by class'!$E49</f>
        <v>0</v>
      </c>
      <c r="I53" s="580">
        <f>$E53*'11a. AF by class'!I49/'11a. AF by class'!$E49</f>
        <v>0</v>
      </c>
      <c r="J53" s="580">
        <f>$E53*'11a. AF by class'!J49/'11a. AF by class'!$E49</f>
        <v>0</v>
      </c>
      <c r="K53" s="580">
        <f>$E53*'11a. AF by class'!K49/'11a. AF by class'!$E49</f>
        <v>0</v>
      </c>
      <c r="L53" s="580">
        <f>$E53*'11a. AF by class'!L49/'11a. AF by class'!$E49</f>
        <v>0</v>
      </c>
      <c r="M53" s="580">
        <f>$E53*'11a. AF by class'!M49/'11a. AF by class'!$E49</f>
        <v>0</v>
      </c>
      <c r="N53" s="600">
        <f>$E53*'11a. AF by class'!N49/'11a. AF by class'!$E49</f>
        <v>0</v>
      </c>
      <c r="P53" s="32">
        <f>SUM(F53:O53)</f>
        <v>0</v>
      </c>
      <c r="Q53" s="32">
        <f>E53-P53</f>
        <v>0</v>
      </c>
    </row>
    <row r="54" spans="1:17" x14ac:dyDescent="0.3">
      <c r="A54" s="157"/>
      <c r="B54" s="35" t="s">
        <v>83</v>
      </c>
      <c r="C54" s="35"/>
      <c r="D54" s="35"/>
      <c r="E54" s="243">
        <f t="shared" ref="E54:N54" si="8">SUM(E51:E53)</f>
        <v>0</v>
      </c>
      <c r="F54" s="243">
        <f t="shared" si="8"/>
        <v>0</v>
      </c>
      <c r="G54" s="243">
        <f t="shared" si="8"/>
        <v>0</v>
      </c>
      <c r="H54" s="243">
        <f t="shared" si="8"/>
        <v>0</v>
      </c>
      <c r="I54" s="243">
        <f t="shared" si="8"/>
        <v>0</v>
      </c>
      <c r="J54" s="243">
        <f t="shared" si="8"/>
        <v>0</v>
      </c>
      <c r="K54" s="243">
        <f t="shared" si="8"/>
        <v>0</v>
      </c>
      <c r="L54" s="243">
        <f t="shared" si="8"/>
        <v>0</v>
      </c>
      <c r="M54" s="243">
        <f t="shared" si="8"/>
        <v>0</v>
      </c>
      <c r="N54" s="244">
        <f t="shared" si="8"/>
        <v>0</v>
      </c>
      <c r="P54" s="32">
        <f>SUM(F54:O54)</f>
        <v>0</v>
      </c>
      <c r="Q54" s="32">
        <f>E54-P54</f>
        <v>0</v>
      </c>
    </row>
    <row r="55" spans="1:17" x14ac:dyDescent="0.3">
      <c r="A55" s="157"/>
      <c r="B55" s="35"/>
      <c r="C55" s="35"/>
      <c r="D55" s="35"/>
      <c r="E55" s="243"/>
      <c r="F55" s="243"/>
      <c r="G55" s="243"/>
      <c r="H55" s="243"/>
      <c r="I55" s="243"/>
      <c r="J55" s="243"/>
      <c r="K55" s="243"/>
      <c r="L55" s="243"/>
      <c r="M55" s="243"/>
      <c r="N55" s="244"/>
    </row>
    <row r="56" spans="1:17" x14ac:dyDescent="0.3">
      <c r="A56" s="157" t="s">
        <v>912</v>
      </c>
      <c r="B56" s="35"/>
      <c r="C56" s="35"/>
      <c r="D56" s="53"/>
      <c r="E56" s="243"/>
      <c r="F56" s="243"/>
      <c r="G56" s="243"/>
      <c r="H56" s="243"/>
      <c r="I56" s="243"/>
      <c r="J56" s="243"/>
      <c r="K56" s="243"/>
      <c r="L56" s="243"/>
      <c r="M56" s="243"/>
      <c r="N56" s="244"/>
    </row>
    <row r="57" spans="1:17" x14ac:dyDescent="0.3">
      <c r="A57" s="157"/>
      <c r="B57" s="35" t="s">
        <v>1006</v>
      </c>
      <c r="C57" s="35"/>
      <c r="D57" s="53"/>
      <c r="E57" s="580">
        <f>'9b. Summary Schedules-sf'!AG178</f>
        <v>0</v>
      </c>
      <c r="F57" s="580">
        <f>$E57*'11a. AF by class'!F53/'11a. AF by class'!$E53</f>
        <v>0</v>
      </c>
      <c r="G57" s="580">
        <f>$E57*'11a. AF by class'!G53/'11a. AF by class'!$E53</f>
        <v>0</v>
      </c>
      <c r="H57" s="580">
        <f>$E57*'11a. AF by class'!H53/'11a. AF by class'!$E53</f>
        <v>0</v>
      </c>
      <c r="I57" s="580">
        <f>$E57*'11a. AF by class'!I53/'11a. AF by class'!$E53</f>
        <v>0</v>
      </c>
      <c r="J57" s="580">
        <f>$E57*'11a. AF by class'!J53/'11a. AF by class'!$E53</f>
        <v>0</v>
      </c>
      <c r="K57" s="580">
        <f>$E57*'11a. AF by class'!K53/'11a. AF by class'!$E53</f>
        <v>0</v>
      </c>
      <c r="L57" s="580">
        <f>$E57*'11a. AF by class'!L53/'11a. AF by class'!$E53</f>
        <v>0</v>
      </c>
      <c r="M57" s="580">
        <f>$E57*'11a. AF by class'!M53/'11a. AF by class'!$E53</f>
        <v>0</v>
      </c>
      <c r="N57" s="600">
        <f>$E57*'11a. AF by class'!N53/'11a. AF by class'!$E53</f>
        <v>0</v>
      </c>
      <c r="P57" s="32">
        <f>SUM(F57:O57)</f>
        <v>0</v>
      </c>
      <c r="Q57" s="32">
        <f>E57-P57</f>
        <v>0</v>
      </c>
    </row>
    <row r="58" spans="1:17" x14ac:dyDescent="0.3">
      <c r="A58" s="157"/>
      <c r="B58" s="35" t="s">
        <v>1014</v>
      </c>
      <c r="C58" s="35"/>
      <c r="D58" s="53"/>
      <c r="E58" s="243">
        <f t="shared" ref="E58:N58" si="9">SUM(E57:E57)</f>
        <v>0</v>
      </c>
      <c r="F58" s="243">
        <f t="shared" si="9"/>
        <v>0</v>
      </c>
      <c r="G58" s="243">
        <f t="shared" si="9"/>
        <v>0</v>
      </c>
      <c r="H58" s="243">
        <f t="shared" si="9"/>
        <v>0</v>
      </c>
      <c r="I58" s="243">
        <f t="shared" si="9"/>
        <v>0</v>
      </c>
      <c r="J58" s="243">
        <f t="shared" si="9"/>
        <v>0</v>
      </c>
      <c r="K58" s="243">
        <f t="shared" si="9"/>
        <v>0</v>
      </c>
      <c r="L58" s="243">
        <f t="shared" si="9"/>
        <v>0</v>
      </c>
      <c r="M58" s="243">
        <f t="shared" si="9"/>
        <v>0</v>
      </c>
      <c r="N58" s="244">
        <f t="shared" si="9"/>
        <v>0</v>
      </c>
      <c r="P58" s="32">
        <f>SUM(F58:O58)</f>
        <v>0</v>
      </c>
      <c r="Q58" s="32">
        <f>E58-P58</f>
        <v>0</v>
      </c>
    </row>
    <row r="59" spans="1:17" x14ac:dyDescent="0.3">
      <c r="A59" s="157"/>
      <c r="B59" s="35"/>
      <c r="C59" s="35"/>
      <c r="D59" s="35"/>
      <c r="E59" s="243"/>
      <c r="F59" s="243"/>
      <c r="G59" s="243"/>
      <c r="H59" s="243"/>
      <c r="I59" s="243"/>
      <c r="J59" s="243"/>
      <c r="K59" s="243"/>
      <c r="L59" s="243"/>
      <c r="M59" s="243"/>
      <c r="N59" s="244"/>
    </row>
    <row r="60" spans="1:17" x14ac:dyDescent="0.3">
      <c r="A60" s="157" t="s">
        <v>913</v>
      </c>
      <c r="B60" s="35"/>
      <c r="C60" s="35"/>
      <c r="D60" s="35"/>
      <c r="E60" s="243">
        <f>'9b. Summary Schedules-sf'!AH178</f>
        <v>110145.61295881959</v>
      </c>
      <c r="F60" s="243">
        <f>$E60*'11a. AF by class'!F56/'11a. AF by class'!$E56</f>
        <v>43807.662721611974</v>
      </c>
      <c r="G60" s="243">
        <f>$E60*'11a. AF by class'!G56/'11a. AF by class'!$E56</f>
        <v>11230.163002329291</v>
      </c>
      <c r="H60" s="243">
        <f>$E60*'11a. AF by class'!H56/'11a. AF by class'!$E56</f>
        <v>25825.611780957526</v>
      </c>
      <c r="I60" s="243">
        <f>$E60*'11a. AF by class'!I56/'11a. AF by class'!$E56</f>
        <v>14524.143888920531</v>
      </c>
      <c r="J60" s="243">
        <f>$E60*'11a. AF by class'!J56/'11a. AF by class'!$E56</f>
        <v>6299.7547977854301</v>
      </c>
      <c r="K60" s="243">
        <f>$E60*'11a. AF by class'!K56/'11a. AF by class'!$E56</f>
        <v>8458.0713330350027</v>
      </c>
      <c r="L60" s="243">
        <f>$E60*'11a. AF by class'!L56/'11a. AF by class'!$E56</f>
        <v>0</v>
      </c>
      <c r="M60" s="243">
        <f>$E60*'11a. AF by class'!M56/'11a. AF by class'!$E56</f>
        <v>0</v>
      </c>
      <c r="N60" s="244">
        <f>$E60*'11a. AF by class'!N56/'11a. AF by class'!$E56</f>
        <v>0.20543417982309536</v>
      </c>
      <c r="P60" s="32">
        <f>SUM(F60:O60)</f>
        <v>110145.61295881956</v>
      </c>
      <c r="Q60" s="32">
        <f>E60-P60</f>
        <v>0</v>
      </c>
    </row>
    <row r="61" spans="1:17" x14ac:dyDescent="0.3">
      <c r="A61" s="157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158"/>
    </row>
    <row r="62" spans="1:17" x14ac:dyDescent="0.3">
      <c r="A62" s="157" t="s">
        <v>999</v>
      </c>
      <c r="B62" s="35"/>
      <c r="C62" s="35"/>
      <c r="D62" s="35"/>
      <c r="E62" s="35">
        <f>SUM(E18,E20,E22,E41,E46,E48,E54,E58,E60)</f>
        <v>110145.61295881959</v>
      </c>
      <c r="F62" s="35">
        <f t="shared" ref="F62:N62" si="10">SUM(F18,F20,F22,F41,F46,F48,F54,F58,F60)</f>
        <v>43807.662721611974</v>
      </c>
      <c r="G62" s="35">
        <f t="shared" si="10"/>
        <v>11230.163002329291</v>
      </c>
      <c r="H62" s="35">
        <f t="shared" si="10"/>
        <v>25825.611780957526</v>
      </c>
      <c r="I62" s="35">
        <f t="shared" si="10"/>
        <v>14524.143888920531</v>
      </c>
      <c r="J62" s="35">
        <f t="shared" si="10"/>
        <v>6299.7547977854301</v>
      </c>
      <c r="K62" s="35">
        <f t="shared" si="10"/>
        <v>8458.0713330350027</v>
      </c>
      <c r="L62" s="35">
        <f t="shared" si="10"/>
        <v>0</v>
      </c>
      <c r="M62" s="35">
        <f t="shared" si="10"/>
        <v>0</v>
      </c>
      <c r="N62" s="158">
        <f t="shared" si="10"/>
        <v>0.20543417982309536</v>
      </c>
      <c r="P62" s="32">
        <f>SUM(F62:O62)</f>
        <v>110145.61295881956</v>
      </c>
      <c r="Q62" s="32">
        <f>E62-P62</f>
        <v>0</v>
      </c>
    </row>
    <row r="63" spans="1:17" ht="13.5" thickBot="1" x14ac:dyDescent="0.35">
      <c r="A63" s="33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161"/>
    </row>
  </sheetData>
  <customSheetViews>
    <customSheetView guid="{121E4431-22F3-11D5-8242-00600818425F}" scale="75" showRuler="0">
      <pane xSplit="2" ySplit="7" topLeftCell="C8" activePane="bottomRight" state="frozen"/>
      <selection pane="bottomRight" activeCell="E11" sqref="E11"/>
      <pageMargins left="0" right="0" top="0.5" bottom="0.4" header="0.2" footer="0.2"/>
      <printOptions horizontalCentered="1" gridLines="1"/>
      <pageSetup scale="65" orientation="landscape" horizontalDpi="300" vertic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showRuler="0">
      <pane xSplit="2" ySplit="7" topLeftCell="C8" activePane="bottomRight" state="frozen"/>
      <selection pane="bottomRight" activeCell="E11" sqref="E11"/>
      <pageMargins left="0" right="0" top="0.5" bottom="0.4" header="0.2" footer="0.2"/>
      <printOptions horizontalCentered="1" gridLines="1"/>
      <pageSetup scale="65" orientation="landscape" horizontalDpi="300" vertic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showRuler="0">
      <pane xSplit="2" ySplit="7" topLeftCell="C8" activePane="bottomRight" state="frozen"/>
      <selection pane="bottomRight" activeCell="E11" sqref="E11"/>
      <pageMargins left="0" right="0" top="0.5" bottom="0.4" header="0.2" footer="0.2"/>
      <printOptions horizontalCentered="1" gridLines="1"/>
      <pageSetup scale="65" orientation="landscape" horizontalDpi="300" verticalDpi="30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65" orientation="landscape" horizontalDpi="300" verticalDpi="300" r:id="rId4"/>
  <headerFooter alignWithMargins="0">
    <oddFooter>&amp;L&amp;8&amp;F&amp;C&amp;8&amp;A
page &amp;P&amp;R&amp;8&amp;D
&amp;T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BB63"/>
  <sheetViews>
    <sheetView zoomScale="75" zoomScaleNormal="75" workbookViewId="0">
      <pane xSplit="2" ySplit="7" topLeftCell="C8" activePane="bottomRight" state="frozen"/>
      <selection activeCell="C9" sqref="C9"/>
      <selection pane="topRight" activeCell="C9" sqref="C9"/>
      <selection pane="bottomLeft" activeCell="C9" sqref="C9"/>
      <selection pane="bottomRight" activeCell="C8" sqref="C8"/>
    </sheetView>
  </sheetViews>
  <sheetFormatPr defaultColWidth="9.1796875" defaultRowHeight="13" x14ac:dyDescent="0.3"/>
  <cols>
    <col min="1" max="1" width="4.54296875" style="32" customWidth="1"/>
    <col min="2" max="2" width="32.1796875" style="32" customWidth="1"/>
    <col min="3" max="3" width="12.81640625" style="32" customWidth="1"/>
    <col min="4" max="4" width="11.453125" style="32" customWidth="1"/>
    <col min="5" max="8" width="15" style="32" customWidth="1"/>
    <col min="9" max="16" width="12.54296875" style="32" customWidth="1"/>
    <col min="17" max="17" width="12.453125" style="32" customWidth="1"/>
    <col min="18" max="18" width="13.81640625" style="32" customWidth="1"/>
    <col min="19" max="20" width="9.1796875" style="32"/>
    <col min="21" max="21" width="11.453125" style="32" bestFit="1" customWidth="1"/>
    <col min="22" max="22" width="8.54296875" style="32" bestFit="1" customWidth="1"/>
    <col min="23" max="16384" width="9.1796875" style="32"/>
  </cols>
  <sheetData>
    <row r="1" spans="1:54" x14ac:dyDescent="0.3">
      <c r="A1" s="301" t="str">
        <f>'1. RB-i'!$A$1</f>
        <v>CPS Energy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3"/>
      <c r="O1" s="42"/>
      <c r="P1" s="42"/>
      <c r="S1" s="1"/>
      <c r="T1" s="1"/>
    </row>
    <row r="2" spans="1:54" x14ac:dyDescent="0.3">
      <c r="A2" s="307" t="s">
        <v>1259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98"/>
      <c r="O2" s="35"/>
      <c r="P2" s="35"/>
    </row>
    <row r="3" spans="1:54" x14ac:dyDescent="0.3">
      <c r="A3" s="307" t="str">
        <f>'10h. Int-CD by class'!A3</f>
        <v>Based on FYE 2017 Test Year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98"/>
      <c r="O3" s="31"/>
      <c r="P3" s="31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</row>
    <row r="4" spans="1:54" s="5" customFormat="1" x14ac:dyDescent="0.3">
      <c r="A4" s="304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305"/>
    </row>
    <row r="5" spans="1:54" s="5" customFormat="1" x14ac:dyDescent="0.3">
      <c r="A5" s="304"/>
      <c r="B5" s="196"/>
      <c r="C5" s="196"/>
      <c r="D5" s="196"/>
      <c r="E5" s="196"/>
      <c r="F5" s="196"/>
      <c r="G5" s="196"/>
      <c r="H5" s="199"/>
      <c r="I5" s="199"/>
      <c r="J5" s="199"/>
      <c r="K5" s="196"/>
      <c r="L5" s="196"/>
      <c r="M5" s="196"/>
      <c r="N5" s="305"/>
      <c r="P5" s="5" t="s">
        <v>832</v>
      </c>
    </row>
    <row r="6" spans="1:54" s="5" customFormat="1" x14ac:dyDescent="0.3">
      <c r="A6" s="304"/>
      <c r="B6" s="196"/>
      <c r="C6" s="196" t="s">
        <v>359</v>
      </c>
      <c r="D6" s="196"/>
      <c r="E6" s="196" t="s">
        <v>355</v>
      </c>
      <c r="F6" s="196" t="s">
        <v>961</v>
      </c>
      <c r="G6" s="196" t="s">
        <v>962</v>
      </c>
      <c r="H6" s="196" t="s">
        <v>963</v>
      </c>
      <c r="I6" s="196" t="s">
        <v>964</v>
      </c>
      <c r="J6" s="196" t="s">
        <v>965</v>
      </c>
      <c r="K6" s="196" t="s">
        <v>966</v>
      </c>
      <c r="L6" s="196" t="s">
        <v>967</v>
      </c>
      <c r="M6" s="196" t="s">
        <v>968</v>
      </c>
      <c r="N6" s="305" t="s">
        <v>932</v>
      </c>
      <c r="P6" s="5" t="s">
        <v>833</v>
      </c>
      <c r="Q6" s="5" t="s">
        <v>824</v>
      </c>
    </row>
    <row r="7" spans="1:54" s="5" customFormat="1" ht="13.5" thickBot="1" x14ac:dyDescent="0.35">
      <c r="A7" s="299"/>
      <c r="B7" s="282"/>
      <c r="C7" s="282"/>
      <c r="D7" s="282"/>
      <c r="E7" s="282" t="s">
        <v>816</v>
      </c>
      <c r="F7" s="282" t="s">
        <v>817</v>
      </c>
      <c r="G7" s="282" t="s">
        <v>818</v>
      </c>
      <c r="H7" s="282" t="s">
        <v>819</v>
      </c>
      <c r="I7" s="282" t="s">
        <v>820</v>
      </c>
      <c r="J7" s="282" t="s">
        <v>821</v>
      </c>
      <c r="K7" s="282" t="s">
        <v>822</v>
      </c>
      <c r="L7" s="282" t="s">
        <v>823</v>
      </c>
      <c r="M7" s="282" t="s">
        <v>908</v>
      </c>
      <c r="N7" s="300" t="s">
        <v>914</v>
      </c>
    </row>
    <row r="8" spans="1:54" x14ac:dyDescent="0.3">
      <c r="A8" s="157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158"/>
      <c r="O8" s="35"/>
      <c r="P8" s="35"/>
    </row>
    <row r="9" spans="1:54" x14ac:dyDescent="0.3">
      <c r="A9" s="157" t="s">
        <v>544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158"/>
    </row>
    <row r="10" spans="1:54" x14ac:dyDescent="0.3">
      <c r="A10" s="157"/>
      <c r="B10" s="35" t="s">
        <v>969</v>
      </c>
      <c r="C10" s="35"/>
      <c r="D10" s="35"/>
      <c r="E10" s="243">
        <f>'9b. Summary Schedules-sf'!E179</f>
        <v>0</v>
      </c>
      <c r="F10" s="243">
        <f>$E10*'11a. AF by class'!F10/'11a. AF by class'!$E10</f>
        <v>0</v>
      </c>
      <c r="G10" s="243">
        <f>$E10*'11a. AF by class'!G10/'11a. AF by class'!$E10</f>
        <v>0</v>
      </c>
      <c r="H10" s="243">
        <f>$E10*'11a. AF by class'!H10/'11a. AF by class'!$E10</f>
        <v>0</v>
      </c>
      <c r="I10" s="243">
        <f>$E10*'11a. AF by class'!I10/'11a. AF by class'!$E10</f>
        <v>0</v>
      </c>
      <c r="J10" s="243">
        <f>$E10*'11a. AF by class'!J10/'11a. AF by class'!$E10</f>
        <v>0</v>
      </c>
      <c r="K10" s="243">
        <f>$E10*'11a. AF by class'!K10/'11a. AF by class'!$E10</f>
        <v>0</v>
      </c>
      <c r="L10" s="243">
        <f>$E10*'11a. AF by class'!L10/'11a. AF by class'!$E10</f>
        <v>0</v>
      </c>
      <c r="M10" s="243">
        <f>$E10*'11a. AF by class'!M10/'11a. AF by class'!$E10</f>
        <v>0</v>
      </c>
      <c r="N10" s="244">
        <f>$E10*'11a. AF by class'!N10/'11a. AF by class'!$E10</f>
        <v>0</v>
      </c>
      <c r="P10" s="32">
        <f>SUM(F10:O10)</f>
        <v>0</v>
      </c>
      <c r="Q10" s="32">
        <f>E10-P10</f>
        <v>0</v>
      </c>
    </row>
    <row r="11" spans="1:54" x14ac:dyDescent="0.3">
      <c r="A11" s="157"/>
      <c r="B11" s="35" t="s">
        <v>1140</v>
      </c>
      <c r="C11" s="35"/>
      <c r="D11" s="35"/>
      <c r="E11" s="642"/>
      <c r="F11" s="642"/>
      <c r="G11" s="642"/>
      <c r="H11" s="642"/>
      <c r="I11" s="642"/>
      <c r="J11" s="642"/>
      <c r="K11" s="642"/>
      <c r="L11" s="642"/>
      <c r="M11" s="642"/>
      <c r="N11" s="643"/>
      <c r="O11" s="641"/>
      <c r="P11" s="641"/>
    </row>
    <row r="12" spans="1:54" x14ac:dyDescent="0.3">
      <c r="A12" s="157"/>
      <c r="B12" s="35" t="s">
        <v>1139</v>
      </c>
      <c r="C12" s="35"/>
      <c r="D12" s="35"/>
      <c r="E12" s="642"/>
      <c r="F12" s="642"/>
      <c r="G12" s="642"/>
      <c r="H12" s="642"/>
      <c r="I12" s="642"/>
      <c r="J12" s="642"/>
      <c r="K12" s="642"/>
      <c r="L12" s="642"/>
      <c r="M12" s="642"/>
      <c r="N12" s="643"/>
      <c r="O12" s="641"/>
      <c r="P12" s="641"/>
    </row>
    <row r="13" spans="1:54" x14ac:dyDescent="0.3">
      <c r="A13" s="157"/>
      <c r="B13" s="35" t="s">
        <v>947</v>
      </c>
      <c r="C13" s="35"/>
      <c r="D13" s="35"/>
      <c r="E13" s="642"/>
      <c r="F13" s="642"/>
      <c r="G13" s="642"/>
      <c r="H13" s="642"/>
      <c r="I13" s="642"/>
      <c r="J13" s="642"/>
      <c r="K13" s="642"/>
      <c r="L13" s="642"/>
      <c r="M13" s="642"/>
      <c r="N13" s="643"/>
      <c r="O13" s="641"/>
      <c r="P13" s="641"/>
    </row>
    <row r="14" spans="1:54" x14ac:dyDescent="0.3">
      <c r="A14" s="157"/>
      <c r="B14" s="35"/>
      <c r="C14" s="35"/>
      <c r="D14" s="35"/>
      <c r="E14" s="243"/>
      <c r="F14" s="243"/>
      <c r="G14" s="243"/>
      <c r="H14" s="243"/>
      <c r="I14" s="243"/>
      <c r="J14" s="243"/>
      <c r="K14" s="243"/>
      <c r="L14" s="243"/>
      <c r="M14" s="243"/>
      <c r="N14" s="244"/>
    </row>
    <row r="15" spans="1:54" x14ac:dyDescent="0.3">
      <c r="A15" s="157"/>
      <c r="B15" s="35" t="s">
        <v>970</v>
      </c>
      <c r="C15" s="35"/>
      <c r="D15" s="35"/>
      <c r="E15" s="243">
        <f>'9b. Summary Schedules-sf'!I179</f>
        <v>0</v>
      </c>
      <c r="F15" s="243">
        <f>$E15*'11a. AF by class'!F11/'11a. AF by class'!$E11</f>
        <v>0</v>
      </c>
      <c r="G15" s="243">
        <f>$E15*'11a. AF by class'!G11/'11a. AF by class'!$E11</f>
        <v>0</v>
      </c>
      <c r="H15" s="243">
        <f>$E15*'11a. AF by class'!H11/'11a. AF by class'!$E11</f>
        <v>0</v>
      </c>
      <c r="I15" s="243">
        <f>$E15*'11a. AF by class'!I11/'11a. AF by class'!$E11</f>
        <v>0</v>
      </c>
      <c r="J15" s="243">
        <f>$E15*'11a. AF by class'!J11/'11a. AF by class'!$E11</f>
        <v>0</v>
      </c>
      <c r="K15" s="243">
        <f>$E15*'11a. AF by class'!K11/'11a. AF by class'!$E11</f>
        <v>0</v>
      </c>
      <c r="L15" s="243">
        <f>$E15*'11a. AF by class'!L11/'11a. AF by class'!$E11</f>
        <v>0</v>
      </c>
      <c r="M15" s="243">
        <f>$E15*'11a. AF by class'!M11/'11a. AF by class'!$E11</f>
        <v>0</v>
      </c>
      <c r="N15" s="244">
        <f>$E15*'11a. AF by class'!N11/'11a. AF by class'!$E11</f>
        <v>0</v>
      </c>
      <c r="P15" s="32">
        <f>SUM(F15:O15)</f>
        <v>0</v>
      </c>
      <c r="Q15" s="32">
        <f>E15-P15</f>
        <v>0</v>
      </c>
    </row>
    <row r="16" spans="1:54" x14ac:dyDescent="0.3">
      <c r="A16" s="157"/>
      <c r="B16" s="35" t="s">
        <v>971</v>
      </c>
      <c r="C16" s="35"/>
      <c r="D16" s="35"/>
      <c r="E16" s="35">
        <f>E10+E15</f>
        <v>0</v>
      </c>
      <c r="F16" s="35">
        <f t="shared" ref="F16:P16" si="0">F10+F15</f>
        <v>0</v>
      </c>
      <c r="G16" s="35">
        <f t="shared" si="0"/>
        <v>0</v>
      </c>
      <c r="H16" s="35">
        <f t="shared" si="0"/>
        <v>0</v>
      </c>
      <c r="I16" s="35">
        <f t="shared" si="0"/>
        <v>0</v>
      </c>
      <c r="J16" s="35">
        <f t="shared" si="0"/>
        <v>0</v>
      </c>
      <c r="K16" s="35">
        <f t="shared" si="0"/>
        <v>0</v>
      </c>
      <c r="L16" s="35">
        <f t="shared" si="0"/>
        <v>0</v>
      </c>
      <c r="M16" s="35">
        <f t="shared" si="0"/>
        <v>0</v>
      </c>
      <c r="N16" s="158">
        <f t="shared" si="0"/>
        <v>0</v>
      </c>
      <c r="O16" s="35"/>
      <c r="P16" s="35">
        <f t="shared" si="0"/>
        <v>0</v>
      </c>
      <c r="Q16" s="32">
        <f>E16-P16</f>
        <v>0</v>
      </c>
    </row>
    <row r="17" spans="1:17" x14ac:dyDescent="0.3">
      <c r="A17" s="157"/>
      <c r="B17" s="35" t="s">
        <v>617</v>
      </c>
      <c r="C17" s="35"/>
      <c r="D17" s="35"/>
      <c r="E17" s="243">
        <f>'9b. Summary Schedules-sf'!J179</f>
        <v>0</v>
      </c>
      <c r="F17" s="243">
        <f>$E17*'11a. AF by class'!F13/'11a. AF by class'!$E13</f>
        <v>0</v>
      </c>
      <c r="G17" s="243">
        <f>$E17*'11a. AF by class'!G13/'11a. AF by class'!$E13</f>
        <v>0</v>
      </c>
      <c r="H17" s="243">
        <f>$E17*'11a. AF by class'!H13/'11a. AF by class'!$E13</f>
        <v>0</v>
      </c>
      <c r="I17" s="243">
        <f>$E17*'11a. AF by class'!I13/'11a. AF by class'!$E13</f>
        <v>0</v>
      </c>
      <c r="J17" s="243">
        <f>$E17*'11a. AF by class'!J13/'11a. AF by class'!$E13</f>
        <v>0</v>
      </c>
      <c r="K17" s="243">
        <f>$E17*'11a. AF by class'!K13/'11a. AF by class'!$E13</f>
        <v>0</v>
      </c>
      <c r="L17" s="243">
        <f>$E17*'11a. AF by class'!L13/'11a. AF by class'!$E13</f>
        <v>0</v>
      </c>
      <c r="M17" s="243">
        <f>$E17*'11a. AF by class'!M13/'11a. AF by class'!$E13</f>
        <v>0</v>
      </c>
      <c r="N17" s="244">
        <f>$E17*'11a. AF by class'!N13/'11a. AF by class'!$E13</f>
        <v>0</v>
      </c>
      <c r="P17" s="32">
        <f>SUM(F17:O17)</f>
        <v>0</v>
      </c>
      <c r="Q17" s="32">
        <f>E17-P17</f>
        <v>0</v>
      </c>
    </row>
    <row r="18" spans="1:17" x14ac:dyDescent="0.3">
      <c r="A18" s="157"/>
      <c r="B18" s="35" t="s">
        <v>972</v>
      </c>
      <c r="C18" s="35"/>
      <c r="D18" s="35"/>
      <c r="E18" s="243">
        <f>SUM(E16:E17)</f>
        <v>0</v>
      </c>
      <c r="F18" s="243">
        <f t="shared" ref="F18:N18" si="1">SUM(F16:F17)</f>
        <v>0</v>
      </c>
      <c r="G18" s="243">
        <f t="shared" si="1"/>
        <v>0</v>
      </c>
      <c r="H18" s="243">
        <f t="shared" si="1"/>
        <v>0</v>
      </c>
      <c r="I18" s="243">
        <f t="shared" si="1"/>
        <v>0</v>
      </c>
      <c r="J18" s="243">
        <f t="shared" si="1"/>
        <v>0</v>
      </c>
      <c r="K18" s="243">
        <f t="shared" si="1"/>
        <v>0</v>
      </c>
      <c r="L18" s="243">
        <f t="shared" si="1"/>
        <v>0</v>
      </c>
      <c r="M18" s="243">
        <f t="shared" si="1"/>
        <v>0</v>
      </c>
      <c r="N18" s="244">
        <f t="shared" si="1"/>
        <v>0</v>
      </c>
      <c r="P18" s="32">
        <f>SUM(F18:O18)</f>
        <v>0</v>
      </c>
      <c r="Q18" s="32">
        <f>E18-P18</f>
        <v>0</v>
      </c>
    </row>
    <row r="19" spans="1:17" x14ac:dyDescent="0.3">
      <c r="A19" s="157"/>
      <c r="B19" s="35"/>
      <c r="C19" s="35"/>
      <c r="D19" s="35"/>
      <c r="E19" s="243"/>
      <c r="F19" s="243"/>
      <c r="G19" s="243"/>
      <c r="H19" s="243"/>
      <c r="I19" s="243"/>
      <c r="J19" s="243"/>
      <c r="K19" s="243"/>
      <c r="L19" s="243"/>
      <c r="M19" s="243"/>
      <c r="N19" s="244"/>
    </row>
    <row r="20" spans="1:17" x14ac:dyDescent="0.3">
      <c r="A20" s="157" t="s">
        <v>984</v>
      </c>
      <c r="B20" s="35"/>
      <c r="C20" s="35"/>
      <c r="D20" s="35"/>
      <c r="E20" s="243">
        <f>'9b. Summary Schedules-sf'!K179</f>
        <v>26741243.059999999</v>
      </c>
      <c r="F20" s="243">
        <f>$E20*'11a. AF by class'!F16/'11a. AF by class'!$E16</f>
        <v>10645154.037324799</v>
      </c>
      <c r="G20" s="243">
        <f>$E20*'11a. AF by class'!G16/'11a. AF by class'!$E16</f>
        <v>3156268.9183717999</v>
      </c>
      <c r="H20" s="243">
        <f>$E20*'11a. AF by class'!H16/'11a. AF by class'!$E16</f>
        <v>5590256.8616930004</v>
      </c>
      <c r="I20" s="243">
        <f>$E20*'11a. AF by class'!I16/'11a. AF by class'!$E16</f>
        <v>3279813.4613089999</v>
      </c>
      <c r="J20" s="243">
        <f>$E20*'11a. AF by class'!J16/'11a. AF by class'!$E16</f>
        <v>1378511.079743</v>
      </c>
      <c r="K20" s="243">
        <f>$E20*'11a. AF by class'!K16/'11a. AF by class'!$E16</f>
        <v>2042228.7324921996</v>
      </c>
      <c r="L20" s="243">
        <f>$E20*'11a. AF by class'!L16/'11a. AF by class'!$E16</f>
        <v>531615.91203279991</v>
      </c>
      <c r="M20" s="243">
        <f>$E20*'11a. AF by class'!M16/'11a. AF by class'!$E16</f>
        <v>2941.5367366</v>
      </c>
      <c r="N20" s="244">
        <f>$E20*'11a. AF by class'!N16/'11a. AF by class'!$E16</f>
        <v>114452.52029679999</v>
      </c>
      <c r="P20" s="32">
        <f>SUM(F20:O20)</f>
        <v>26741243.060000006</v>
      </c>
      <c r="Q20" s="32">
        <f>E20-P20</f>
        <v>0</v>
      </c>
    </row>
    <row r="21" spans="1:17" x14ac:dyDescent="0.3">
      <c r="A21" s="157"/>
      <c r="B21" s="35"/>
      <c r="C21" s="35"/>
      <c r="D21" s="35"/>
      <c r="E21" s="243"/>
      <c r="F21" s="243"/>
      <c r="G21" s="243"/>
      <c r="H21" s="243"/>
      <c r="I21" s="243"/>
      <c r="J21" s="243"/>
      <c r="K21" s="243"/>
      <c r="L21" s="243"/>
      <c r="M21" s="243"/>
      <c r="N21" s="244"/>
    </row>
    <row r="22" spans="1:17" x14ac:dyDescent="0.3">
      <c r="A22" s="157" t="s">
        <v>366</v>
      </c>
      <c r="B22" s="35"/>
      <c r="C22" s="35"/>
      <c r="D22" s="35"/>
      <c r="E22" s="243">
        <f>'9b. Summary Schedules-sf'!L179</f>
        <v>0</v>
      </c>
      <c r="F22" s="243">
        <f>$E22*'11a. AF by class'!F18/'11a. AF by class'!$E18</f>
        <v>0</v>
      </c>
      <c r="G22" s="243">
        <f>$E22*'11a. AF by class'!G18/'11a. AF by class'!$E18</f>
        <v>0</v>
      </c>
      <c r="H22" s="243">
        <f>$E22*'11a. AF by class'!H18/'11a. AF by class'!$E18</f>
        <v>0</v>
      </c>
      <c r="I22" s="243">
        <f>$E22*'11a. AF by class'!I18/'11a. AF by class'!$E18</f>
        <v>0</v>
      </c>
      <c r="J22" s="243">
        <f>$E22*'11a. AF by class'!J18/'11a. AF by class'!$E18</f>
        <v>0</v>
      </c>
      <c r="K22" s="243">
        <f>$E22*'11a. AF by class'!K18/'11a. AF by class'!$E18</f>
        <v>0</v>
      </c>
      <c r="L22" s="243">
        <f>$E22*'11a. AF by class'!L18/'11a. AF by class'!$E18</f>
        <v>0</v>
      </c>
      <c r="M22" s="243">
        <f>$E22*'11a. AF by class'!M18/'11a. AF by class'!$E18</f>
        <v>0</v>
      </c>
      <c r="N22" s="244">
        <f>$E22*'11a. AF by class'!N18/'11a. AF by class'!$E18</f>
        <v>0</v>
      </c>
      <c r="P22" s="32">
        <f>SUM(F22:O22)</f>
        <v>0</v>
      </c>
      <c r="Q22" s="32">
        <f>E22-P22</f>
        <v>0</v>
      </c>
    </row>
    <row r="23" spans="1:17" x14ac:dyDescent="0.3">
      <c r="A23" s="157"/>
      <c r="B23" s="35"/>
      <c r="C23" s="35"/>
      <c r="D23" s="35"/>
      <c r="E23" s="243"/>
      <c r="F23" s="243"/>
      <c r="G23" s="243"/>
      <c r="H23" s="243"/>
      <c r="I23" s="243"/>
      <c r="J23" s="243"/>
      <c r="K23" s="243"/>
      <c r="L23" s="243"/>
      <c r="M23" s="243"/>
      <c r="N23" s="244"/>
    </row>
    <row r="24" spans="1:17" x14ac:dyDescent="0.3">
      <c r="A24" s="157" t="s">
        <v>367</v>
      </c>
      <c r="B24" s="35"/>
      <c r="C24" s="35"/>
      <c r="D24" s="35"/>
      <c r="E24" s="243"/>
      <c r="F24" s="243"/>
      <c r="G24" s="243"/>
      <c r="H24" s="243"/>
      <c r="I24" s="243"/>
      <c r="J24" s="243"/>
      <c r="K24" s="243"/>
      <c r="L24" s="243"/>
      <c r="M24" s="243"/>
      <c r="N24" s="244"/>
    </row>
    <row r="25" spans="1:17" x14ac:dyDescent="0.3">
      <c r="A25" s="157"/>
      <c r="B25" s="35" t="s">
        <v>973</v>
      </c>
      <c r="C25" s="35"/>
      <c r="D25" s="35"/>
      <c r="E25" s="243"/>
      <c r="F25" s="243"/>
      <c r="G25" s="243"/>
      <c r="H25" s="243"/>
      <c r="I25" s="243"/>
      <c r="J25" s="243"/>
      <c r="K25" s="243"/>
      <c r="L25" s="243"/>
      <c r="M25" s="243"/>
      <c r="N25" s="244"/>
    </row>
    <row r="26" spans="1:17" x14ac:dyDescent="0.3">
      <c r="A26" s="157"/>
      <c r="B26" s="35" t="s">
        <v>974</v>
      </c>
      <c r="C26" s="35"/>
      <c r="D26" s="35"/>
      <c r="E26" s="243">
        <f>'9b. Summary Schedules-sf'!N179</f>
        <v>0</v>
      </c>
      <c r="F26" s="243">
        <f>$E26*'11a. AF by class'!F22/'11a. AF by class'!$E22</f>
        <v>0</v>
      </c>
      <c r="G26" s="243">
        <f>$E26*'11a. AF by class'!G22/'11a. AF by class'!$E22</f>
        <v>0</v>
      </c>
      <c r="H26" s="243">
        <f>$E26*'11a. AF by class'!H22/'11a. AF by class'!$E22</f>
        <v>0</v>
      </c>
      <c r="I26" s="243">
        <f>$E26*'11a. AF by class'!I22/'11a. AF by class'!$E22</f>
        <v>0</v>
      </c>
      <c r="J26" s="243">
        <f>$E26*'11a. AF by class'!J22/'11a. AF by class'!$E22</f>
        <v>0</v>
      </c>
      <c r="K26" s="243">
        <f>$E26*'11a. AF by class'!K22/'11a. AF by class'!$E22</f>
        <v>0</v>
      </c>
      <c r="L26" s="243">
        <f>$E26*'11a. AF by class'!L22/'11a. AF by class'!$E22</f>
        <v>0</v>
      </c>
      <c r="M26" s="243">
        <f>$E26*'11a. AF by class'!M22/'11a. AF by class'!$E22</f>
        <v>0</v>
      </c>
      <c r="N26" s="244">
        <f>$E26*'11a. AF by class'!N22/'11a. AF by class'!$E22</f>
        <v>0</v>
      </c>
      <c r="P26" s="32">
        <f>SUM(F26:O26)</f>
        <v>0</v>
      </c>
      <c r="Q26" s="32">
        <f>E26-P26</f>
        <v>0</v>
      </c>
    </row>
    <row r="27" spans="1:17" x14ac:dyDescent="0.3">
      <c r="A27" s="157"/>
      <c r="B27" s="35" t="s">
        <v>975</v>
      </c>
      <c r="C27" s="35"/>
      <c r="D27" s="35"/>
      <c r="E27" s="243">
        <f>'9b. Summary Schedules-sf'!O179</f>
        <v>0</v>
      </c>
      <c r="F27" s="243">
        <f>$E27*'11a. AF by class'!F23/'11a. AF by class'!$E23</f>
        <v>0</v>
      </c>
      <c r="G27" s="243">
        <f>$E27*'11a. AF by class'!G23/'11a. AF by class'!$E23</f>
        <v>0</v>
      </c>
      <c r="H27" s="243">
        <f>$E27*'11a. AF by class'!H23/'11a. AF by class'!$E23</f>
        <v>0</v>
      </c>
      <c r="I27" s="243">
        <f>$E27*'11a. AF by class'!I23/'11a. AF by class'!$E23</f>
        <v>0</v>
      </c>
      <c r="J27" s="243">
        <f>$E27*'11a. AF by class'!J23/'11a. AF by class'!$E23</f>
        <v>0</v>
      </c>
      <c r="K27" s="243">
        <f>$E27*'11a. AF by class'!K23/'11a. AF by class'!$E23</f>
        <v>0</v>
      </c>
      <c r="L27" s="243">
        <f>$E27*'11a. AF by class'!L23/'11a. AF by class'!$E23</f>
        <v>0</v>
      </c>
      <c r="M27" s="243">
        <f>$E27*'11a. AF by class'!M23/'11a. AF by class'!$E23</f>
        <v>0</v>
      </c>
      <c r="N27" s="244">
        <f>$E27*'11a. AF by class'!N23/'11a. AF by class'!$E23</f>
        <v>0</v>
      </c>
      <c r="P27" s="32">
        <f>SUM(F27:O27)</f>
        <v>0</v>
      </c>
      <c r="Q27" s="32">
        <f>E27-P27</f>
        <v>0</v>
      </c>
    </row>
    <row r="28" spans="1:17" x14ac:dyDescent="0.3">
      <c r="A28" s="157"/>
      <c r="B28" s="35" t="s">
        <v>976</v>
      </c>
      <c r="C28" s="35"/>
      <c r="D28" s="35"/>
      <c r="E28" s="243">
        <f>'9b. Summary Schedules-sf'!P179</f>
        <v>0</v>
      </c>
      <c r="F28" s="243">
        <f>$E28*'11a. AF by class'!F24/'11a. AF by class'!$E24</f>
        <v>0</v>
      </c>
      <c r="G28" s="243">
        <f>$E28*'11a. AF by class'!G24/'11a. AF by class'!$E24</f>
        <v>0</v>
      </c>
      <c r="H28" s="243">
        <f>$E28*'11a. AF by class'!H24/'11a. AF by class'!$E24</f>
        <v>0</v>
      </c>
      <c r="I28" s="243">
        <f>$E28*'11a. AF by class'!I24/'11a. AF by class'!$E24</f>
        <v>0</v>
      </c>
      <c r="J28" s="243">
        <f>$E28*'11a. AF by class'!J24/'11a. AF by class'!$E24</f>
        <v>0</v>
      </c>
      <c r="K28" s="243">
        <f>$E28*'11a. AF by class'!K24/'11a. AF by class'!$E24</f>
        <v>0</v>
      </c>
      <c r="L28" s="243">
        <f>$E28*'11a. AF by class'!L24/'11a. AF by class'!$E24</f>
        <v>0</v>
      </c>
      <c r="M28" s="243">
        <f>$E28*'11a. AF by class'!M24/'11a. AF by class'!$E24</f>
        <v>0</v>
      </c>
      <c r="N28" s="244">
        <f>$E28*'11a. AF by class'!N24/'11a. AF by class'!$E24</f>
        <v>0</v>
      </c>
      <c r="P28" s="32">
        <f>SUM(F28:O28)</f>
        <v>0</v>
      </c>
      <c r="Q28" s="32">
        <f>E28-P28</f>
        <v>0</v>
      </c>
    </row>
    <row r="29" spans="1:17" x14ac:dyDescent="0.3">
      <c r="A29" s="157"/>
      <c r="B29" s="35" t="s">
        <v>931</v>
      </c>
      <c r="C29" s="35"/>
      <c r="D29" s="35"/>
      <c r="E29" s="580">
        <f>'9b. Summary Schedules-sf'!Q179</f>
        <v>0</v>
      </c>
      <c r="F29" s="580">
        <f>$E29*'11a. AF by class'!F25/'11a. AF by class'!$E25</f>
        <v>0</v>
      </c>
      <c r="G29" s="580">
        <f>$E29*'11a. AF by class'!G25/'11a. AF by class'!$E25</f>
        <v>0</v>
      </c>
      <c r="H29" s="580">
        <f>$E29*'11a. AF by class'!H25/'11a. AF by class'!$E25</f>
        <v>0</v>
      </c>
      <c r="I29" s="580">
        <f>$E29*'11a. AF by class'!I25/'11a. AF by class'!$E25</f>
        <v>0</v>
      </c>
      <c r="J29" s="580">
        <f>$E29*'11a. AF by class'!J25/'11a. AF by class'!$E25</f>
        <v>0</v>
      </c>
      <c r="K29" s="580">
        <f>$E29*'11a. AF by class'!K25/'11a. AF by class'!$E25</f>
        <v>0</v>
      </c>
      <c r="L29" s="580">
        <f>$E29*'11a. AF by class'!L25/'11a. AF by class'!$E25</f>
        <v>0</v>
      </c>
      <c r="M29" s="580">
        <f>$E29*'11a. AF by class'!M25/'11a. AF by class'!$E25</f>
        <v>0</v>
      </c>
      <c r="N29" s="600">
        <f>$E29*'11a. AF by class'!N25/'11a. AF by class'!$E25</f>
        <v>0</v>
      </c>
      <c r="P29" s="32">
        <f>SUM(F29:O29)</f>
        <v>0</v>
      </c>
      <c r="Q29" s="32">
        <f>E29-P29</f>
        <v>0</v>
      </c>
    </row>
    <row r="30" spans="1:17" x14ac:dyDescent="0.3">
      <c r="A30" s="157"/>
      <c r="B30" s="35" t="s">
        <v>977</v>
      </c>
      <c r="C30" s="35"/>
      <c r="D30" s="35"/>
      <c r="E30" s="243">
        <f>SUM(E26:E29)</f>
        <v>0</v>
      </c>
      <c r="F30" s="243">
        <f t="shared" ref="F30:N30" si="2">SUM(F26:F29)</f>
        <v>0</v>
      </c>
      <c r="G30" s="243">
        <f t="shared" si="2"/>
        <v>0</v>
      </c>
      <c r="H30" s="243">
        <f t="shared" si="2"/>
        <v>0</v>
      </c>
      <c r="I30" s="243">
        <f t="shared" si="2"/>
        <v>0</v>
      </c>
      <c r="J30" s="243">
        <f t="shared" si="2"/>
        <v>0</v>
      </c>
      <c r="K30" s="243">
        <f t="shared" si="2"/>
        <v>0</v>
      </c>
      <c r="L30" s="243">
        <f t="shared" si="2"/>
        <v>0</v>
      </c>
      <c r="M30" s="243">
        <f t="shared" si="2"/>
        <v>0</v>
      </c>
      <c r="N30" s="244">
        <f t="shared" si="2"/>
        <v>0</v>
      </c>
      <c r="P30" s="32">
        <f>SUM(F30:O30)</f>
        <v>0</v>
      </c>
      <c r="Q30" s="32">
        <f>E30-P30</f>
        <v>0</v>
      </c>
    </row>
    <row r="31" spans="1:17" x14ac:dyDescent="0.3">
      <c r="A31" s="157"/>
      <c r="B31" s="35"/>
      <c r="C31" s="35"/>
      <c r="D31" s="35"/>
      <c r="E31" s="243"/>
      <c r="F31" s="243"/>
      <c r="G31" s="243"/>
      <c r="H31" s="243"/>
      <c r="I31" s="243"/>
      <c r="J31" s="243"/>
      <c r="K31" s="243"/>
      <c r="L31" s="243"/>
      <c r="M31" s="243"/>
      <c r="N31" s="244"/>
    </row>
    <row r="32" spans="1:17" x14ac:dyDescent="0.3">
      <c r="A32" s="157"/>
      <c r="B32" s="35" t="s">
        <v>978</v>
      </c>
      <c r="C32" s="35"/>
      <c r="D32" s="35"/>
      <c r="E32" s="243"/>
      <c r="F32" s="243"/>
      <c r="G32" s="243"/>
      <c r="H32" s="243"/>
      <c r="I32" s="243"/>
      <c r="J32" s="243"/>
      <c r="K32" s="243"/>
      <c r="L32" s="243"/>
      <c r="M32" s="243"/>
      <c r="N32" s="244"/>
    </row>
    <row r="33" spans="1:17" x14ac:dyDescent="0.3">
      <c r="A33" s="157"/>
      <c r="B33" s="35" t="s">
        <v>975</v>
      </c>
      <c r="C33" s="35"/>
      <c r="D33" s="35"/>
      <c r="E33" s="243">
        <f>'9b. Summary Schedules-sf'!R179</f>
        <v>0</v>
      </c>
      <c r="F33" s="243">
        <f>$E33*'11a. AF by class'!F29/'11a. AF by class'!$E29</f>
        <v>0</v>
      </c>
      <c r="G33" s="243">
        <f>$E33*'11a. AF by class'!G29/'11a. AF by class'!$E29</f>
        <v>0</v>
      </c>
      <c r="H33" s="243">
        <f>$E33*'11a. AF by class'!H29/'11a. AF by class'!$E29</f>
        <v>0</v>
      </c>
      <c r="I33" s="243">
        <f>$E33*'11a. AF by class'!I29/'11a. AF by class'!$E29</f>
        <v>0</v>
      </c>
      <c r="J33" s="243">
        <f>$E33*'11a. AF by class'!J29/'11a. AF by class'!$E29</f>
        <v>0</v>
      </c>
      <c r="K33" s="243">
        <f>$E33*'11a. AF by class'!K29/'11a. AF by class'!$E29</f>
        <v>0</v>
      </c>
      <c r="L33" s="243">
        <f>$E33*'11a. AF by class'!L29/'11a. AF by class'!$E29</f>
        <v>0</v>
      </c>
      <c r="M33" s="243">
        <f>$E33*'11a. AF by class'!M29/'11a. AF by class'!$E29</f>
        <v>0</v>
      </c>
      <c r="N33" s="244">
        <f>$E33*'11a. AF by class'!N29/'11a. AF by class'!$E29</f>
        <v>0</v>
      </c>
      <c r="P33" s="32">
        <f t="shared" ref="P33:P39" si="3">SUM(F33:O33)</f>
        <v>0</v>
      </c>
      <c r="Q33" s="32">
        <f t="shared" ref="Q33:Q39" si="4">E33-P33</f>
        <v>0</v>
      </c>
    </row>
    <row r="34" spans="1:17" x14ac:dyDescent="0.3">
      <c r="A34" s="157"/>
      <c r="B34" s="35" t="s">
        <v>976</v>
      </c>
      <c r="C34" s="35"/>
      <c r="D34" s="35"/>
      <c r="E34" s="243">
        <f>'9b. Summary Schedules-sf'!S179</f>
        <v>0</v>
      </c>
      <c r="F34" s="243">
        <f>$E34*'11a. AF by class'!F30/'11a. AF by class'!$E30</f>
        <v>0</v>
      </c>
      <c r="G34" s="243">
        <f>$E34*'11a. AF by class'!G30/'11a. AF by class'!$E30</f>
        <v>0</v>
      </c>
      <c r="H34" s="243">
        <f>$E34*'11a. AF by class'!H30/'11a. AF by class'!$E30</f>
        <v>0</v>
      </c>
      <c r="I34" s="243">
        <f>$E34*'11a. AF by class'!I30/'11a. AF by class'!$E30</f>
        <v>0</v>
      </c>
      <c r="J34" s="243">
        <f>$E34*'11a. AF by class'!J30/'11a. AF by class'!$E30</f>
        <v>0</v>
      </c>
      <c r="K34" s="243">
        <f>$E34*'11a. AF by class'!K30/'11a. AF by class'!$E30</f>
        <v>0</v>
      </c>
      <c r="L34" s="243">
        <f>$E34*'11a. AF by class'!L30/'11a. AF by class'!$E30</f>
        <v>0</v>
      </c>
      <c r="M34" s="243">
        <f>$E34*'11a. AF by class'!M30/'11a. AF by class'!$E30</f>
        <v>0</v>
      </c>
      <c r="N34" s="244">
        <f>$E34*'11a. AF by class'!N30/'11a. AF by class'!$E30</f>
        <v>0</v>
      </c>
      <c r="P34" s="32">
        <f t="shared" si="3"/>
        <v>0</v>
      </c>
      <c r="Q34" s="32">
        <f t="shared" si="4"/>
        <v>0</v>
      </c>
    </row>
    <row r="35" spans="1:17" x14ac:dyDescent="0.3">
      <c r="A35" s="157"/>
      <c r="B35" s="35" t="s">
        <v>931</v>
      </c>
      <c r="C35" s="35"/>
      <c r="D35" s="35"/>
      <c r="E35" s="243">
        <f>'9b. Summary Schedules-sf'!T179</f>
        <v>0</v>
      </c>
      <c r="F35" s="243">
        <f>$E35*'11a. AF by class'!F31/'11a. AF by class'!$E31</f>
        <v>0</v>
      </c>
      <c r="G35" s="243">
        <f>$E35*'11a. AF by class'!G31/'11a. AF by class'!$E31</f>
        <v>0</v>
      </c>
      <c r="H35" s="243">
        <f>$E35*'11a. AF by class'!H31/'11a. AF by class'!$E31</f>
        <v>0</v>
      </c>
      <c r="I35" s="243">
        <f>$E35*'11a. AF by class'!I31/'11a. AF by class'!$E31</f>
        <v>0</v>
      </c>
      <c r="J35" s="243">
        <f>$E35*'11a. AF by class'!J31/'11a. AF by class'!$E31</f>
        <v>0</v>
      </c>
      <c r="K35" s="243">
        <f>$E35*'11a. AF by class'!K31/'11a. AF by class'!$E31</f>
        <v>0</v>
      </c>
      <c r="L35" s="243">
        <f>$E35*'11a. AF by class'!L31/'11a. AF by class'!$E31</f>
        <v>0</v>
      </c>
      <c r="M35" s="243">
        <f>$E35*'11a. AF by class'!M31/'11a. AF by class'!$E31</f>
        <v>0</v>
      </c>
      <c r="N35" s="244">
        <f>$E35*'11a. AF by class'!N31/'11a. AF by class'!$E31</f>
        <v>0</v>
      </c>
      <c r="P35" s="32">
        <f t="shared" si="3"/>
        <v>0</v>
      </c>
      <c r="Q35" s="32">
        <f t="shared" si="4"/>
        <v>0</v>
      </c>
    </row>
    <row r="36" spans="1:17" x14ac:dyDescent="0.3">
      <c r="A36" s="157"/>
      <c r="B36" s="35" t="s">
        <v>456</v>
      </c>
      <c r="C36" s="35"/>
      <c r="D36" s="35"/>
      <c r="E36" s="243">
        <f>'9b. Summary Schedules-sf'!U179</f>
        <v>0</v>
      </c>
      <c r="F36" s="243">
        <f>$E36*'11a. AF by class'!F32/'11a. AF by class'!$E32</f>
        <v>0</v>
      </c>
      <c r="G36" s="243">
        <f>$E36*'11a. AF by class'!G32/'11a. AF by class'!$E32</f>
        <v>0</v>
      </c>
      <c r="H36" s="243">
        <f>$E36*'11a. AF by class'!H32/'11a. AF by class'!$E32</f>
        <v>0</v>
      </c>
      <c r="I36" s="243">
        <f>$E36*'11a. AF by class'!I32/'11a. AF by class'!$E32</f>
        <v>0</v>
      </c>
      <c r="J36" s="243">
        <f>$E36*'11a. AF by class'!J32/'11a. AF by class'!$E32</f>
        <v>0</v>
      </c>
      <c r="K36" s="243">
        <f>$E36*'11a. AF by class'!K32/'11a. AF by class'!$E32</f>
        <v>0</v>
      </c>
      <c r="L36" s="243">
        <f>$E36*'11a. AF by class'!L32/'11a. AF by class'!$E32</f>
        <v>0</v>
      </c>
      <c r="M36" s="243">
        <f>$E36*'11a. AF by class'!M32/'11a. AF by class'!$E32</f>
        <v>0</v>
      </c>
      <c r="N36" s="244">
        <f>$E36*'11a. AF by class'!N32/'11a. AF by class'!$E32</f>
        <v>0</v>
      </c>
      <c r="P36" s="32">
        <f t="shared" si="3"/>
        <v>0</v>
      </c>
      <c r="Q36" s="32">
        <f t="shared" si="4"/>
        <v>0</v>
      </c>
    </row>
    <row r="37" spans="1:17" x14ac:dyDescent="0.3">
      <c r="A37" s="157"/>
      <c r="B37" s="35" t="s">
        <v>932</v>
      </c>
      <c r="C37" s="35"/>
      <c r="D37" s="35"/>
      <c r="E37" s="243">
        <f>'9b. Summary Schedules-sf'!V179</f>
        <v>0</v>
      </c>
      <c r="F37" s="243">
        <f>$E37*'11a. AF by class'!F33/'11a. AF by class'!$E33</f>
        <v>0</v>
      </c>
      <c r="G37" s="243">
        <f>$E37*'11a. AF by class'!G33/'11a. AF by class'!$E33</f>
        <v>0</v>
      </c>
      <c r="H37" s="243">
        <f>$E37*'11a. AF by class'!H33/'11a. AF by class'!$E33</f>
        <v>0</v>
      </c>
      <c r="I37" s="243">
        <f>$E37*'11a. AF by class'!I33/'11a. AF by class'!$E33</f>
        <v>0</v>
      </c>
      <c r="J37" s="243">
        <f>$E37*'11a. AF by class'!J33/'11a. AF by class'!$E33</f>
        <v>0</v>
      </c>
      <c r="K37" s="243">
        <f>$E37*'11a. AF by class'!K33/'11a. AF by class'!$E33</f>
        <v>0</v>
      </c>
      <c r="L37" s="243">
        <f>$E37*'11a. AF by class'!L33/'11a. AF by class'!$E33</f>
        <v>0</v>
      </c>
      <c r="M37" s="243">
        <f>$E37*'11a. AF by class'!M33/'11a. AF by class'!$E33</f>
        <v>0</v>
      </c>
      <c r="N37" s="244">
        <f>$E37*'11a. AF by class'!N33/'11a. AF by class'!$E33</f>
        <v>0</v>
      </c>
      <c r="P37" s="32">
        <f t="shared" si="3"/>
        <v>0</v>
      </c>
      <c r="Q37" s="32">
        <f t="shared" si="4"/>
        <v>0</v>
      </c>
    </row>
    <row r="38" spans="1:17" x14ac:dyDescent="0.3">
      <c r="A38" s="157"/>
      <c r="B38" s="35" t="s">
        <v>1013</v>
      </c>
      <c r="C38" s="35"/>
      <c r="D38" s="35"/>
      <c r="E38" s="580">
        <f>'9b. Summary Schedules-sf'!W179</f>
        <v>0</v>
      </c>
      <c r="F38" s="580">
        <f>$E38*'11a. AF by class'!F34/'11a. AF by class'!$E34</f>
        <v>0</v>
      </c>
      <c r="G38" s="580">
        <f>$E38*'11a. AF by class'!G34/'11a. AF by class'!$E34</f>
        <v>0</v>
      </c>
      <c r="H38" s="580">
        <f>$E38*'11a. AF by class'!H34/'11a. AF by class'!$E34</f>
        <v>0</v>
      </c>
      <c r="I38" s="580">
        <f>$E38*'11a. AF by class'!I34/'11a. AF by class'!$E34</f>
        <v>0</v>
      </c>
      <c r="J38" s="580">
        <f>$E38*'11a. AF by class'!J34/'11a. AF by class'!$E34</f>
        <v>0</v>
      </c>
      <c r="K38" s="580">
        <f>$E38*'11a. AF by class'!K34/'11a. AF by class'!$E34</f>
        <v>0</v>
      </c>
      <c r="L38" s="580">
        <f>$E38*'11a. AF by class'!L34/'11a. AF by class'!$E34</f>
        <v>0</v>
      </c>
      <c r="M38" s="580">
        <f>$E38*'11a. AF by class'!M34/'11a. AF by class'!$E34</f>
        <v>0</v>
      </c>
      <c r="N38" s="600">
        <f>$E38*'11a. AF by class'!N34/'11a. AF by class'!$E34</f>
        <v>0</v>
      </c>
      <c r="P38" s="32">
        <f>SUM(F38:O38)</f>
        <v>0</v>
      </c>
      <c r="Q38" s="32">
        <f>E38-P38</f>
        <v>0</v>
      </c>
    </row>
    <row r="39" spans="1:17" x14ac:dyDescent="0.3">
      <c r="A39" s="157"/>
      <c r="B39" s="35" t="s">
        <v>979</v>
      </c>
      <c r="C39" s="35"/>
      <c r="D39" s="35"/>
      <c r="E39" s="243">
        <f t="shared" ref="E39:N39" si="5">SUM(E33:E38)</f>
        <v>0</v>
      </c>
      <c r="F39" s="243">
        <f t="shared" si="5"/>
        <v>0</v>
      </c>
      <c r="G39" s="243">
        <f t="shared" si="5"/>
        <v>0</v>
      </c>
      <c r="H39" s="243">
        <f t="shared" si="5"/>
        <v>0</v>
      </c>
      <c r="I39" s="243">
        <f t="shared" si="5"/>
        <v>0</v>
      </c>
      <c r="J39" s="243">
        <f t="shared" si="5"/>
        <v>0</v>
      </c>
      <c r="K39" s="243">
        <f t="shared" si="5"/>
        <v>0</v>
      </c>
      <c r="L39" s="243">
        <f t="shared" si="5"/>
        <v>0</v>
      </c>
      <c r="M39" s="243">
        <f t="shared" si="5"/>
        <v>0</v>
      </c>
      <c r="N39" s="244">
        <f t="shared" si="5"/>
        <v>0</v>
      </c>
      <c r="P39" s="32">
        <f t="shared" si="3"/>
        <v>0</v>
      </c>
      <c r="Q39" s="32">
        <f t="shared" si="4"/>
        <v>0</v>
      </c>
    </row>
    <row r="40" spans="1:17" x14ac:dyDescent="0.3">
      <c r="A40" s="157"/>
      <c r="B40" s="35"/>
      <c r="C40" s="35"/>
      <c r="D40" s="35"/>
      <c r="E40" s="243"/>
      <c r="F40" s="243"/>
      <c r="G40" s="243"/>
      <c r="H40" s="243"/>
      <c r="I40" s="243"/>
      <c r="J40" s="243"/>
      <c r="K40" s="243"/>
      <c r="L40" s="243"/>
      <c r="M40" s="243"/>
      <c r="N40" s="244"/>
    </row>
    <row r="41" spans="1:17" x14ac:dyDescent="0.3">
      <c r="A41" s="157"/>
      <c r="B41" s="35" t="s">
        <v>543</v>
      </c>
      <c r="C41" s="35"/>
      <c r="D41" s="35"/>
      <c r="E41" s="243">
        <f t="shared" ref="E41:N41" si="6">SUM(E30,E39)</f>
        <v>0</v>
      </c>
      <c r="F41" s="243">
        <f t="shared" si="6"/>
        <v>0</v>
      </c>
      <c r="G41" s="243">
        <f t="shared" si="6"/>
        <v>0</v>
      </c>
      <c r="H41" s="243">
        <f t="shared" si="6"/>
        <v>0</v>
      </c>
      <c r="I41" s="243">
        <f t="shared" si="6"/>
        <v>0</v>
      </c>
      <c r="J41" s="243">
        <f t="shared" si="6"/>
        <v>0</v>
      </c>
      <c r="K41" s="243">
        <f t="shared" si="6"/>
        <v>0</v>
      </c>
      <c r="L41" s="243">
        <f t="shared" si="6"/>
        <v>0</v>
      </c>
      <c r="M41" s="243">
        <f t="shared" si="6"/>
        <v>0</v>
      </c>
      <c r="N41" s="244">
        <f t="shared" si="6"/>
        <v>0</v>
      </c>
      <c r="P41" s="32">
        <f>SUM(F41:O41)</f>
        <v>0</v>
      </c>
      <c r="Q41" s="32">
        <f>E41-P41</f>
        <v>0</v>
      </c>
    </row>
    <row r="42" spans="1:17" x14ac:dyDescent="0.3">
      <c r="A42" s="157"/>
      <c r="B42" s="35"/>
      <c r="C42" s="35"/>
      <c r="D42" s="35"/>
      <c r="E42" s="243"/>
      <c r="F42" s="243"/>
      <c r="G42" s="243"/>
      <c r="H42" s="243"/>
      <c r="I42" s="243"/>
      <c r="J42" s="243"/>
      <c r="K42" s="243"/>
      <c r="L42" s="243"/>
      <c r="M42" s="243"/>
      <c r="N42" s="244"/>
    </row>
    <row r="43" spans="1:17" x14ac:dyDescent="0.3">
      <c r="A43" s="157" t="s">
        <v>907</v>
      </c>
      <c r="B43" s="35"/>
      <c r="C43" s="35"/>
      <c r="D43" s="35"/>
      <c r="E43" s="243"/>
      <c r="F43" s="243"/>
      <c r="G43" s="243"/>
      <c r="H43" s="243"/>
      <c r="I43" s="243"/>
      <c r="J43" s="243"/>
      <c r="K43" s="243"/>
      <c r="L43" s="243"/>
      <c r="M43" s="243"/>
      <c r="N43" s="244"/>
    </row>
    <row r="44" spans="1:17" x14ac:dyDescent="0.3">
      <c r="A44" s="157"/>
      <c r="B44" s="35" t="s">
        <v>907</v>
      </c>
      <c r="C44" s="35"/>
      <c r="D44" s="35"/>
      <c r="E44" s="243">
        <f>'9b. Summary Schedules-sf'!Y179</f>
        <v>0</v>
      </c>
      <c r="F44" s="243">
        <f>$E44*'11a. AF by class'!F40/'11a. AF by class'!$E40</f>
        <v>0</v>
      </c>
      <c r="G44" s="243">
        <f>$E44*'11a. AF by class'!G40/'11a. AF by class'!$E40</f>
        <v>0</v>
      </c>
      <c r="H44" s="243">
        <f>$E44*'11a. AF by class'!H40/'11a. AF by class'!$E40</f>
        <v>0</v>
      </c>
      <c r="I44" s="243">
        <f>$E44*'11a. AF by class'!I40/'11a. AF by class'!$E40</f>
        <v>0</v>
      </c>
      <c r="J44" s="243">
        <f>$E44*'11a. AF by class'!J40/'11a. AF by class'!$E40</f>
        <v>0</v>
      </c>
      <c r="K44" s="243">
        <f>$E44*'11a. AF by class'!K40/'11a. AF by class'!$E40</f>
        <v>0</v>
      </c>
      <c r="L44" s="243">
        <f>$E44*'11a. AF by class'!L40/'11a. AF by class'!$E40</f>
        <v>0</v>
      </c>
      <c r="M44" s="243">
        <f>$E44*'11a. AF by class'!M40/'11a. AF by class'!$E40</f>
        <v>0</v>
      </c>
      <c r="N44" s="244">
        <f>$E44*'11a. AF by class'!N40/'11a. AF by class'!$E40</f>
        <v>0</v>
      </c>
      <c r="P44" s="32">
        <f>SUM(F44:O44)</f>
        <v>0</v>
      </c>
      <c r="Q44" s="32">
        <f>E44-P44</f>
        <v>0</v>
      </c>
    </row>
    <row r="45" spans="1:17" x14ac:dyDescent="0.3">
      <c r="A45" s="157"/>
      <c r="B45" s="35" t="s">
        <v>996</v>
      </c>
      <c r="C45" s="35"/>
      <c r="D45" s="35"/>
      <c r="E45" s="580">
        <f>'9b. Summary Schedules-sf'!Z179</f>
        <v>0</v>
      </c>
      <c r="F45" s="580">
        <f>$E45*'11a. AF by class'!F41/'11a. AF by class'!$E41</f>
        <v>0</v>
      </c>
      <c r="G45" s="580">
        <f>$E45*'11a. AF by class'!G41/'11a. AF by class'!$E41</f>
        <v>0</v>
      </c>
      <c r="H45" s="580">
        <f>$E45*'11a. AF by class'!H41/'11a. AF by class'!$E41</f>
        <v>0</v>
      </c>
      <c r="I45" s="580">
        <f>$E45*'11a. AF by class'!I41/'11a. AF by class'!$E41</f>
        <v>0</v>
      </c>
      <c r="J45" s="580">
        <f>$E45*'11a. AF by class'!J41/'11a. AF by class'!$E41</f>
        <v>0</v>
      </c>
      <c r="K45" s="580">
        <f>$E45*'11a. AF by class'!K41/'11a. AF by class'!$E41</f>
        <v>0</v>
      </c>
      <c r="L45" s="580">
        <f>$E45*'11a. AF by class'!L41/'11a. AF by class'!$E41</f>
        <v>0</v>
      </c>
      <c r="M45" s="580">
        <f>$E45*'11a. AF by class'!M41/'11a. AF by class'!$E41</f>
        <v>0</v>
      </c>
      <c r="N45" s="600">
        <f>$E45*'11a. AF by class'!N41/'11a. AF by class'!$E41</f>
        <v>0</v>
      </c>
      <c r="P45" s="32">
        <f>SUM(F45:O45)</f>
        <v>0</v>
      </c>
      <c r="Q45" s="32">
        <f>E45-P45</f>
        <v>0</v>
      </c>
    </row>
    <row r="46" spans="1:17" x14ac:dyDescent="0.3">
      <c r="A46" s="157"/>
      <c r="B46" s="35" t="s">
        <v>997</v>
      </c>
      <c r="C46" s="35"/>
      <c r="D46" s="35"/>
      <c r="E46" s="243">
        <f>E44+E45</f>
        <v>0</v>
      </c>
      <c r="F46" s="243">
        <f t="shared" ref="F46:N46" si="7">SUM(F44:F45)</f>
        <v>0</v>
      </c>
      <c r="G46" s="243">
        <f t="shared" si="7"/>
        <v>0</v>
      </c>
      <c r="H46" s="243">
        <f t="shared" si="7"/>
        <v>0</v>
      </c>
      <c r="I46" s="243">
        <f t="shared" si="7"/>
        <v>0</v>
      </c>
      <c r="J46" s="243">
        <f t="shared" si="7"/>
        <v>0</v>
      </c>
      <c r="K46" s="243">
        <f t="shared" si="7"/>
        <v>0</v>
      </c>
      <c r="L46" s="243">
        <f t="shared" si="7"/>
        <v>0</v>
      </c>
      <c r="M46" s="243">
        <f t="shared" si="7"/>
        <v>0</v>
      </c>
      <c r="N46" s="244">
        <f t="shared" si="7"/>
        <v>0</v>
      </c>
      <c r="P46" s="32">
        <f>SUM(F46:O46)</f>
        <v>0</v>
      </c>
      <c r="Q46" s="32">
        <f>E46-P46</f>
        <v>0</v>
      </c>
    </row>
    <row r="47" spans="1:17" x14ac:dyDescent="0.3">
      <c r="A47" s="157"/>
      <c r="B47" s="35"/>
      <c r="C47" s="35"/>
      <c r="D47" s="35"/>
      <c r="E47" s="243"/>
      <c r="F47" s="243"/>
      <c r="G47" s="243"/>
      <c r="H47" s="243"/>
      <c r="I47" s="243"/>
      <c r="J47" s="243"/>
      <c r="K47" s="243"/>
      <c r="L47" s="243"/>
      <c r="M47" s="243"/>
      <c r="N47" s="244"/>
    </row>
    <row r="48" spans="1:17" x14ac:dyDescent="0.3">
      <c r="A48" s="157" t="s">
        <v>84</v>
      </c>
      <c r="B48" s="35"/>
      <c r="C48" s="35"/>
      <c r="D48" s="35"/>
      <c r="E48" s="243">
        <f>'9b. Summary Schedules-sf'!AA179</f>
        <v>0</v>
      </c>
      <c r="F48" s="243">
        <f>$E48*'11a. AF by class'!F44/'11a. AF by class'!$E44</f>
        <v>0</v>
      </c>
      <c r="G48" s="243">
        <f>$E48*'11a. AF by class'!G44/'11a. AF by class'!$E44</f>
        <v>0</v>
      </c>
      <c r="H48" s="243">
        <f>$E48*'11a. AF by class'!H44/'11a. AF by class'!$E44</f>
        <v>0</v>
      </c>
      <c r="I48" s="243">
        <f>$E48*'11a. AF by class'!I44/'11a. AF by class'!$E44</f>
        <v>0</v>
      </c>
      <c r="J48" s="243">
        <f>$E48*'11a. AF by class'!J44/'11a. AF by class'!$E44</f>
        <v>0</v>
      </c>
      <c r="K48" s="243">
        <f>$E48*'11a. AF by class'!K44/'11a. AF by class'!$E44</f>
        <v>0</v>
      </c>
      <c r="L48" s="243">
        <f>$E48*'11a. AF by class'!L44/'11a. AF by class'!$E44</f>
        <v>0</v>
      </c>
      <c r="M48" s="243">
        <f>$E48*'11a. AF by class'!M44/'11a. AF by class'!$E44</f>
        <v>0</v>
      </c>
      <c r="N48" s="244">
        <f>$E48*'11a. AF by class'!N44/'11a. AF by class'!$E44</f>
        <v>0</v>
      </c>
      <c r="P48" s="32">
        <f>SUM(F48:O48)</f>
        <v>0</v>
      </c>
      <c r="Q48" s="32">
        <f>E48-P48</f>
        <v>0</v>
      </c>
    </row>
    <row r="49" spans="1:17" x14ac:dyDescent="0.3">
      <c r="A49" s="157"/>
      <c r="B49" s="35"/>
      <c r="C49" s="35"/>
      <c r="D49" s="35"/>
      <c r="E49" s="243"/>
      <c r="F49" s="243"/>
      <c r="G49" s="243"/>
      <c r="H49" s="243"/>
      <c r="I49" s="243"/>
      <c r="J49" s="243"/>
      <c r="K49" s="243"/>
      <c r="L49" s="243"/>
      <c r="M49" s="243"/>
      <c r="N49" s="244"/>
    </row>
    <row r="50" spans="1:17" x14ac:dyDescent="0.3">
      <c r="A50" s="157" t="s">
        <v>82</v>
      </c>
      <c r="B50" s="35"/>
      <c r="C50" s="35"/>
      <c r="D50" s="35"/>
      <c r="E50" s="243"/>
      <c r="F50" s="243"/>
      <c r="G50" s="243"/>
      <c r="H50" s="243"/>
      <c r="I50" s="243"/>
      <c r="J50" s="243"/>
      <c r="K50" s="243"/>
      <c r="L50" s="243"/>
      <c r="M50" s="243"/>
      <c r="N50" s="244"/>
    </row>
    <row r="51" spans="1:17" x14ac:dyDescent="0.3">
      <c r="A51" s="157"/>
      <c r="B51" s="35" t="s">
        <v>81</v>
      </c>
      <c r="C51" s="35"/>
      <c r="D51" s="35"/>
      <c r="E51" s="243">
        <f>'9b. Summary Schedules-sf'!AC179</f>
        <v>0</v>
      </c>
      <c r="F51" s="243">
        <f>$E51*'11a. AF by class'!F47/'11a. AF by class'!$E47</f>
        <v>0</v>
      </c>
      <c r="G51" s="243">
        <f>$E51*'11a. AF by class'!G47/'11a. AF by class'!$E47</f>
        <v>0</v>
      </c>
      <c r="H51" s="243">
        <f>$E51*'11a. AF by class'!H47/'11a. AF by class'!$E47</f>
        <v>0</v>
      </c>
      <c r="I51" s="243">
        <f>$E51*'11a. AF by class'!I47/'11a. AF by class'!$E47</f>
        <v>0</v>
      </c>
      <c r="J51" s="243">
        <f>$E51*'11a. AF by class'!J47/'11a. AF by class'!$E47</f>
        <v>0</v>
      </c>
      <c r="K51" s="243">
        <f>$E51*'11a. AF by class'!K47/'11a. AF by class'!$E47</f>
        <v>0</v>
      </c>
      <c r="L51" s="243">
        <f>$E51*'11a. AF by class'!L47/'11a. AF by class'!$E47</f>
        <v>0</v>
      </c>
      <c r="M51" s="243">
        <f>$E51*'11a. AF by class'!M47/'11a. AF by class'!$E47</f>
        <v>0</v>
      </c>
      <c r="N51" s="244">
        <f>$E51*'11a. AF by class'!N47/'11a. AF by class'!$E47</f>
        <v>0</v>
      </c>
      <c r="P51" s="32">
        <f>SUM(F51:O51)</f>
        <v>0</v>
      </c>
      <c r="Q51" s="32">
        <f>E51-P51</f>
        <v>0</v>
      </c>
    </row>
    <row r="52" spans="1:17" x14ac:dyDescent="0.3">
      <c r="A52" s="157"/>
      <c r="B52" s="35" t="s">
        <v>1007</v>
      </c>
      <c r="C52" s="35"/>
      <c r="D52" s="35"/>
      <c r="E52" s="243">
        <f>'9b. Summary Schedules-sf'!AD179</f>
        <v>0</v>
      </c>
      <c r="F52" s="243">
        <f>$E52*'11a. AF by class'!F48/'11a. AF by class'!$E48</f>
        <v>0</v>
      </c>
      <c r="G52" s="243">
        <f>$E52*'11a. AF by class'!G48/'11a. AF by class'!$E48</f>
        <v>0</v>
      </c>
      <c r="H52" s="243">
        <f>$E52*'11a. AF by class'!H48/'11a. AF by class'!$E48</f>
        <v>0</v>
      </c>
      <c r="I52" s="243">
        <f>$E52*'11a. AF by class'!I48/'11a. AF by class'!$E48</f>
        <v>0</v>
      </c>
      <c r="J52" s="243">
        <f>$E52*'11a. AF by class'!J48/'11a. AF by class'!$E48</f>
        <v>0</v>
      </c>
      <c r="K52" s="243">
        <f>$E52*'11a. AF by class'!K48/'11a. AF by class'!$E48</f>
        <v>0</v>
      </c>
      <c r="L52" s="243">
        <f>$E52*'11a. AF by class'!L48/'11a. AF by class'!$E48</f>
        <v>0</v>
      </c>
      <c r="M52" s="243">
        <f>$E52*'11a. AF by class'!M48/'11a. AF by class'!$E48</f>
        <v>0</v>
      </c>
      <c r="N52" s="244">
        <f>$E52*'11a. AF by class'!N48/'11a. AF by class'!$E48</f>
        <v>0</v>
      </c>
      <c r="P52" s="32">
        <f>SUM(F52:O52)</f>
        <v>0</v>
      </c>
      <c r="Q52" s="32">
        <f>E52-P52</f>
        <v>0</v>
      </c>
    </row>
    <row r="53" spans="1:17" x14ac:dyDescent="0.3">
      <c r="A53" s="157"/>
      <c r="B53" s="35" t="s">
        <v>1008</v>
      </c>
      <c r="C53" s="35"/>
      <c r="D53" s="35"/>
      <c r="E53" s="580">
        <f>'9b. Summary Schedules-sf'!AE179</f>
        <v>0</v>
      </c>
      <c r="F53" s="580">
        <f>$E53*'11a. AF by class'!F49/'11a. AF by class'!$E49</f>
        <v>0</v>
      </c>
      <c r="G53" s="580">
        <f>$E53*'11a. AF by class'!G49/'11a. AF by class'!$E49</f>
        <v>0</v>
      </c>
      <c r="H53" s="580">
        <f>$E53*'11a. AF by class'!H49/'11a. AF by class'!$E49</f>
        <v>0</v>
      </c>
      <c r="I53" s="580">
        <f>$E53*'11a. AF by class'!I49/'11a. AF by class'!$E49</f>
        <v>0</v>
      </c>
      <c r="J53" s="580">
        <f>$E53*'11a. AF by class'!J49/'11a. AF by class'!$E49</f>
        <v>0</v>
      </c>
      <c r="K53" s="580">
        <f>$E53*'11a. AF by class'!K49/'11a. AF by class'!$E49</f>
        <v>0</v>
      </c>
      <c r="L53" s="580">
        <f>$E53*'11a. AF by class'!L49/'11a. AF by class'!$E49</f>
        <v>0</v>
      </c>
      <c r="M53" s="580">
        <f>$E53*'11a. AF by class'!M49/'11a. AF by class'!$E49</f>
        <v>0</v>
      </c>
      <c r="N53" s="600">
        <f>$E53*'11a. AF by class'!N49/'11a. AF by class'!$E49</f>
        <v>0</v>
      </c>
      <c r="P53" s="32">
        <f>SUM(F53:O53)</f>
        <v>0</v>
      </c>
      <c r="Q53" s="32">
        <f>E53-P53</f>
        <v>0</v>
      </c>
    </row>
    <row r="54" spans="1:17" x14ac:dyDescent="0.3">
      <c r="A54" s="157"/>
      <c r="B54" s="35" t="s">
        <v>83</v>
      </c>
      <c r="C54" s="35"/>
      <c r="D54" s="35"/>
      <c r="E54" s="243">
        <f t="shared" ref="E54:N54" si="8">SUM(E51:E53)</f>
        <v>0</v>
      </c>
      <c r="F54" s="243">
        <f t="shared" si="8"/>
        <v>0</v>
      </c>
      <c r="G54" s="243">
        <f t="shared" si="8"/>
        <v>0</v>
      </c>
      <c r="H54" s="243">
        <f t="shared" si="8"/>
        <v>0</v>
      </c>
      <c r="I54" s="243">
        <f t="shared" si="8"/>
        <v>0</v>
      </c>
      <c r="J54" s="243">
        <f t="shared" si="8"/>
        <v>0</v>
      </c>
      <c r="K54" s="243">
        <f t="shared" si="8"/>
        <v>0</v>
      </c>
      <c r="L54" s="243">
        <f t="shared" si="8"/>
        <v>0</v>
      </c>
      <c r="M54" s="243">
        <f t="shared" si="8"/>
        <v>0</v>
      </c>
      <c r="N54" s="244">
        <f t="shared" si="8"/>
        <v>0</v>
      </c>
      <c r="P54" s="32">
        <f>SUM(F54:O54)</f>
        <v>0</v>
      </c>
      <c r="Q54" s="32">
        <f>E54-P54</f>
        <v>0</v>
      </c>
    </row>
    <row r="55" spans="1:17" x14ac:dyDescent="0.3">
      <c r="A55" s="157"/>
      <c r="B55" s="35"/>
      <c r="C55" s="35"/>
      <c r="D55" s="35"/>
      <c r="E55" s="243"/>
      <c r="F55" s="243"/>
      <c r="G55" s="243"/>
      <c r="H55" s="243"/>
      <c r="I55" s="243"/>
      <c r="J55" s="243"/>
      <c r="K55" s="243"/>
      <c r="L55" s="243"/>
      <c r="M55" s="243"/>
      <c r="N55" s="244"/>
    </row>
    <row r="56" spans="1:17" x14ac:dyDescent="0.3">
      <c r="A56" s="157" t="s">
        <v>912</v>
      </c>
      <c r="B56" s="35"/>
      <c r="C56" s="35"/>
      <c r="D56" s="53"/>
      <c r="E56" s="243"/>
      <c r="F56" s="243"/>
      <c r="G56" s="243"/>
      <c r="H56" s="243"/>
      <c r="I56" s="243"/>
      <c r="J56" s="243"/>
      <c r="K56" s="243"/>
      <c r="L56" s="243"/>
      <c r="M56" s="243"/>
      <c r="N56" s="244"/>
    </row>
    <row r="57" spans="1:17" x14ac:dyDescent="0.3">
      <c r="A57" s="157"/>
      <c r="B57" s="35" t="s">
        <v>1006</v>
      </c>
      <c r="C57" s="35"/>
      <c r="D57" s="53"/>
      <c r="E57" s="580">
        <f>'9b. Summary Schedules-sf'!AG179</f>
        <v>0</v>
      </c>
      <c r="F57" s="580">
        <f>$E57*'11a. AF by class'!F53/'11a. AF by class'!$E53</f>
        <v>0</v>
      </c>
      <c r="G57" s="580">
        <f>$E57*'11a. AF by class'!G53/'11a. AF by class'!$E53</f>
        <v>0</v>
      </c>
      <c r="H57" s="580">
        <f>$E57*'11a. AF by class'!H53/'11a. AF by class'!$E53</f>
        <v>0</v>
      </c>
      <c r="I57" s="580">
        <f>$E57*'11a. AF by class'!I53/'11a. AF by class'!$E53</f>
        <v>0</v>
      </c>
      <c r="J57" s="580">
        <f>$E57*'11a. AF by class'!J53/'11a. AF by class'!$E53</f>
        <v>0</v>
      </c>
      <c r="K57" s="580">
        <f>$E57*'11a. AF by class'!K53/'11a. AF by class'!$E53</f>
        <v>0</v>
      </c>
      <c r="L57" s="580">
        <f>$E57*'11a. AF by class'!L53/'11a. AF by class'!$E53</f>
        <v>0</v>
      </c>
      <c r="M57" s="580">
        <f>$E57*'11a. AF by class'!M53/'11a. AF by class'!$E53</f>
        <v>0</v>
      </c>
      <c r="N57" s="600">
        <f>$E57*'11a. AF by class'!N53/'11a. AF by class'!$E53</f>
        <v>0</v>
      </c>
      <c r="P57" s="32">
        <f>SUM(F57:O57)</f>
        <v>0</v>
      </c>
      <c r="Q57" s="32">
        <f>E57-P57</f>
        <v>0</v>
      </c>
    </row>
    <row r="58" spans="1:17" x14ac:dyDescent="0.3">
      <c r="A58" s="157"/>
      <c r="B58" s="35" t="s">
        <v>1014</v>
      </c>
      <c r="C58" s="35"/>
      <c r="D58" s="53"/>
      <c r="E58" s="243">
        <f t="shared" ref="E58:N58" si="9">SUM(E57:E57)</f>
        <v>0</v>
      </c>
      <c r="F58" s="243">
        <f t="shared" si="9"/>
        <v>0</v>
      </c>
      <c r="G58" s="243">
        <f t="shared" si="9"/>
        <v>0</v>
      </c>
      <c r="H58" s="243">
        <f t="shared" si="9"/>
        <v>0</v>
      </c>
      <c r="I58" s="243">
        <f t="shared" si="9"/>
        <v>0</v>
      </c>
      <c r="J58" s="243">
        <f t="shared" si="9"/>
        <v>0</v>
      </c>
      <c r="K58" s="243">
        <f t="shared" si="9"/>
        <v>0</v>
      </c>
      <c r="L58" s="243">
        <f t="shared" si="9"/>
        <v>0</v>
      </c>
      <c r="M58" s="243">
        <f t="shared" si="9"/>
        <v>0</v>
      </c>
      <c r="N58" s="244">
        <f t="shared" si="9"/>
        <v>0</v>
      </c>
      <c r="P58" s="32">
        <f>SUM(F58:O58)</f>
        <v>0</v>
      </c>
      <c r="Q58" s="32">
        <f>E58-P58</f>
        <v>0</v>
      </c>
    </row>
    <row r="59" spans="1:17" x14ac:dyDescent="0.3">
      <c r="A59" s="157"/>
      <c r="B59" s="35"/>
      <c r="C59" s="35"/>
      <c r="D59" s="35"/>
      <c r="E59" s="243"/>
      <c r="F59" s="243"/>
      <c r="G59" s="243"/>
      <c r="H59" s="243"/>
      <c r="I59" s="243"/>
      <c r="J59" s="243"/>
      <c r="K59" s="243"/>
      <c r="L59" s="243"/>
      <c r="M59" s="243"/>
      <c r="N59" s="244"/>
    </row>
    <row r="60" spans="1:17" x14ac:dyDescent="0.3">
      <c r="A60" s="157" t="s">
        <v>913</v>
      </c>
      <c r="B60" s="35"/>
      <c r="C60" s="35"/>
      <c r="D60" s="35"/>
      <c r="E60" s="243">
        <f>'9b. Summary Schedules-sf'!AH179</f>
        <v>0</v>
      </c>
      <c r="F60" s="243">
        <f>$E60*'11a. AF by class'!F56/'11a. AF by class'!$E56</f>
        <v>0</v>
      </c>
      <c r="G60" s="243">
        <f>$E60*'11a. AF by class'!G56/'11a. AF by class'!$E56</f>
        <v>0</v>
      </c>
      <c r="H60" s="243">
        <f>$E60*'11a. AF by class'!H56/'11a. AF by class'!$E56</f>
        <v>0</v>
      </c>
      <c r="I60" s="243">
        <f>$E60*'11a. AF by class'!I56/'11a. AF by class'!$E56</f>
        <v>0</v>
      </c>
      <c r="J60" s="243">
        <f>$E60*'11a. AF by class'!J56/'11a. AF by class'!$E56</f>
        <v>0</v>
      </c>
      <c r="K60" s="243">
        <f>$E60*'11a. AF by class'!K56/'11a. AF by class'!$E56</f>
        <v>0</v>
      </c>
      <c r="L60" s="243">
        <f>$E60*'11a. AF by class'!L56/'11a. AF by class'!$E56</f>
        <v>0</v>
      </c>
      <c r="M60" s="243">
        <f>$E60*'11a. AF by class'!M56/'11a. AF by class'!$E56</f>
        <v>0</v>
      </c>
      <c r="N60" s="244">
        <f>$E60*'11a. AF by class'!N56/'11a. AF by class'!$E56</f>
        <v>0</v>
      </c>
      <c r="P60" s="32">
        <f>SUM(F60:O60)</f>
        <v>0</v>
      </c>
      <c r="Q60" s="32">
        <f>E60-P60</f>
        <v>0</v>
      </c>
    </row>
    <row r="61" spans="1:17" x14ac:dyDescent="0.3">
      <c r="A61" s="157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158"/>
    </row>
    <row r="62" spans="1:17" x14ac:dyDescent="0.3">
      <c r="A62" s="157" t="s">
        <v>998</v>
      </c>
      <c r="B62" s="35"/>
      <c r="C62" s="35"/>
      <c r="D62" s="35"/>
      <c r="E62" s="35">
        <f>SUM(E18,E20,E22,E41,E46,E48,E54,E58,E60)</f>
        <v>26741243.059999999</v>
      </c>
      <c r="F62" s="35">
        <f t="shared" ref="F62:N62" si="10">SUM(F18,F20,F22,F41,F46,F48,F54,F58,F60)</f>
        <v>10645154.037324799</v>
      </c>
      <c r="G62" s="35">
        <f t="shared" si="10"/>
        <v>3156268.9183717999</v>
      </c>
      <c r="H62" s="35">
        <f t="shared" si="10"/>
        <v>5590256.8616930004</v>
      </c>
      <c r="I62" s="35">
        <f t="shared" si="10"/>
        <v>3279813.4613089999</v>
      </c>
      <c r="J62" s="35">
        <f t="shared" si="10"/>
        <v>1378511.079743</v>
      </c>
      <c r="K62" s="35">
        <f t="shared" si="10"/>
        <v>2042228.7324921996</v>
      </c>
      <c r="L62" s="35">
        <f t="shared" si="10"/>
        <v>531615.91203279991</v>
      </c>
      <c r="M62" s="35">
        <f t="shared" si="10"/>
        <v>2941.5367366</v>
      </c>
      <c r="N62" s="158">
        <f t="shared" si="10"/>
        <v>114452.52029679999</v>
      </c>
      <c r="P62" s="32">
        <f>SUM(F62:O62)</f>
        <v>26741243.060000006</v>
      </c>
      <c r="Q62" s="32">
        <f>E62-P62</f>
        <v>0</v>
      </c>
    </row>
    <row r="63" spans="1:17" ht="13.5" thickBot="1" x14ac:dyDescent="0.35">
      <c r="A63" s="33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161"/>
    </row>
  </sheetData>
  <customSheetViews>
    <customSheetView guid="{121E4431-22F3-11D5-8242-00600818425F}" scale="75" showRuler="0">
      <pane xSplit="2" ySplit="7" topLeftCell="C8" activePane="bottomRight" state="frozen"/>
      <selection pane="bottomRight" activeCell="E12" sqref="E12"/>
      <pageMargins left="0" right="0" top="0.5" bottom="0.4" header="0.2" footer="0.2"/>
      <printOptions horizontalCentered="1" gridLines="1"/>
      <pageSetup scale="65" orientation="landscape" horizontalDpi="300" vertic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showRuler="0">
      <pane xSplit="2" ySplit="7" topLeftCell="C8" activePane="bottomRight" state="frozen"/>
      <selection pane="bottomRight" activeCell="E12" sqref="E12"/>
      <pageMargins left="0" right="0" top="0.5" bottom="0.4" header="0.2" footer="0.2"/>
      <printOptions horizontalCentered="1" gridLines="1"/>
      <pageSetup scale="65" orientation="landscape" horizontalDpi="300" vertic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showRuler="0">
      <pane xSplit="2" ySplit="7" topLeftCell="C8" activePane="bottomRight" state="frozen"/>
      <selection pane="bottomRight" activeCell="E12" sqref="E12"/>
      <pageMargins left="0" right="0" top="0.5" bottom="0.4" header="0.2" footer="0.2"/>
      <printOptions horizontalCentered="1" gridLines="1"/>
      <pageSetup scale="65" orientation="landscape" horizontalDpi="300" verticalDpi="30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65" orientation="landscape" horizontalDpi="300" verticalDpi="300" r:id="rId4"/>
  <headerFooter alignWithMargins="0">
    <oddFooter>&amp;L&amp;8&amp;F&amp;C&amp;8&amp;A
page &amp;P&amp;R&amp;8&amp;D
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B63"/>
  <sheetViews>
    <sheetView zoomScale="75" zoomScaleNormal="75" workbookViewId="0">
      <pane xSplit="2" ySplit="7" topLeftCell="C8" activePane="bottomRight" state="frozen"/>
      <selection activeCell="C9" sqref="C9"/>
      <selection pane="topRight" activeCell="C9" sqref="C9"/>
      <selection pane="bottomLeft" activeCell="C9" sqref="C9"/>
      <selection pane="bottomRight" activeCell="C8" sqref="C8"/>
    </sheetView>
  </sheetViews>
  <sheetFormatPr defaultColWidth="9.1796875" defaultRowHeight="13" x14ac:dyDescent="0.3"/>
  <cols>
    <col min="1" max="1" width="4.54296875" style="32" customWidth="1"/>
    <col min="2" max="2" width="32.1796875" style="32" customWidth="1"/>
    <col min="3" max="3" width="12.81640625" style="32" customWidth="1"/>
    <col min="4" max="4" width="11.453125" style="32" customWidth="1"/>
    <col min="5" max="8" width="15" style="32" customWidth="1"/>
    <col min="9" max="16" width="12.54296875" style="32" customWidth="1"/>
    <col min="17" max="17" width="12.453125" style="32" customWidth="1"/>
    <col min="18" max="18" width="13.81640625" style="32" customWidth="1"/>
    <col min="19" max="20" width="9.1796875" style="32"/>
    <col min="21" max="21" width="11.453125" style="32" bestFit="1" customWidth="1"/>
    <col min="22" max="22" width="8.54296875" style="32" bestFit="1" customWidth="1"/>
    <col min="23" max="16384" width="9.1796875" style="32"/>
  </cols>
  <sheetData>
    <row r="1" spans="1:54" x14ac:dyDescent="0.3">
      <c r="A1" s="301" t="str">
        <f>'1. RB-i'!$A$1</f>
        <v>CPS Energy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3"/>
      <c r="O1" s="42"/>
      <c r="P1" s="42"/>
      <c r="S1" s="1"/>
      <c r="T1" s="1"/>
    </row>
    <row r="2" spans="1:54" x14ac:dyDescent="0.3">
      <c r="A2" s="307" t="s">
        <v>1315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98"/>
      <c r="O2" s="35"/>
      <c r="P2" s="35"/>
    </row>
    <row r="3" spans="1:54" x14ac:dyDescent="0.3">
      <c r="A3" s="307" t="str">
        <f>'10i. STP-DC by class'!A3</f>
        <v>Based on FYE 2017 Test Year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98"/>
      <c r="O3" s="31"/>
      <c r="P3" s="31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</row>
    <row r="4" spans="1:54" s="179" customFormat="1" x14ac:dyDescent="0.3">
      <c r="A4" s="304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305"/>
    </row>
    <row r="5" spans="1:54" s="179" customFormat="1" x14ac:dyDescent="0.3">
      <c r="A5" s="304"/>
      <c r="B5" s="196"/>
      <c r="C5" s="196"/>
      <c r="D5" s="196"/>
      <c r="E5" s="196"/>
      <c r="F5" s="196"/>
      <c r="G5" s="196"/>
      <c r="H5" s="199"/>
      <c r="I5" s="199"/>
      <c r="J5" s="199"/>
      <c r="K5" s="196"/>
      <c r="L5" s="196"/>
      <c r="M5" s="196"/>
      <c r="N5" s="305"/>
      <c r="P5" s="179" t="s">
        <v>832</v>
      </c>
    </row>
    <row r="6" spans="1:54" s="179" customFormat="1" x14ac:dyDescent="0.3">
      <c r="A6" s="304"/>
      <c r="B6" s="196"/>
      <c r="C6" s="196" t="s">
        <v>359</v>
      </c>
      <c r="D6" s="196"/>
      <c r="E6" s="196" t="s">
        <v>355</v>
      </c>
      <c r="F6" s="196" t="s">
        <v>961</v>
      </c>
      <c r="G6" s="196" t="s">
        <v>962</v>
      </c>
      <c r="H6" s="196" t="s">
        <v>963</v>
      </c>
      <c r="I6" s="196" t="s">
        <v>964</v>
      </c>
      <c r="J6" s="196" t="s">
        <v>965</v>
      </c>
      <c r="K6" s="196" t="s">
        <v>966</v>
      </c>
      <c r="L6" s="196" t="s">
        <v>967</v>
      </c>
      <c r="M6" s="196" t="s">
        <v>968</v>
      </c>
      <c r="N6" s="305" t="s">
        <v>932</v>
      </c>
      <c r="P6" s="179" t="s">
        <v>833</v>
      </c>
      <c r="Q6" s="179" t="s">
        <v>824</v>
      </c>
    </row>
    <row r="7" spans="1:54" s="179" customFormat="1" ht="13.5" thickBot="1" x14ac:dyDescent="0.35">
      <c r="A7" s="299"/>
      <c r="B7" s="282"/>
      <c r="C7" s="282"/>
      <c r="D7" s="282"/>
      <c r="E7" s="282" t="s">
        <v>816</v>
      </c>
      <c r="F7" s="282" t="s">
        <v>817</v>
      </c>
      <c r="G7" s="282" t="s">
        <v>818</v>
      </c>
      <c r="H7" s="282" t="s">
        <v>819</v>
      </c>
      <c r="I7" s="282" t="s">
        <v>820</v>
      </c>
      <c r="J7" s="282" t="s">
        <v>821</v>
      </c>
      <c r="K7" s="282" t="s">
        <v>822</v>
      </c>
      <c r="L7" s="282" t="s">
        <v>823</v>
      </c>
      <c r="M7" s="282" t="s">
        <v>908</v>
      </c>
      <c r="N7" s="300" t="s">
        <v>914</v>
      </c>
    </row>
    <row r="8" spans="1:54" x14ac:dyDescent="0.3">
      <c r="A8" s="157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158"/>
      <c r="O8" s="35"/>
      <c r="P8" s="35"/>
    </row>
    <row r="9" spans="1:54" x14ac:dyDescent="0.3">
      <c r="A9" s="157" t="s">
        <v>544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158"/>
    </row>
    <row r="10" spans="1:54" x14ac:dyDescent="0.3">
      <c r="A10" s="157"/>
      <c r="B10" s="35" t="s">
        <v>969</v>
      </c>
      <c r="C10" s="35"/>
      <c r="D10" s="35"/>
      <c r="E10" s="243">
        <f>'9b. Summary Schedules-sf'!E$180</f>
        <v>2737235.7120000008</v>
      </c>
      <c r="F10" s="243">
        <f>$E10*'11a. AF by class'!F$10/'11a. AF by class'!$E$10</f>
        <v>1089644.819433135</v>
      </c>
      <c r="G10" s="243">
        <f>$E10*'11a. AF by class'!G10/'11a. AF by class'!$E10</f>
        <v>323078.69072367548</v>
      </c>
      <c r="H10" s="243">
        <f>$E10*'11a. AF by class'!H10/'11a. AF by class'!$E10</f>
        <v>572214.20582658332</v>
      </c>
      <c r="I10" s="243">
        <f>$E10*'11a. AF by class'!I10/'11a. AF by class'!$E10</f>
        <v>335718.93677604717</v>
      </c>
      <c r="J10" s="243">
        <f>$E10*'11a. AF by class'!J10/'11a. AF by class'!$E10</f>
        <v>141102.15802371674</v>
      </c>
      <c r="K10" s="243">
        <f>$E10*'11a. AF by class'!K10/'11a. AF by class'!$E10</f>
        <v>209047.21373078338</v>
      </c>
      <c r="L10" s="243">
        <f>$E10*'11a. AF by class'!L10/'11a. AF by class'!$E10</f>
        <v>54417.053837289997</v>
      </c>
      <c r="M10" s="243">
        <f>$E10*'11a. AF by class'!M10/'11a. AF by class'!$E10</f>
        <v>292.54804883052901</v>
      </c>
      <c r="N10" s="244">
        <f>$E10*'11a. AF by class'!N10/'11a. AF by class'!$E10</f>
        <v>11720.085599939321</v>
      </c>
      <c r="P10" s="32">
        <f>SUM(F10:O10)</f>
        <v>2737235.7120000012</v>
      </c>
      <c r="Q10" s="32">
        <f>E10-P10</f>
        <v>0</v>
      </c>
    </row>
    <row r="11" spans="1:54" x14ac:dyDescent="0.3">
      <c r="A11" s="157"/>
      <c r="B11" s="35" t="s">
        <v>1140</v>
      </c>
      <c r="C11" s="35"/>
      <c r="D11" s="35"/>
      <c r="E11" s="642"/>
      <c r="F11" s="642"/>
      <c r="G11" s="642"/>
      <c r="H11" s="642"/>
      <c r="I11" s="642"/>
      <c r="J11" s="642"/>
      <c r="K11" s="642"/>
      <c r="L11" s="642"/>
      <c r="M11" s="642"/>
      <c r="N11" s="643"/>
      <c r="O11" s="641"/>
      <c r="P11" s="641"/>
      <c r="Q11" s="32">
        <f t="shared" ref="Q11:Q13" si="0">E11-P11</f>
        <v>0</v>
      </c>
    </row>
    <row r="12" spans="1:54" x14ac:dyDescent="0.3">
      <c r="A12" s="157"/>
      <c r="B12" s="35" t="s">
        <v>1139</v>
      </c>
      <c r="C12" s="35"/>
      <c r="D12" s="35"/>
      <c r="E12" s="642"/>
      <c r="F12" s="642"/>
      <c r="G12" s="642"/>
      <c r="H12" s="642"/>
      <c r="I12" s="642"/>
      <c r="J12" s="642"/>
      <c r="K12" s="642"/>
      <c r="L12" s="642"/>
      <c r="M12" s="642"/>
      <c r="N12" s="643"/>
      <c r="O12" s="641"/>
      <c r="P12" s="641"/>
      <c r="Q12" s="32">
        <f t="shared" si="0"/>
        <v>0</v>
      </c>
    </row>
    <row r="13" spans="1:54" x14ac:dyDescent="0.3">
      <c r="A13" s="157"/>
      <c r="B13" s="35" t="s">
        <v>947</v>
      </c>
      <c r="C13" s="35"/>
      <c r="D13" s="35"/>
      <c r="E13" s="642"/>
      <c r="F13" s="642"/>
      <c r="G13" s="642"/>
      <c r="H13" s="642"/>
      <c r="I13" s="642"/>
      <c r="J13" s="642"/>
      <c r="K13" s="642"/>
      <c r="L13" s="642"/>
      <c r="M13" s="642"/>
      <c r="N13" s="643"/>
      <c r="O13" s="641"/>
      <c r="P13" s="641"/>
      <c r="Q13" s="32">
        <f t="shared" si="0"/>
        <v>0</v>
      </c>
    </row>
    <row r="14" spans="1:54" x14ac:dyDescent="0.3">
      <c r="A14" s="157"/>
      <c r="B14" s="35"/>
      <c r="C14" s="35"/>
      <c r="D14" s="35"/>
      <c r="E14" s="243"/>
      <c r="F14" s="243"/>
      <c r="G14" s="243"/>
      <c r="H14" s="243"/>
      <c r="I14" s="243"/>
      <c r="J14" s="243"/>
      <c r="K14" s="243"/>
      <c r="L14" s="243"/>
      <c r="M14" s="243"/>
      <c r="N14" s="244"/>
    </row>
    <row r="15" spans="1:54" x14ac:dyDescent="0.3">
      <c r="A15" s="157"/>
      <c r="B15" s="35" t="s">
        <v>970</v>
      </c>
      <c r="C15" s="35"/>
      <c r="D15" s="35"/>
      <c r="E15" s="243">
        <f>'9b. Summary Schedules-sf'!I180</f>
        <v>4105853.5680000004</v>
      </c>
      <c r="F15" s="243">
        <f>$E15*'11a. AF by class'!F11/'11a. AF by class'!$E11</f>
        <v>1396794.0283454794</v>
      </c>
      <c r="G15" s="243">
        <f>$E15*'11a. AF by class'!G11/'11a. AF by class'!$E11</f>
        <v>374815.43558639387</v>
      </c>
      <c r="H15" s="243">
        <f>$E15*'11a. AF by class'!H11/'11a. AF by class'!$E11</f>
        <v>911026.61135210888</v>
      </c>
      <c r="I15" s="243">
        <f>$E15*'11a. AF by class'!I11/'11a. AF by class'!$E11</f>
        <v>591168.41007817409</v>
      </c>
      <c r="J15" s="243">
        <f>$E15*'11a. AF by class'!J11/'11a. AF by class'!$E11</f>
        <v>285156.23497917043</v>
      </c>
      <c r="K15" s="243">
        <f>$E15*'11a. AF by class'!K11/'11a. AF by class'!$E11</f>
        <v>447291.6759444403</v>
      </c>
      <c r="L15" s="243">
        <f>$E15*'11a. AF by class'!L11/'11a. AF by class'!$E11</f>
        <v>81961.254430333938</v>
      </c>
      <c r="M15" s="243">
        <f>$E15*'11a. AF by class'!M11/'11a. AF by class'!$E11</f>
        <v>803.53612160405817</v>
      </c>
      <c r="N15" s="244">
        <f>$E15*'11a. AF by class'!N11/'11a. AF by class'!$E11</f>
        <v>16836.381162295424</v>
      </c>
      <c r="P15" s="32">
        <f>SUM(F15:O15)</f>
        <v>4105853.5680000004</v>
      </c>
      <c r="Q15" s="32">
        <f>E15-P15</f>
        <v>0</v>
      </c>
    </row>
    <row r="16" spans="1:54" x14ac:dyDescent="0.3">
      <c r="A16" s="157"/>
      <c r="B16" s="35" t="s">
        <v>971</v>
      </c>
      <c r="C16" s="35"/>
      <c r="D16" s="35"/>
      <c r="E16" s="35">
        <f>E10+E15</f>
        <v>6843089.2800000012</v>
      </c>
      <c r="F16" s="35">
        <f t="shared" ref="F16:P16" si="1">F10+F15</f>
        <v>2486438.8477786146</v>
      </c>
      <c r="G16" s="35">
        <f t="shared" si="1"/>
        <v>697894.12631006935</v>
      </c>
      <c r="H16" s="35">
        <f t="shared" si="1"/>
        <v>1483240.8171786922</v>
      </c>
      <c r="I16" s="35">
        <f t="shared" si="1"/>
        <v>926887.34685422131</v>
      </c>
      <c r="J16" s="35">
        <f t="shared" si="1"/>
        <v>426258.39300288714</v>
      </c>
      <c r="K16" s="35">
        <f t="shared" si="1"/>
        <v>656338.88967522373</v>
      </c>
      <c r="L16" s="35">
        <f t="shared" si="1"/>
        <v>136378.30826762394</v>
      </c>
      <c r="M16" s="35">
        <f t="shared" si="1"/>
        <v>1096.0841704345871</v>
      </c>
      <c r="N16" s="158">
        <f t="shared" si="1"/>
        <v>28556.466762234744</v>
      </c>
      <c r="O16" s="35"/>
      <c r="P16" s="35">
        <f t="shared" si="1"/>
        <v>6843089.2800000012</v>
      </c>
      <c r="Q16" s="32">
        <f>E16-P16</f>
        <v>0</v>
      </c>
    </row>
    <row r="17" spans="1:17" x14ac:dyDescent="0.3">
      <c r="A17" s="157"/>
      <c r="B17" s="35" t="s">
        <v>617</v>
      </c>
      <c r="C17" s="35"/>
      <c r="D17" s="35"/>
      <c r="E17" s="243">
        <f>'9b. Summary Schedules-sf'!J180</f>
        <v>0</v>
      </c>
      <c r="F17" s="243">
        <f>$E17*'11a. AF by class'!F13/'11a. AF by class'!$E13</f>
        <v>0</v>
      </c>
      <c r="G17" s="243">
        <f>$E17*'11a. AF by class'!G13/'11a. AF by class'!$E13</f>
        <v>0</v>
      </c>
      <c r="H17" s="243">
        <f>$E17*'11a. AF by class'!H13/'11a. AF by class'!$E13</f>
        <v>0</v>
      </c>
      <c r="I17" s="243">
        <f>$E17*'11a. AF by class'!I13/'11a. AF by class'!$E13</f>
        <v>0</v>
      </c>
      <c r="J17" s="243">
        <f>$E17*'11a. AF by class'!J13/'11a. AF by class'!$E13</f>
        <v>0</v>
      </c>
      <c r="K17" s="243">
        <f>$E17*'11a. AF by class'!K13/'11a. AF by class'!$E13</f>
        <v>0</v>
      </c>
      <c r="L17" s="243">
        <f>$E17*'11a. AF by class'!L13/'11a. AF by class'!$E13</f>
        <v>0</v>
      </c>
      <c r="M17" s="243">
        <f>$E17*'11a. AF by class'!M13/'11a. AF by class'!$E13</f>
        <v>0</v>
      </c>
      <c r="N17" s="244">
        <f>$E17*'11a. AF by class'!N13/'11a. AF by class'!$E13</f>
        <v>0</v>
      </c>
      <c r="P17" s="32">
        <f>SUM(F17:O17)</f>
        <v>0</v>
      </c>
      <c r="Q17" s="32">
        <f>E17-P17</f>
        <v>0</v>
      </c>
    </row>
    <row r="18" spans="1:17" x14ac:dyDescent="0.3">
      <c r="A18" s="157"/>
      <c r="B18" s="35" t="s">
        <v>972</v>
      </c>
      <c r="C18" s="35"/>
      <c r="D18" s="35"/>
      <c r="E18" s="243">
        <f>SUM(E16:E17)</f>
        <v>6843089.2800000012</v>
      </c>
      <c r="F18" s="243">
        <f t="shared" ref="F18:N18" si="2">SUM(F16:F17)</f>
        <v>2486438.8477786146</v>
      </c>
      <c r="G18" s="243">
        <f t="shared" si="2"/>
        <v>697894.12631006935</v>
      </c>
      <c r="H18" s="243">
        <f t="shared" si="2"/>
        <v>1483240.8171786922</v>
      </c>
      <c r="I18" s="243">
        <f t="shared" si="2"/>
        <v>926887.34685422131</v>
      </c>
      <c r="J18" s="243">
        <f t="shared" si="2"/>
        <v>426258.39300288714</v>
      </c>
      <c r="K18" s="243">
        <f t="shared" si="2"/>
        <v>656338.88967522373</v>
      </c>
      <c r="L18" s="243">
        <f t="shared" si="2"/>
        <v>136378.30826762394</v>
      </c>
      <c r="M18" s="243">
        <f t="shared" si="2"/>
        <v>1096.0841704345871</v>
      </c>
      <c r="N18" s="244">
        <f t="shared" si="2"/>
        <v>28556.466762234744</v>
      </c>
      <c r="P18" s="32">
        <f>SUM(F18:O18)</f>
        <v>6843089.2800000012</v>
      </c>
      <c r="Q18" s="32">
        <f>E18-P18</f>
        <v>0</v>
      </c>
    </row>
    <row r="19" spans="1:17" x14ac:dyDescent="0.3">
      <c r="A19" s="157"/>
      <c r="B19" s="35"/>
      <c r="C19" s="35"/>
      <c r="D19" s="35"/>
      <c r="E19" s="243"/>
      <c r="F19" s="243"/>
      <c r="G19" s="243"/>
      <c r="H19" s="243"/>
      <c r="I19" s="243"/>
      <c r="J19" s="243"/>
      <c r="K19" s="243"/>
      <c r="L19" s="243"/>
      <c r="M19" s="243"/>
      <c r="N19" s="244"/>
    </row>
    <row r="20" spans="1:17" x14ac:dyDescent="0.3">
      <c r="A20" s="157" t="s">
        <v>984</v>
      </c>
      <c r="B20" s="35"/>
      <c r="C20" s="35"/>
      <c r="D20" s="35"/>
      <c r="E20" s="243">
        <f>'9b. Summary Schedules-sf'!K180</f>
        <v>0</v>
      </c>
      <c r="F20" s="243">
        <f>$E20*'11a. AF by class'!F16/'11a. AF by class'!$E16</f>
        <v>0</v>
      </c>
      <c r="G20" s="243">
        <f>$E20*'11a. AF by class'!G16/'11a. AF by class'!$E16</f>
        <v>0</v>
      </c>
      <c r="H20" s="243">
        <f>$E20*'11a. AF by class'!H16/'11a. AF by class'!$E16</f>
        <v>0</v>
      </c>
      <c r="I20" s="243">
        <f>$E20*'11a. AF by class'!I16/'11a. AF by class'!$E16</f>
        <v>0</v>
      </c>
      <c r="J20" s="243">
        <f>$E20*'11a. AF by class'!J16/'11a. AF by class'!$E16</f>
        <v>0</v>
      </c>
      <c r="K20" s="243">
        <f>$E20*'11a. AF by class'!K16/'11a. AF by class'!$E16</f>
        <v>0</v>
      </c>
      <c r="L20" s="243">
        <f>$E20*'11a. AF by class'!L16/'11a. AF by class'!$E16</f>
        <v>0</v>
      </c>
      <c r="M20" s="243">
        <f>$E20*'11a. AF by class'!M16/'11a. AF by class'!$E16</f>
        <v>0</v>
      </c>
      <c r="N20" s="244">
        <f>$E20*'11a. AF by class'!N16/'11a. AF by class'!$E16</f>
        <v>0</v>
      </c>
      <c r="P20" s="32">
        <f>SUM(F20:O20)</f>
        <v>0</v>
      </c>
      <c r="Q20" s="32">
        <f>E20-P20</f>
        <v>0</v>
      </c>
    </row>
    <row r="21" spans="1:17" x14ac:dyDescent="0.3">
      <c r="A21" s="157"/>
      <c r="B21" s="35"/>
      <c r="C21" s="35"/>
      <c r="D21" s="35"/>
      <c r="E21" s="243"/>
      <c r="F21" s="243"/>
      <c r="G21" s="243"/>
      <c r="H21" s="243"/>
      <c r="I21" s="243"/>
      <c r="J21" s="243"/>
      <c r="K21" s="243"/>
      <c r="L21" s="243"/>
      <c r="M21" s="243"/>
      <c r="N21" s="244"/>
    </row>
    <row r="22" spans="1:17" x14ac:dyDescent="0.3">
      <c r="A22" s="157" t="s">
        <v>366</v>
      </c>
      <c r="B22" s="35"/>
      <c r="C22" s="35"/>
      <c r="D22" s="35"/>
      <c r="E22" s="243">
        <f>'9b. Summary Schedules-sf'!L180</f>
        <v>0</v>
      </c>
      <c r="F22" s="243">
        <f>$E22*'11a. AF by class'!F18/'11a. AF by class'!$E18</f>
        <v>0</v>
      </c>
      <c r="G22" s="243">
        <f>$E22*'11a. AF by class'!G18/'11a. AF by class'!$E18</f>
        <v>0</v>
      </c>
      <c r="H22" s="243">
        <f>$E22*'11a. AF by class'!H18/'11a. AF by class'!$E18</f>
        <v>0</v>
      </c>
      <c r="I22" s="243">
        <f>$E22*'11a. AF by class'!I18/'11a. AF by class'!$E18</f>
        <v>0</v>
      </c>
      <c r="J22" s="243">
        <f>$E22*'11a. AF by class'!J18/'11a. AF by class'!$E18</f>
        <v>0</v>
      </c>
      <c r="K22" s="243">
        <f>$E22*'11a. AF by class'!K18/'11a. AF by class'!$E18</f>
        <v>0</v>
      </c>
      <c r="L22" s="243">
        <f>$E22*'11a. AF by class'!L18/'11a. AF by class'!$E18</f>
        <v>0</v>
      </c>
      <c r="M22" s="243">
        <f>$E22*'11a. AF by class'!M18/'11a. AF by class'!$E18</f>
        <v>0</v>
      </c>
      <c r="N22" s="244">
        <f>$E22*'11a. AF by class'!N18/'11a. AF by class'!$E18</f>
        <v>0</v>
      </c>
      <c r="P22" s="32">
        <f>SUM(F22:O22)</f>
        <v>0</v>
      </c>
      <c r="Q22" s="32">
        <f>E22-P22</f>
        <v>0</v>
      </c>
    </row>
    <row r="23" spans="1:17" x14ac:dyDescent="0.3">
      <c r="A23" s="157"/>
      <c r="B23" s="35"/>
      <c r="C23" s="35"/>
      <c r="D23" s="35"/>
      <c r="E23" s="243"/>
      <c r="F23" s="243"/>
      <c r="G23" s="243"/>
      <c r="H23" s="243"/>
      <c r="I23" s="243"/>
      <c r="J23" s="243"/>
      <c r="K23" s="243"/>
      <c r="L23" s="243"/>
      <c r="M23" s="243"/>
      <c r="N23" s="244"/>
    </row>
    <row r="24" spans="1:17" x14ac:dyDescent="0.3">
      <c r="A24" s="157" t="s">
        <v>367</v>
      </c>
      <c r="B24" s="35"/>
      <c r="C24" s="35"/>
      <c r="D24" s="35"/>
      <c r="E24" s="243"/>
      <c r="F24" s="243"/>
      <c r="G24" s="243"/>
      <c r="H24" s="243"/>
      <c r="I24" s="243"/>
      <c r="J24" s="243"/>
      <c r="K24" s="243"/>
      <c r="L24" s="243"/>
      <c r="M24" s="243"/>
      <c r="N24" s="244"/>
    </row>
    <row r="25" spans="1:17" x14ac:dyDescent="0.3">
      <c r="A25" s="157"/>
      <c r="B25" s="35" t="s">
        <v>973</v>
      </c>
      <c r="C25" s="35"/>
      <c r="D25" s="35"/>
      <c r="E25" s="243"/>
      <c r="F25" s="243"/>
      <c r="G25" s="243"/>
      <c r="H25" s="243"/>
      <c r="I25" s="243"/>
      <c r="J25" s="243"/>
      <c r="K25" s="243"/>
      <c r="L25" s="243"/>
      <c r="M25" s="243"/>
      <c r="N25" s="244"/>
    </row>
    <row r="26" spans="1:17" x14ac:dyDescent="0.3">
      <c r="A26" s="157"/>
      <c r="B26" s="35" t="s">
        <v>974</v>
      </c>
      <c r="C26" s="35"/>
      <c r="D26" s="35"/>
      <c r="E26" s="243">
        <f>'9b. Summary Schedules-sf'!N180</f>
        <v>0</v>
      </c>
      <c r="F26" s="243">
        <f>$E26*'11a. AF by class'!F22/'11a. AF by class'!$E22</f>
        <v>0</v>
      </c>
      <c r="G26" s="243">
        <f>$E26*'11a. AF by class'!G22/'11a. AF by class'!$E22</f>
        <v>0</v>
      </c>
      <c r="H26" s="243">
        <f>$E26*'11a. AF by class'!H22/'11a. AF by class'!$E22</f>
        <v>0</v>
      </c>
      <c r="I26" s="243">
        <f>$E26*'11a. AF by class'!I22/'11a. AF by class'!$E22</f>
        <v>0</v>
      </c>
      <c r="J26" s="243">
        <f>$E26*'11a. AF by class'!J22/'11a. AF by class'!$E22</f>
        <v>0</v>
      </c>
      <c r="K26" s="243">
        <f>$E26*'11a. AF by class'!K22/'11a. AF by class'!$E22</f>
        <v>0</v>
      </c>
      <c r="L26" s="243">
        <f>$E26*'11a. AF by class'!L22/'11a. AF by class'!$E22</f>
        <v>0</v>
      </c>
      <c r="M26" s="243">
        <f>$E26*'11a. AF by class'!M22/'11a. AF by class'!$E22</f>
        <v>0</v>
      </c>
      <c r="N26" s="244">
        <f>$E26*'11a. AF by class'!N22/'11a. AF by class'!$E22</f>
        <v>0</v>
      </c>
      <c r="P26" s="32">
        <f>SUM(F26:O26)</f>
        <v>0</v>
      </c>
      <c r="Q26" s="32">
        <f>E26-P26</f>
        <v>0</v>
      </c>
    </row>
    <row r="27" spans="1:17" x14ac:dyDescent="0.3">
      <c r="A27" s="157"/>
      <c r="B27" s="35" t="s">
        <v>975</v>
      </c>
      <c r="C27" s="35"/>
      <c r="D27" s="35"/>
      <c r="E27" s="243">
        <f>'9b. Summary Schedules-sf'!O180</f>
        <v>0</v>
      </c>
      <c r="F27" s="243">
        <f>$E27*'11a. AF by class'!F23/'11a. AF by class'!$E23</f>
        <v>0</v>
      </c>
      <c r="G27" s="243">
        <f>$E27*'11a. AF by class'!G23/'11a. AF by class'!$E23</f>
        <v>0</v>
      </c>
      <c r="H27" s="243">
        <f>$E27*'11a. AF by class'!H23/'11a. AF by class'!$E23</f>
        <v>0</v>
      </c>
      <c r="I27" s="243">
        <f>$E27*'11a. AF by class'!I23/'11a. AF by class'!$E23</f>
        <v>0</v>
      </c>
      <c r="J27" s="243">
        <f>$E27*'11a. AF by class'!J23/'11a. AF by class'!$E23</f>
        <v>0</v>
      </c>
      <c r="K27" s="243">
        <f>$E27*'11a. AF by class'!K23/'11a. AF by class'!$E23</f>
        <v>0</v>
      </c>
      <c r="L27" s="243">
        <f>$E27*'11a. AF by class'!L23/'11a. AF by class'!$E23</f>
        <v>0</v>
      </c>
      <c r="M27" s="243">
        <f>$E27*'11a. AF by class'!M23/'11a. AF by class'!$E23</f>
        <v>0</v>
      </c>
      <c r="N27" s="244">
        <f>$E27*'11a. AF by class'!N23/'11a. AF by class'!$E23</f>
        <v>0</v>
      </c>
      <c r="P27" s="32">
        <f>SUM(F27:O27)</f>
        <v>0</v>
      </c>
      <c r="Q27" s="32">
        <f>E27-P27</f>
        <v>0</v>
      </c>
    </row>
    <row r="28" spans="1:17" x14ac:dyDescent="0.3">
      <c r="A28" s="157"/>
      <c r="B28" s="35" t="s">
        <v>976</v>
      </c>
      <c r="C28" s="35"/>
      <c r="D28" s="35"/>
      <c r="E28" s="243">
        <f>'9b. Summary Schedules-sf'!P180</f>
        <v>0</v>
      </c>
      <c r="F28" s="243">
        <f>$E28*'11a. AF by class'!F24/'11a. AF by class'!$E24</f>
        <v>0</v>
      </c>
      <c r="G28" s="243">
        <f>$E28*'11a. AF by class'!G24/'11a. AF by class'!$E24</f>
        <v>0</v>
      </c>
      <c r="H28" s="243">
        <f>$E28*'11a. AF by class'!H24/'11a. AF by class'!$E24</f>
        <v>0</v>
      </c>
      <c r="I28" s="243">
        <f>$E28*'11a. AF by class'!I24/'11a. AF by class'!$E24</f>
        <v>0</v>
      </c>
      <c r="J28" s="243">
        <f>$E28*'11a. AF by class'!J24/'11a. AF by class'!$E24</f>
        <v>0</v>
      </c>
      <c r="K28" s="243">
        <f>$E28*'11a. AF by class'!K24/'11a. AF by class'!$E24</f>
        <v>0</v>
      </c>
      <c r="L28" s="243">
        <f>$E28*'11a. AF by class'!L24/'11a. AF by class'!$E24</f>
        <v>0</v>
      </c>
      <c r="M28" s="243">
        <f>$E28*'11a. AF by class'!M24/'11a. AF by class'!$E24</f>
        <v>0</v>
      </c>
      <c r="N28" s="244">
        <f>$E28*'11a. AF by class'!N24/'11a. AF by class'!$E24</f>
        <v>0</v>
      </c>
      <c r="P28" s="32">
        <f>SUM(F28:O28)</f>
        <v>0</v>
      </c>
      <c r="Q28" s="32">
        <f>E28-P28</f>
        <v>0</v>
      </c>
    </row>
    <row r="29" spans="1:17" x14ac:dyDescent="0.3">
      <c r="A29" s="157"/>
      <c r="B29" s="35" t="s">
        <v>931</v>
      </c>
      <c r="C29" s="35"/>
      <c r="D29" s="35"/>
      <c r="E29" s="580">
        <f>'9b. Summary Schedules-sf'!Q180</f>
        <v>0</v>
      </c>
      <c r="F29" s="580">
        <f>$E29*'11a. AF by class'!F25/'11a. AF by class'!$E25</f>
        <v>0</v>
      </c>
      <c r="G29" s="580">
        <f>$E29*'11a. AF by class'!G25/'11a. AF by class'!$E25</f>
        <v>0</v>
      </c>
      <c r="H29" s="580">
        <f>$E29*'11a. AF by class'!H25/'11a. AF by class'!$E25</f>
        <v>0</v>
      </c>
      <c r="I29" s="580">
        <f>$E29*'11a. AF by class'!I25/'11a. AF by class'!$E25</f>
        <v>0</v>
      </c>
      <c r="J29" s="580">
        <f>$E29*'11a. AF by class'!J25/'11a. AF by class'!$E25</f>
        <v>0</v>
      </c>
      <c r="K29" s="580">
        <f>$E29*'11a. AF by class'!K25/'11a. AF by class'!$E25</f>
        <v>0</v>
      </c>
      <c r="L29" s="580">
        <f>$E29*'11a. AF by class'!L25/'11a. AF by class'!$E25</f>
        <v>0</v>
      </c>
      <c r="M29" s="580">
        <f>$E29*'11a. AF by class'!M25/'11a. AF by class'!$E25</f>
        <v>0</v>
      </c>
      <c r="N29" s="600">
        <f>$E29*'11a. AF by class'!N25/'11a. AF by class'!$E25</f>
        <v>0</v>
      </c>
      <c r="P29" s="32">
        <f>SUM(F29:O29)</f>
        <v>0</v>
      </c>
      <c r="Q29" s="32">
        <f>E29-P29</f>
        <v>0</v>
      </c>
    </row>
    <row r="30" spans="1:17" x14ac:dyDescent="0.3">
      <c r="A30" s="157"/>
      <c r="B30" s="35" t="s">
        <v>977</v>
      </c>
      <c r="C30" s="35"/>
      <c r="D30" s="35"/>
      <c r="E30" s="243">
        <f>SUM(E26:E29)</f>
        <v>0</v>
      </c>
      <c r="F30" s="243">
        <f t="shared" ref="F30:N30" si="3">SUM(F26:F29)</f>
        <v>0</v>
      </c>
      <c r="G30" s="243">
        <f t="shared" si="3"/>
        <v>0</v>
      </c>
      <c r="H30" s="243">
        <f t="shared" si="3"/>
        <v>0</v>
      </c>
      <c r="I30" s="243">
        <f t="shared" si="3"/>
        <v>0</v>
      </c>
      <c r="J30" s="243">
        <f t="shared" si="3"/>
        <v>0</v>
      </c>
      <c r="K30" s="243">
        <f t="shared" si="3"/>
        <v>0</v>
      </c>
      <c r="L30" s="243">
        <f t="shared" si="3"/>
        <v>0</v>
      </c>
      <c r="M30" s="243">
        <f t="shared" si="3"/>
        <v>0</v>
      </c>
      <c r="N30" s="244">
        <f t="shared" si="3"/>
        <v>0</v>
      </c>
      <c r="P30" s="32">
        <f>SUM(F30:O30)</f>
        <v>0</v>
      </c>
      <c r="Q30" s="32">
        <f>E30-P30</f>
        <v>0</v>
      </c>
    </row>
    <row r="31" spans="1:17" x14ac:dyDescent="0.3">
      <c r="A31" s="157"/>
      <c r="B31" s="35"/>
      <c r="C31" s="35"/>
      <c r="D31" s="35"/>
      <c r="E31" s="243"/>
      <c r="F31" s="243"/>
      <c r="G31" s="243"/>
      <c r="H31" s="243"/>
      <c r="I31" s="243"/>
      <c r="J31" s="243"/>
      <c r="K31" s="243"/>
      <c r="L31" s="243"/>
      <c r="M31" s="243"/>
      <c r="N31" s="244"/>
    </row>
    <row r="32" spans="1:17" x14ac:dyDescent="0.3">
      <c r="A32" s="157"/>
      <c r="B32" s="35" t="s">
        <v>978</v>
      </c>
      <c r="C32" s="35"/>
      <c r="D32" s="35"/>
      <c r="E32" s="243"/>
      <c r="F32" s="243"/>
      <c r="G32" s="243"/>
      <c r="H32" s="243"/>
      <c r="I32" s="243"/>
      <c r="J32" s="243"/>
      <c r="K32" s="243"/>
      <c r="L32" s="243"/>
      <c r="M32" s="243"/>
      <c r="N32" s="244"/>
    </row>
    <row r="33" spans="1:17" x14ac:dyDescent="0.3">
      <c r="A33" s="157"/>
      <c r="B33" s="35" t="s">
        <v>975</v>
      </c>
      <c r="C33" s="35"/>
      <c r="D33" s="35"/>
      <c r="E33" s="243">
        <f>'9b. Summary Schedules-sf'!R180</f>
        <v>0</v>
      </c>
      <c r="F33" s="243">
        <f>$E33*'11a. AF by class'!F29/'11a. AF by class'!$E29</f>
        <v>0</v>
      </c>
      <c r="G33" s="243">
        <f>$E33*'11a. AF by class'!G29/'11a. AF by class'!$E29</f>
        <v>0</v>
      </c>
      <c r="H33" s="243">
        <f>$E33*'11a. AF by class'!H29/'11a. AF by class'!$E29</f>
        <v>0</v>
      </c>
      <c r="I33" s="243">
        <f>$E33*'11a. AF by class'!I29/'11a. AF by class'!$E29</f>
        <v>0</v>
      </c>
      <c r="J33" s="243">
        <f>$E33*'11a. AF by class'!J29/'11a. AF by class'!$E29</f>
        <v>0</v>
      </c>
      <c r="K33" s="243">
        <f>$E33*'11a. AF by class'!K29/'11a. AF by class'!$E29</f>
        <v>0</v>
      </c>
      <c r="L33" s="243">
        <f>$E33*'11a. AF by class'!L29/'11a. AF by class'!$E29</f>
        <v>0</v>
      </c>
      <c r="M33" s="243">
        <f>$E33*'11a. AF by class'!M29/'11a. AF by class'!$E29</f>
        <v>0</v>
      </c>
      <c r="N33" s="244">
        <f>$E33*'11a. AF by class'!N29/'11a. AF by class'!$E29</f>
        <v>0</v>
      </c>
      <c r="P33" s="32">
        <f t="shared" ref="P33:P39" si="4">SUM(F33:O33)</f>
        <v>0</v>
      </c>
      <c r="Q33" s="32">
        <f t="shared" ref="Q33:Q39" si="5">E33-P33</f>
        <v>0</v>
      </c>
    </row>
    <row r="34" spans="1:17" x14ac:dyDescent="0.3">
      <c r="A34" s="157"/>
      <c r="B34" s="35" t="s">
        <v>976</v>
      </c>
      <c r="C34" s="35"/>
      <c r="D34" s="35"/>
      <c r="E34" s="243">
        <f>'9b. Summary Schedules-sf'!S180</f>
        <v>0</v>
      </c>
      <c r="F34" s="243">
        <f>$E34*'11a. AF by class'!F30/'11a. AF by class'!$E30</f>
        <v>0</v>
      </c>
      <c r="G34" s="243">
        <f>$E34*'11a. AF by class'!G30/'11a. AF by class'!$E30</f>
        <v>0</v>
      </c>
      <c r="H34" s="243">
        <f>$E34*'11a. AF by class'!H30/'11a. AF by class'!$E30</f>
        <v>0</v>
      </c>
      <c r="I34" s="243">
        <f>$E34*'11a. AF by class'!I30/'11a. AF by class'!$E30</f>
        <v>0</v>
      </c>
      <c r="J34" s="243">
        <f>$E34*'11a. AF by class'!J30/'11a. AF by class'!$E30</f>
        <v>0</v>
      </c>
      <c r="K34" s="243">
        <f>$E34*'11a. AF by class'!K30/'11a. AF by class'!$E30</f>
        <v>0</v>
      </c>
      <c r="L34" s="243">
        <f>$E34*'11a. AF by class'!L30/'11a. AF by class'!$E30</f>
        <v>0</v>
      </c>
      <c r="M34" s="243">
        <f>$E34*'11a. AF by class'!M30/'11a. AF by class'!$E30</f>
        <v>0</v>
      </c>
      <c r="N34" s="244">
        <f>$E34*'11a. AF by class'!N30/'11a. AF by class'!$E30</f>
        <v>0</v>
      </c>
      <c r="P34" s="32">
        <f t="shared" si="4"/>
        <v>0</v>
      </c>
      <c r="Q34" s="32">
        <f t="shared" si="5"/>
        <v>0</v>
      </c>
    </row>
    <row r="35" spans="1:17" x14ac:dyDescent="0.3">
      <c r="A35" s="157"/>
      <c r="B35" s="35" t="s">
        <v>931</v>
      </c>
      <c r="C35" s="35"/>
      <c r="D35" s="35"/>
      <c r="E35" s="243">
        <f>'9b. Summary Schedules-sf'!T180</f>
        <v>0</v>
      </c>
      <c r="F35" s="243">
        <f>$E35*'11a. AF by class'!F31/'11a. AF by class'!$E31</f>
        <v>0</v>
      </c>
      <c r="G35" s="243">
        <f>$E35*'11a. AF by class'!G31/'11a. AF by class'!$E31</f>
        <v>0</v>
      </c>
      <c r="H35" s="243">
        <f>$E35*'11a. AF by class'!H31/'11a. AF by class'!$E31</f>
        <v>0</v>
      </c>
      <c r="I35" s="243">
        <f>$E35*'11a. AF by class'!I31/'11a. AF by class'!$E31</f>
        <v>0</v>
      </c>
      <c r="J35" s="243">
        <f>$E35*'11a. AF by class'!J31/'11a. AF by class'!$E31</f>
        <v>0</v>
      </c>
      <c r="K35" s="243">
        <f>$E35*'11a. AF by class'!K31/'11a. AF by class'!$E31</f>
        <v>0</v>
      </c>
      <c r="L35" s="243">
        <f>$E35*'11a. AF by class'!L31/'11a. AF by class'!$E31</f>
        <v>0</v>
      </c>
      <c r="M35" s="243">
        <f>$E35*'11a. AF by class'!M31/'11a. AF by class'!$E31</f>
        <v>0</v>
      </c>
      <c r="N35" s="244">
        <f>$E35*'11a. AF by class'!N31/'11a. AF by class'!$E31</f>
        <v>0</v>
      </c>
      <c r="P35" s="32">
        <f t="shared" si="4"/>
        <v>0</v>
      </c>
      <c r="Q35" s="32">
        <f t="shared" si="5"/>
        <v>0</v>
      </c>
    </row>
    <row r="36" spans="1:17" x14ac:dyDescent="0.3">
      <c r="A36" s="157"/>
      <c r="B36" s="35" t="s">
        <v>456</v>
      </c>
      <c r="C36" s="35"/>
      <c r="D36" s="35"/>
      <c r="E36" s="243">
        <f>'9b. Summary Schedules-sf'!U180</f>
        <v>0</v>
      </c>
      <c r="F36" s="243">
        <f>$E36*'11a. AF by class'!F32/'11a. AF by class'!$E32</f>
        <v>0</v>
      </c>
      <c r="G36" s="243">
        <f>$E36*'11a. AF by class'!G32/'11a. AF by class'!$E32</f>
        <v>0</v>
      </c>
      <c r="H36" s="243">
        <f>$E36*'11a. AF by class'!H32/'11a. AF by class'!$E32</f>
        <v>0</v>
      </c>
      <c r="I36" s="243">
        <f>$E36*'11a. AF by class'!I32/'11a. AF by class'!$E32</f>
        <v>0</v>
      </c>
      <c r="J36" s="243">
        <f>$E36*'11a. AF by class'!J32/'11a. AF by class'!$E32</f>
        <v>0</v>
      </c>
      <c r="K36" s="243">
        <f>$E36*'11a. AF by class'!K32/'11a. AF by class'!$E32</f>
        <v>0</v>
      </c>
      <c r="L36" s="243">
        <f>$E36*'11a. AF by class'!L32/'11a. AF by class'!$E32</f>
        <v>0</v>
      </c>
      <c r="M36" s="243">
        <f>$E36*'11a. AF by class'!M32/'11a. AF by class'!$E32</f>
        <v>0</v>
      </c>
      <c r="N36" s="244">
        <f>$E36*'11a. AF by class'!N32/'11a. AF by class'!$E32</f>
        <v>0</v>
      </c>
      <c r="P36" s="32">
        <f t="shared" si="4"/>
        <v>0</v>
      </c>
      <c r="Q36" s="32">
        <f t="shared" si="5"/>
        <v>0</v>
      </c>
    </row>
    <row r="37" spans="1:17" x14ac:dyDescent="0.3">
      <c r="A37" s="157"/>
      <c r="B37" s="35" t="s">
        <v>932</v>
      </c>
      <c r="C37" s="35"/>
      <c r="D37" s="35"/>
      <c r="E37" s="243">
        <f>'9b. Summary Schedules-sf'!V180</f>
        <v>0</v>
      </c>
      <c r="F37" s="243">
        <f>$E37*'11a. AF by class'!F33/'11a. AF by class'!$E33</f>
        <v>0</v>
      </c>
      <c r="G37" s="243">
        <f>$E37*'11a. AF by class'!G33/'11a. AF by class'!$E33</f>
        <v>0</v>
      </c>
      <c r="H37" s="243">
        <f>$E37*'11a. AF by class'!H33/'11a. AF by class'!$E33</f>
        <v>0</v>
      </c>
      <c r="I37" s="243">
        <f>$E37*'11a. AF by class'!I33/'11a. AF by class'!$E33</f>
        <v>0</v>
      </c>
      <c r="J37" s="243">
        <f>$E37*'11a. AF by class'!J33/'11a. AF by class'!$E33</f>
        <v>0</v>
      </c>
      <c r="K37" s="243">
        <f>$E37*'11a. AF by class'!K33/'11a. AF by class'!$E33</f>
        <v>0</v>
      </c>
      <c r="L37" s="243">
        <f>$E37*'11a. AF by class'!L33/'11a. AF by class'!$E33</f>
        <v>0</v>
      </c>
      <c r="M37" s="243">
        <f>$E37*'11a. AF by class'!M33/'11a. AF by class'!$E33</f>
        <v>0</v>
      </c>
      <c r="N37" s="244">
        <f>$E37*'11a. AF by class'!N33/'11a. AF by class'!$E33</f>
        <v>0</v>
      </c>
      <c r="P37" s="32">
        <f t="shared" si="4"/>
        <v>0</v>
      </c>
      <c r="Q37" s="32">
        <f t="shared" si="5"/>
        <v>0</v>
      </c>
    </row>
    <row r="38" spans="1:17" x14ac:dyDescent="0.3">
      <c r="A38" s="157"/>
      <c r="B38" s="35" t="s">
        <v>1013</v>
      </c>
      <c r="C38" s="35"/>
      <c r="D38" s="35"/>
      <c r="E38" s="580">
        <f>'9b. Summary Schedules-sf'!W180</f>
        <v>0</v>
      </c>
      <c r="F38" s="580">
        <f>$E38*'11a. AF by class'!F34/'11a. AF by class'!$E34</f>
        <v>0</v>
      </c>
      <c r="G38" s="580">
        <f>$E38*'11a. AF by class'!G34/'11a. AF by class'!$E34</f>
        <v>0</v>
      </c>
      <c r="H38" s="580">
        <f>$E38*'11a. AF by class'!H34/'11a. AF by class'!$E34</f>
        <v>0</v>
      </c>
      <c r="I38" s="580">
        <f>$E38*'11a. AF by class'!I34/'11a. AF by class'!$E34</f>
        <v>0</v>
      </c>
      <c r="J38" s="580">
        <f>$E38*'11a. AF by class'!J34/'11a. AF by class'!$E34</f>
        <v>0</v>
      </c>
      <c r="K38" s="580">
        <f>$E38*'11a. AF by class'!K34/'11a. AF by class'!$E34</f>
        <v>0</v>
      </c>
      <c r="L38" s="580">
        <f>$E38*'11a. AF by class'!L34/'11a. AF by class'!$E34</f>
        <v>0</v>
      </c>
      <c r="M38" s="580">
        <f>$E38*'11a. AF by class'!M34/'11a. AF by class'!$E34</f>
        <v>0</v>
      </c>
      <c r="N38" s="600">
        <f>$E38*'11a. AF by class'!N34/'11a. AF by class'!$E34</f>
        <v>0</v>
      </c>
      <c r="P38" s="32">
        <f>SUM(F38:O38)</f>
        <v>0</v>
      </c>
      <c r="Q38" s="32">
        <f>E38-P38</f>
        <v>0</v>
      </c>
    </row>
    <row r="39" spans="1:17" x14ac:dyDescent="0.3">
      <c r="A39" s="157"/>
      <c r="B39" s="35" t="s">
        <v>979</v>
      </c>
      <c r="C39" s="35"/>
      <c r="D39" s="35"/>
      <c r="E39" s="243">
        <f t="shared" ref="E39:N39" si="6">SUM(E33:E38)</f>
        <v>0</v>
      </c>
      <c r="F39" s="243">
        <f t="shared" si="6"/>
        <v>0</v>
      </c>
      <c r="G39" s="243">
        <f t="shared" si="6"/>
        <v>0</v>
      </c>
      <c r="H39" s="243">
        <f t="shared" si="6"/>
        <v>0</v>
      </c>
      <c r="I39" s="243">
        <f t="shared" si="6"/>
        <v>0</v>
      </c>
      <c r="J39" s="243">
        <f t="shared" si="6"/>
        <v>0</v>
      </c>
      <c r="K39" s="243">
        <f t="shared" si="6"/>
        <v>0</v>
      </c>
      <c r="L39" s="243">
        <f t="shared" si="6"/>
        <v>0</v>
      </c>
      <c r="M39" s="243">
        <f t="shared" si="6"/>
        <v>0</v>
      </c>
      <c r="N39" s="244">
        <f t="shared" si="6"/>
        <v>0</v>
      </c>
      <c r="P39" s="32">
        <f t="shared" si="4"/>
        <v>0</v>
      </c>
      <c r="Q39" s="32">
        <f t="shared" si="5"/>
        <v>0</v>
      </c>
    </row>
    <row r="40" spans="1:17" x14ac:dyDescent="0.3">
      <c r="A40" s="157"/>
      <c r="B40" s="35"/>
      <c r="C40" s="35"/>
      <c r="D40" s="35"/>
      <c r="E40" s="243"/>
      <c r="F40" s="243"/>
      <c r="G40" s="243"/>
      <c r="H40" s="243"/>
      <c r="I40" s="243"/>
      <c r="J40" s="243"/>
      <c r="K40" s="243"/>
      <c r="L40" s="243"/>
      <c r="M40" s="243"/>
      <c r="N40" s="244"/>
    </row>
    <row r="41" spans="1:17" x14ac:dyDescent="0.3">
      <c r="A41" s="157"/>
      <c r="B41" s="35" t="s">
        <v>543</v>
      </c>
      <c r="C41" s="35"/>
      <c r="D41" s="35"/>
      <c r="E41" s="243">
        <f t="shared" ref="E41:N41" si="7">SUM(E30,E39)</f>
        <v>0</v>
      </c>
      <c r="F41" s="243">
        <f t="shared" si="7"/>
        <v>0</v>
      </c>
      <c r="G41" s="243">
        <f t="shared" si="7"/>
        <v>0</v>
      </c>
      <c r="H41" s="243">
        <f t="shared" si="7"/>
        <v>0</v>
      </c>
      <c r="I41" s="243">
        <f t="shared" si="7"/>
        <v>0</v>
      </c>
      <c r="J41" s="243">
        <f t="shared" si="7"/>
        <v>0</v>
      </c>
      <c r="K41" s="243">
        <f t="shared" si="7"/>
        <v>0</v>
      </c>
      <c r="L41" s="243">
        <f t="shared" si="7"/>
        <v>0</v>
      </c>
      <c r="M41" s="243">
        <f t="shared" si="7"/>
        <v>0</v>
      </c>
      <c r="N41" s="244">
        <f t="shared" si="7"/>
        <v>0</v>
      </c>
      <c r="P41" s="32">
        <f>SUM(F41:O41)</f>
        <v>0</v>
      </c>
      <c r="Q41" s="32">
        <f>E41-P41</f>
        <v>0</v>
      </c>
    </row>
    <row r="42" spans="1:17" x14ac:dyDescent="0.3">
      <c r="A42" s="157"/>
      <c r="B42" s="35"/>
      <c r="C42" s="35"/>
      <c r="D42" s="35"/>
      <c r="E42" s="243"/>
      <c r="F42" s="243"/>
      <c r="G42" s="243"/>
      <c r="H42" s="243"/>
      <c r="I42" s="243"/>
      <c r="J42" s="243"/>
      <c r="K42" s="243"/>
      <c r="L42" s="243"/>
      <c r="M42" s="243"/>
      <c r="N42" s="244"/>
    </row>
    <row r="43" spans="1:17" x14ac:dyDescent="0.3">
      <c r="A43" s="157" t="s">
        <v>907</v>
      </c>
      <c r="B43" s="35"/>
      <c r="C43" s="35"/>
      <c r="D43" s="35"/>
      <c r="E43" s="243"/>
      <c r="F43" s="243"/>
      <c r="G43" s="243"/>
      <c r="H43" s="243"/>
      <c r="I43" s="243"/>
      <c r="J43" s="243"/>
      <c r="K43" s="243"/>
      <c r="L43" s="243"/>
      <c r="M43" s="243"/>
      <c r="N43" s="244"/>
    </row>
    <row r="44" spans="1:17" x14ac:dyDescent="0.3">
      <c r="A44" s="157"/>
      <c r="B44" s="35" t="s">
        <v>907</v>
      </c>
      <c r="C44" s="35"/>
      <c r="D44" s="35"/>
      <c r="E44" s="243">
        <f>'9b. Summary Schedules-sf'!Y180</f>
        <v>0</v>
      </c>
      <c r="F44" s="243">
        <f>$E44*'11a. AF by class'!F40/'11a. AF by class'!$E40</f>
        <v>0</v>
      </c>
      <c r="G44" s="243">
        <f>$E44*'11a. AF by class'!G40/'11a. AF by class'!$E40</f>
        <v>0</v>
      </c>
      <c r="H44" s="243">
        <f>$E44*'11a. AF by class'!H40/'11a. AF by class'!$E40</f>
        <v>0</v>
      </c>
      <c r="I44" s="243">
        <f>$E44*'11a. AF by class'!I40/'11a. AF by class'!$E40</f>
        <v>0</v>
      </c>
      <c r="J44" s="243">
        <f>$E44*'11a. AF by class'!J40/'11a. AF by class'!$E40</f>
        <v>0</v>
      </c>
      <c r="K44" s="243">
        <f>$E44*'11a. AF by class'!K40/'11a. AF by class'!$E40</f>
        <v>0</v>
      </c>
      <c r="L44" s="243">
        <f>$E44*'11a. AF by class'!L40/'11a. AF by class'!$E40</f>
        <v>0</v>
      </c>
      <c r="M44" s="243">
        <f>$E44*'11a. AF by class'!M40/'11a. AF by class'!$E40</f>
        <v>0</v>
      </c>
      <c r="N44" s="244">
        <f>$E44*'11a. AF by class'!N40/'11a. AF by class'!$E40</f>
        <v>0</v>
      </c>
      <c r="P44" s="32">
        <f>SUM(F44:O44)</f>
        <v>0</v>
      </c>
      <c r="Q44" s="32">
        <f>E44-P44</f>
        <v>0</v>
      </c>
    </row>
    <row r="45" spans="1:17" x14ac:dyDescent="0.3">
      <c r="A45" s="157"/>
      <c r="B45" s="35" t="s">
        <v>996</v>
      </c>
      <c r="C45" s="35"/>
      <c r="D45" s="35"/>
      <c r="E45" s="580">
        <f>'9b. Summary Schedules-sf'!Z180</f>
        <v>0</v>
      </c>
      <c r="F45" s="580">
        <f>$E45*'11a. AF by class'!F41/'11a. AF by class'!$E41</f>
        <v>0</v>
      </c>
      <c r="G45" s="580">
        <f>$E45*'11a. AF by class'!G41/'11a. AF by class'!$E41</f>
        <v>0</v>
      </c>
      <c r="H45" s="580">
        <f>$E45*'11a. AF by class'!H41/'11a. AF by class'!$E41</f>
        <v>0</v>
      </c>
      <c r="I45" s="580">
        <f>$E45*'11a. AF by class'!I41/'11a. AF by class'!$E41</f>
        <v>0</v>
      </c>
      <c r="J45" s="580">
        <f>$E45*'11a. AF by class'!J41/'11a. AF by class'!$E41</f>
        <v>0</v>
      </c>
      <c r="K45" s="580">
        <f>$E45*'11a. AF by class'!K41/'11a. AF by class'!$E41</f>
        <v>0</v>
      </c>
      <c r="L45" s="580">
        <f>$E45*'11a. AF by class'!L41/'11a. AF by class'!$E41</f>
        <v>0</v>
      </c>
      <c r="M45" s="580">
        <f>$E45*'11a. AF by class'!M41/'11a. AF by class'!$E41</f>
        <v>0</v>
      </c>
      <c r="N45" s="600">
        <f>$E45*'11a. AF by class'!N41/'11a. AF by class'!$E41</f>
        <v>0</v>
      </c>
      <c r="P45" s="32">
        <f>SUM(F45:O45)</f>
        <v>0</v>
      </c>
      <c r="Q45" s="32">
        <f>E45-P45</f>
        <v>0</v>
      </c>
    </row>
    <row r="46" spans="1:17" x14ac:dyDescent="0.3">
      <c r="A46" s="157"/>
      <c r="B46" s="35" t="s">
        <v>997</v>
      </c>
      <c r="C46" s="35"/>
      <c r="D46" s="35"/>
      <c r="E46" s="243">
        <f>E44+E45</f>
        <v>0</v>
      </c>
      <c r="F46" s="243">
        <f t="shared" ref="F46:N46" si="8">SUM(F44:F45)</f>
        <v>0</v>
      </c>
      <c r="G46" s="243">
        <f t="shared" si="8"/>
        <v>0</v>
      </c>
      <c r="H46" s="243">
        <f t="shared" si="8"/>
        <v>0</v>
      </c>
      <c r="I46" s="243">
        <f t="shared" si="8"/>
        <v>0</v>
      </c>
      <c r="J46" s="243">
        <f t="shared" si="8"/>
        <v>0</v>
      </c>
      <c r="K46" s="243">
        <f t="shared" si="8"/>
        <v>0</v>
      </c>
      <c r="L46" s="243">
        <f t="shared" si="8"/>
        <v>0</v>
      </c>
      <c r="M46" s="243">
        <f t="shared" si="8"/>
        <v>0</v>
      </c>
      <c r="N46" s="244">
        <f t="shared" si="8"/>
        <v>0</v>
      </c>
      <c r="P46" s="32">
        <f>SUM(F46:O46)</f>
        <v>0</v>
      </c>
      <c r="Q46" s="32">
        <f>E46-P46</f>
        <v>0</v>
      </c>
    </row>
    <row r="47" spans="1:17" x14ac:dyDescent="0.3">
      <c r="A47" s="157"/>
      <c r="B47" s="35"/>
      <c r="C47" s="35"/>
      <c r="D47" s="35"/>
      <c r="E47" s="243"/>
      <c r="F47" s="243"/>
      <c r="G47" s="243"/>
      <c r="H47" s="243"/>
      <c r="I47" s="243"/>
      <c r="J47" s="243"/>
      <c r="K47" s="243"/>
      <c r="L47" s="243"/>
      <c r="M47" s="243"/>
      <c r="N47" s="244"/>
    </row>
    <row r="48" spans="1:17" x14ac:dyDescent="0.3">
      <c r="A48" s="157" t="s">
        <v>84</v>
      </c>
      <c r="B48" s="35"/>
      <c r="C48" s="35"/>
      <c r="D48" s="35"/>
      <c r="E48" s="243">
        <f>'9b. Summary Schedules-sf'!AA180</f>
        <v>0</v>
      </c>
      <c r="F48" s="243">
        <f>$E48*'11a. AF by class'!F44/'11a. AF by class'!$E44</f>
        <v>0</v>
      </c>
      <c r="G48" s="243">
        <f>$E48*'11a. AF by class'!G44/'11a. AF by class'!$E44</f>
        <v>0</v>
      </c>
      <c r="H48" s="243">
        <f>$E48*'11a. AF by class'!H44/'11a. AF by class'!$E44</f>
        <v>0</v>
      </c>
      <c r="I48" s="243">
        <f>$E48*'11a. AF by class'!I44/'11a. AF by class'!$E44</f>
        <v>0</v>
      </c>
      <c r="J48" s="243">
        <f>$E48*'11a. AF by class'!J44/'11a. AF by class'!$E44</f>
        <v>0</v>
      </c>
      <c r="K48" s="243">
        <f>$E48*'11a. AF by class'!K44/'11a. AF by class'!$E44</f>
        <v>0</v>
      </c>
      <c r="L48" s="243">
        <f>$E48*'11a. AF by class'!L44/'11a. AF by class'!$E44</f>
        <v>0</v>
      </c>
      <c r="M48" s="243">
        <f>$E48*'11a. AF by class'!M44/'11a. AF by class'!$E44</f>
        <v>0</v>
      </c>
      <c r="N48" s="244">
        <f>$E48*'11a. AF by class'!N44/'11a. AF by class'!$E44</f>
        <v>0</v>
      </c>
      <c r="P48" s="32">
        <f>SUM(F48:O48)</f>
        <v>0</v>
      </c>
      <c r="Q48" s="32">
        <f>E48-P48</f>
        <v>0</v>
      </c>
    </row>
    <row r="49" spans="1:17" x14ac:dyDescent="0.3">
      <c r="A49" s="157"/>
      <c r="B49" s="35"/>
      <c r="C49" s="35"/>
      <c r="D49" s="35"/>
      <c r="E49" s="243"/>
      <c r="F49" s="243"/>
      <c r="G49" s="243"/>
      <c r="H49" s="243"/>
      <c r="I49" s="243"/>
      <c r="J49" s="243"/>
      <c r="K49" s="243"/>
      <c r="L49" s="243"/>
      <c r="M49" s="243"/>
      <c r="N49" s="244"/>
    </row>
    <row r="50" spans="1:17" x14ac:dyDescent="0.3">
      <c r="A50" s="157" t="s">
        <v>82</v>
      </c>
      <c r="B50" s="35"/>
      <c r="C50" s="35"/>
      <c r="D50" s="35"/>
      <c r="E50" s="243"/>
      <c r="F50" s="243"/>
      <c r="G50" s="243"/>
      <c r="H50" s="243"/>
      <c r="I50" s="243"/>
      <c r="J50" s="243"/>
      <c r="K50" s="243"/>
      <c r="L50" s="243"/>
      <c r="M50" s="243"/>
      <c r="N50" s="244"/>
    </row>
    <row r="51" spans="1:17" x14ac:dyDescent="0.3">
      <c r="A51" s="157"/>
      <c r="B51" s="35" t="s">
        <v>81</v>
      </c>
      <c r="C51" s="35"/>
      <c r="D51" s="35"/>
      <c r="E51" s="243">
        <f>'9b. Summary Schedules-sf'!AC180</f>
        <v>0</v>
      </c>
      <c r="F51" s="243">
        <f>$E51*'11a. AF by class'!F47/'11a. AF by class'!$E47</f>
        <v>0</v>
      </c>
      <c r="G51" s="243">
        <f>$E51*'11a. AF by class'!G47/'11a. AF by class'!$E47</f>
        <v>0</v>
      </c>
      <c r="H51" s="243">
        <f>$E51*'11a. AF by class'!H47/'11a. AF by class'!$E47</f>
        <v>0</v>
      </c>
      <c r="I51" s="243">
        <f>$E51*'11a. AF by class'!I47/'11a. AF by class'!$E47</f>
        <v>0</v>
      </c>
      <c r="J51" s="243">
        <f>$E51*'11a. AF by class'!J47/'11a. AF by class'!$E47</f>
        <v>0</v>
      </c>
      <c r="K51" s="243">
        <f>$E51*'11a. AF by class'!K47/'11a. AF by class'!$E47</f>
        <v>0</v>
      </c>
      <c r="L51" s="243">
        <f>$E51*'11a. AF by class'!L47/'11a. AF by class'!$E47</f>
        <v>0</v>
      </c>
      <c r="M51" s="243">
        <f>$E51*'11a. AF by class'!M47/'11a. AF by class'!$E47</f>
        <v>0</v>
      </c>
      <c r="N51" s="244">
        <f>$E51*'11a. AF by class'!N47/'11a. AF by class'!$E47</f>
        <v>0</v>
      </c>
      <c r="P51" s="32">
        <f>SUM(F51:O51)</f>
        <v>0</v>
      </c>
      <c r="Q51" s="32">
        <f>E51-P51</f>
        <v>0</v>
      </c>
    </row>
    <row r="52" spans="1:17" x14ac:dyDescent="0.3">
      <c r="A52" s="157"/>
      <c r="B52" s="35" t="s">
        <v>1007</v>
      </c>
      <c r="C52" s="35"/>
      <c r="D52" s="35"/>
      <c r="E52" s="243">
        <f>'9b. Summary Schedules-sf'!AD180</f>
        <v>0</v>
      </c>
      <c r="F52" s="243">
        <f>$E52*'11a. AF by class'!F48/'11a. AF by class'!$E48</f>
        <v>0</v>
      </c>
      <c r="G52" s="243">
        <f>$E52*'11a. AF by class'!G48/'11a. AF by class'!$E48</f>
        <v>0</v>
      </c>
      <c r="H52" s="243">
        <f>$E52*'11a. AF by class'!H48/'11a. AF by class'!$E48</f>
        <v>0</v>
      </c>
      <c r="I52" s="243">
        <f>$E52*'11a. AF by class'!I48/'11a. AF by class'!$E48</f>
        <v>0</v>
      </c>
      <c r="J52" s="243">
        <f>$E52*'11a. AF by class'!J48/'11a. AF by class'!$E48</f>
        <v>0</v>
      </c>
      <c r="K52" s="243">
        <f>$E52*'11a. AF by class'!K48/'11a. AF by class'!$E48</f>
        <v>0</v>
      </c>
      <c r="L52" s="243">
        <f>$E52*'11a. AF by class'!L48/'11a. AF by class'!$E48</f>
        <v>0</v>
      </c>
      <c r="M52" s="243">
        <f>$E52*'11a. AF by class'!M48/'11a. AF by class'!$E48</f>
        <v>0</v>
      </c>
      <c r="N52" s="244">
        <f>$E52*'11a. AF by class'!N48/'11a. AF by class'!$E48</f>
        <v>0</v>
      </c>
      <c r="P52" s="32">
        <f>SUM(F52:O52)</f>
        <v>0</v>
      </c>
      <c r="Q52" s="32">
        <f>E52-P52</f>
        <v>0</v>
      </c>
    </row>
    <row r="53" spans="1:17" x14ac:dyDescent="0.3">
      <c r="A53" s="157"/>
      <c r="B53" s="35" t="s">
        <v>1008</v>
      </c>
      <c r="C53" s="35"/>
      <c r="D53" s="35"/>
      <c r="E53" s="580">
        <f>'9b. Summary Schedules-sf'!AE180</f>
        <v>0</v>
      </c>
      <c r="F53" s="580">
        <f>$E53*'11a. AF by class'!F49/'11a. AF by class'!$E49</f>
        <v>0</v>
      </c>
      <c r="G53" s="580">
        <f>$E53*'11a. AF by class'!G49/'11a. AF by class'!$E49</f>
        <v>0</v>
      </c>
      <c r="H53" s="580">
        <f>$E53*'11a. AF by class'!H49/'11a. AF by class'!$E49</f>
        <v>0</v>
      </c>
      <c r="I53" s="580">
        <f>$E53*'11a. AF by class'!I49/'11a. AF by class'!$E49</f>
        <v>0</v>
      </c>
      <c r="J53" s="580">
        <f>$E53*'11a. AF by class'!J49/'11a. AF by class'!$E49</f>
        <v>0</v>
      </c>
      <c r="K53" s="580">
        <f>$E53*'11a. AF by class'!K49/'11a. AF by class'!$E49</f>
        <v>0</v>
      </c>
      <c r="L53" s="580">
        <f>$E53*'11a. AF by class'!L49/'11a. AF by class'!$E49</f>
        <v>0</v>
      </c>
      <c r="M53" s="580">
        <f>$E53*'11a. AF by class'!M49/'11a. AF by class'!$E49</f>
        <v>0</v>
      </c>
      <c r="N53" s="600">
        <f>$E53*'11a. AF by class'!N49/'11a. AF by class'!$E49</f>
        <v>0</v>
      </c>
      <c r="P53" s="32">
        <f>SUM(F53:O53)</f>
        <v>0</v>
      </c>
      <c r="Q53" s="32">
        <f>E53-P53</f>
        <v>0</v>
      </c>
    </row>
    <row r="54" spans="1:17" x14ac:dyDescent="0.3">
      <c r="A54" s="157"/>
      <c r="B54" s="35" t="s">
        <v>83</v>
      </c>
      <c r="C54" s="35"/>
      <c r="D54" s="35"/>
      <c r="E54" s="243">
        <f t="shared" ref="E54:N54" si="9">SUM(E51:E53)</f>
        <v>0</v>
      </c>
      <c r="F54" s="243">
        <f t="shared" si="9"/>
        <v>0</v>
      </c>
      <c r="G54" s="243">
        <f t="shared" si="9"/>
        <v>0</v>
      </c>
      <c r="H54" s="243">
        <f t="shared" si="9"/>
        <v>0</v>
      </c>
      <c r="I54" s="243">
        <f t="shared" si="9"/>
        <v>0</v>
      </c>
      <c r="J54" s="243">
        <f t="shared" si="9"/>
        <v>0</v>
      </c>
      <c r="K54" s="243">
        <f t="shared" si="9"/>
        <v>0</v>
      </c>
      <c r="L54" s="243">
        <f t="shared" si="9"/>
        <v>0</v>
      </c>
      <c r="M54" s="243">
        <f t="shared" si="9"/>
        <v>0</v>
      </c>
      <c r="N54" s="244">
        <f t="shared" si="9"/>
        <v>0</v>
      </c>
      <c r="P54" s="32">
        <f>SUM(F54:O54)</f>
        <v>0</v>
      </c>
      <c r="Q54" s="32">
        <f>E54-P54</f>
        <v>0</v>
      </c>
    </row>
    <row r="55" spans="1:17" x14ac:dyDescent="0.3">
      <c r="A55" s="157"/>
      <c r="B55" s="35"/>
      <c r="C55" s="35"/>
      <c r="D55" s="35"/>
      <c r="E55" s="243"/>
      <c r="F55" s="243"/>
      <c r="G55" s="243"/>
      <c r="H55" s="243"/>
      <c r="I55" s="243"/>
      <c r="J55" s="243"/>
      <c r="K55" s="243"/>
      <c r="L55" s="243"/>
      <c r="M55" s="243"/>
      <c r="N55" s="244"/>
    </row>
    <row r="56" spans="1:17" x14ac:dyDescent="0.3">
      <c r="A56" s="157" t="s">
        <v>912</v>
      </c>
      <c r="B56" s="35"/>
      <c r="C56" s="35"/>
      <c r="D56" s="35"/>
      <c r="E56" s="243"/>
      <c r="F56" s="243"/>
      <c r="G56" s="243"/>
      <c r="H56" s="243"/>
      <c r="I56" s="243"/>
      <c r="J56" s="243"/>
      <c r="K56" s="243"/>
      <c r="L56" s="243"/>
      <c r="M56" s="243"/>
      <c r="N56" s="244"/>
    </row>
    <row r="57" spans="1:17" x14ac:dyDescent="0.3">
      <c r="A57" s="157"/>
      <c r="B57" s="35" t="s">
        <v>1006</v>
      </c>
      <c r="C57" s="35"/>
      <c r="D57" s="35"/>
      <c r="E57" s="580">
        <f>'9b. Summary Schedules-sf'!AG180</f>
        <v>0</v>
      </c>
      <c r="F57" s="580">
        <f>$E57*'11a. AF by class'!F53/'11a. AF by class'!$E53</f>
        <v>0</v>
      </c>
      <c r="G57" s="580">
        <f>$E57*'11a. AF by class'!G53/'11a. AF by class'!$E53</f>
        <v>0</v>
      </c>
      <c r="H57" s="580">
        <f>$E57*'11a. AF by class'!H53/'11a. AF by class'!$E53</f>
        <v>0</v>
      </c>
      <c r="I57" s="580">
        <f>$E57*'11a. AF by class'!I53/'11a. AF by class'!$E53</f>
        <v>0</v>
      </c>
      <c r="J57" s="580">
        <f>$E57*'11a. AF by class'!J53/'11a. AF by class'!$E53</f>
        <v>0</v>
      </c>
      <c r="K57" s="580">
        <f>$E57*'11a. AF by class'!K53/'11a. AF by class'!$E53</f>
        <v>0</v>
      </c>
      <c r="L57" s="580">
        <f>$E57*'11a. AF by class'!L53/'11a. AF by class'!$E53</f>
        <v>0</v>
      </c>
      <c r="M57" s="580">
        <f>$E57*'11a. AF by class'!M53/'11a. AF by class'!$E53</f>
        <v>0</v>
      </c>
      <c r="N57" s="600">
        <f>$E57*'11a. AF by class'!N53/'11a. AF by class'!$E53</f>
        <v>0</v>
      </c>
      <c r="P57" s="32">
        <f>SUM(F57:O57)</f>
        <v>0</v>
      </c>
      <c r="Q57" s="32">
        <f>E57-P57</f>
        <v>0</v>
      </c>
    </row>
    <row r="58" spans="1:17" x14ac:dyDescent="0.3">
      <c r="A58" s="157"/>
      <c r="B58" s="35" t="s">
        <v>1014</v>
      </c>
      <c r="C58" s="35"/>
      <c r="D58" s="35"/>
      <c r="E58" s="243">
        <f t="shared" ref="E58:N58" si="10">SUM(E57:E57)</f>
        <v>0</v>
      </c>
      <c r="F58" s="243">
        <f t="shared" si="10"/>
        <v>0</v>
      </c>
      <c r="G58" s="243">
        <f t="shared" si="10"/>
        <v>0</v>
      </c>
      <c r="H58" s="243">
        <f t="shared" si="10"/>
        <v>0</v>
      </c>
      <c r="I58" s="243">
        <f t="shared" si="10"/>
        <v>0</v>
      </c>
      <c r="J58" s="243">
        <f t="shared" si="10"/>
        <v>0</v>
      </c>
      <c r="K58" s="243">
        <f t="shared" si="10"/>
        <v>0</v>
      </c>
      <c r="L58" s="243">
        <f t="shared" si="10"/>
        <v>0</v>
      </c>
      <c r="M58" s="243">
        <f t="shared" si="10"/>
        <v>0</v>
      </c>
      <c r="N58" s="244">
        <f t="shared" si="10"/>
        <v>0</v>
      </c>
      <c r="P58" s="32">
        <f>SUM(F58:O58)</f>
        <v>0</v>
      </c>
      <c r="Q58" s="32">
        <f>E58-P58</f>
        <v>0</v>
      </c>
    </row>
    <row r="59" spans="1:17" x14ac:dyDescent="0.3">
      <c r="A59" s="157"/>
      <c r="B59" s="35"/>
      <c r="C59" s="35"/>
      <c r="D59" s="35"/>
      <c r="E59" s="243"/>
      <c r="F59" s="243"/>
      <c r="G59" s="243"/>
      <c r="H59" s="243"/>
      <c r="I59" s="243"/>
      <c r="J59" s="243"/>
      <c r="K59" s="243"/>
      <c r="L59" s="243"/>
      <c r="M59" s="243"/>
      <c r="N59" s="244"/>
    </row>
    <row r="60" spans="1:17" x14ac:dyDescent="0.3">
      <c r="A60" s="157" t="s">
        <v>913</v>
      </c>
      <c r="B60" s="35"/>
      <c r="C60" s="35"/>
      <c r="D60" s="35"/>
      <c r="E60" s="243">
        <f>'9b. Summary Schedules-sf'!AH180</f>
        <v>0</v>
      </c>
      <c r="F60" s="243">
        <f>$E60*'11a. AF by class'!F56/'11a. AF by class'!$E56</f>
        <v>0</v>
      </c>
      <c r="G60" s="243">
        <f>$E60*'11a. AF by class'!G56/'11a. AF by class'!$E56</f>
        <v>0</v>
      </c>
      <c r="H60" s="243">
        <f>$E60*'11a. AF by class'!H56/'11a. AF by class'!$E56</f>
        <v>0</v>
      </c>
      <c r="I60" s="243">
        <f>$E60*'11a. AF by class'!I56/'11a. AF by class'!$E56</f>
        <v>0</v>
      </c>
      <c r="J60" s="243">
        <f>$E60*'11a. AF by class'!J56/'11a. AF by class'!$E56</f>
        <v>0</v>
      </c>
      <c r="K60" s="243">
        <f>$E60*'11a. AF by class'!K56/'11a. AF by class'!$E56</f>
        <v>0</v>
      </c>
      <c r="L60" s="243">
        <f>$E60*'11a. AF by class'!L56/'11a. AF by class'!$E56</f>
        <v>0</v>
      </c>
      <c r="M60" s="243">
        <f>$E60*'11a. AF by class'!M56/'11a. AF by class'!$E56</f>
        <v>0</v>
      </c>
      <c r="N60" s="244">
        <f>$E60*'11a. AF by class'!N56/'11a. AF by class'!$E56</f>
        <v>0</v>
      </c>
      <c r="P60" s="32">
        <f>SUM(F60:O60)</f>
        <v>0</v>
      </c>
      <c r="Q60" s="32">
        <f>E60-P60</f>
        <v>0</v>
      </c>
    </row>
    <row r="61" spans="1:17" x14ac:dyDescent="0.3">
      <c r="A61" s="157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158"/>
    </row>
    <row r="62" spans="1:17" x14ac:dyDescent="0.3">
      <c r="A62" s="157" t="s">
        <v>1000</v>
      </c>
      <c r="B62" s="35"/>
      <c r="C62" s="35"/>
      <c r="D62" s="35"/>
      <c r="E62" s="35">
        <f>SUM(E18,E20,E22,E41,E46,E48,E54,E58,E60)</f>
        <v>6843089.2800000012</v>
      </c>
      <c r="F62" s="35">
        <f t="shared" ref="F62:N62" si="11">SUM(F18,F20,F22,F41,F46,F48,F54,F58,F60)</f>
        <v>2486438.8477786146</v>
      </c>
      <c r="G62" s="35">
        <f t="shared" si="11"/>
        <v>697894.12631006935</v>
      </c>
      <c r="H62" s="35">
        <f t="shared" si="11"/>
        <v>1483240.8171786922</v>
      </c>
      <c r="I62" s="35">
        <f t="shared" si="11"/>
        <v>926887.34685422131</v>
      </c>
      <c r="J62" s="35">
        <f t="shared" si="11"/>
        <v>426258.39300288714</v>
      </c>
      <c r="K62" s="35">
        <f t="shared" si="11"/>
        <v>656338.88967522373</v>
      </c>
      <c r="L62" s="35">
        <f t="shared" si="11"/>
        <v>136378.30826762394</v>
      </c>
      <c r="M62" s="35">
        <f t="shared" si="11"/>
        <v>1096.0841704345871</v>
      </c>
      <c r="N62" s="158">
        <f t="shared" si="11"/>
        <v>28556.466762234744</v>
      </c>
      <c r="P62" s="32">
        <f>SUM(F62:O62)</f>
        <v>6843089.2800000012</v>
      </c>
      <c r="Q62" s="32">
        <f>E62-P62</f>
        <v>0</v>
      </c>
    </row>
    <row r="63" spans="1:17" ht="13.5" thickBot="1" x14ac:dyDescent="0.35">
      <c r="A63" s="33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161"/>
    </row>
  </sheetData>
  <customSheetViews>
    <customSheetView guid="{121E4431-22F3-11D5-8242-00600818425F}" scale="75" showRuler="0">
      <pane xSplit="2" ySplit="7" topLeftCell="C8" activePane="bottomRight" state="frozen"/>
      <selection pane="bottomRight" activeCell="E11" sqref="E11"/>
      <pageMargins left="0" right="0" top="0.5" bottom="0.4" header="0.2" footer="0.2"/>
      <printOptions horizontalCentered="1" gridLines="1"/>
      <pageSetup scale="65" orientation="landscape" horizontalDpi="300" vertic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showRuler="0">
      <pane xSplit="2" ySplit="7" topLeftCell="C8" activePane="bottomRight" state="frozen"/>
      <selection pane="bottomRight" activeCell="E11" sqref="E11"/>
      <pageMargins left="0" right="0" top="0.5" bottom="0.4" header="0.2" footer="0.2"/>
      <printOptions horizontalCentered="1" gridLines="1"/>
      <pageSetup scale="65" orientation="landscape" horizontalDpi="300" vertic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showRuler="0">
      <pane xSplit="2" ySplit="7" topLeftCell="C8" activePane="bottomRight" state="frozen"/>
      <selection pane="bottomRight" activeCell="E11" sqref="E11"/>
      <pageMargins left="0" right="0" top="0.5" bottom="0.4" header="0.2" footer="0.2"/>
      <printOptions horizontalCentered="1" gridLines="1"/>
      <pageSetup scale="65" orientation="landscape" horizontalDpi="300" verticalDpi="30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65" orientation="landscape" horizontalDpi="300" verticalDpi="300" r:id="rId4"/>
  <headerFooter alignWithMargins="0">
    <oddFooter>&amp;L&amp;8&amp;F&amp;C&amp;8&amp;A
page &amp;P&amp;R&amp;8&amp;D
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B69"/>
  <sheetViews>
    <sheetView zoomScale="75" zoomScaleNormal="75" workbookViewId="0">
      <pane xSplit="4" ySplit="7" topLeftCell="E8" activePane="bottomRight" state="frozen"/>
      <selection activeCell="C9" sqref="C9"/>
      <selection pane="topRight" activeCell="C9" sqref="C9"/>
      <selection pane="bottomLeft" activeCell="C9" sqref="C9"/>
      <selection pane="bottomRight" activeCell="E8" sqref="E8"/>
    </sheetView>
  </sheetViews>
  <sheetFormatPr defaultColWidth="9.1796875" defaultRowHeight="13" x14ac:dyDescent="0.3"/>
  <cols>
    <col min="1" max="1" width="20.54296875" style="32" customWidth="1"/>
    <col min="2" max="2" width="32.1796875" style="32" customWidth="1"/>
    <col min="3" max="3" width="12.81640625" style="32" hidden="1" customWidth="1"/>
    <col min="4" max="4" width="11.453125" style="32" hidden="1" customWidth="1"/>
    <col min="5" max="8" width="15" style="32" customWidth="1"/>
    <col min="9" max="16" width="12.54296875" style="32" customWidth="1"/>
    <col min="17" max="17" width="12.453125" style="32" customWidth="1"/>
    <col min="18" max="18" width="13.81640625" style="32" customWidth="1"/>
    <col min="19" max="20" width="9.1796875" style="32"/>
    <col min="21" max="21" width="11.453125" style="32" bestFit="1" customWidth="1"/>
    <col min="22" max="22" width="8.54296875" style="32" bestFit="1" customWidth="1"/>
    <col min="23" max="16384" width="9.1796875" style="32"/>
  </cols>
  <sheetData>
    <row r="1" spans="1:54" x14ac:dyDescent="0.3">
      <c r="A1" s="301" t="str">
        <f>'1. RB-i'!$A$1</f>
        <v>CPS Energy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3"/>
      <c r="O1" s="42"/>
      <c r="P1" s="42"/>
    </row>
    <row r="2" spans="1:54" x14ac:dyDescent="0.3">
      <c r="A2" s="307" t="s">
        <v>1251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98"/>
      <c r="O2" s="35"/>
      <c r="P2" s="35"/>
      <c r="S2" s="1"/>
      <c r="T2" s="1"/>
    </row>
    <row r="3" spans="1:54" x14ac:dyDescent="0.3">
      <c r="A3" s="307" t="str">
        <f>'10a. RB by class'!A3:N3</f>
        <v>Based on FYE 2017 Test Year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98"/>
      <c r="O3" s="31"/>
      <c r="P3" s="31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</row>
    <row r="4" spans="1:54" s="5" customFormat="1" x14ac:dyDescent="0.3">
      <c r="A4" s="304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305"/>
    </row>
    <row r="5" spans="1:54" s="5" customFormat="1" x14ac:dyDescent="0.3">
      <c r="A5" s="304"/>
      <c r="B5" s="196"/>
      <c r="C5" s="196"/>
      <c r="D5" s="196"/>
      <c r="E5" s="196"/>
      <c r="F5" s="196"/>
      <c r="G5" s="196"/>
      <c r="H5" s="199"/>
      <c r="I5" s="199"/>
      <c r="J5" s="199"/>
      <c r="K5" s="196"/>
      <c r="L5" s="196"/>
      <c r="M5" s="196"/>
      <c r="N5" s="305"/>
      <c r="P5" s="5" t="s">
        <v>832</v>
      </c>
    </row>
    <row r="6" spans="1:54" s="5" customFormat="1" x14ac:dyDescent="0.3">
      <c r="A6" s="304"/>
      <c r="B6" s="196"/>
      <c r="C6" s="196" t="s">
        <v>359</v>
      </c>
      <c r="D6" s="196"/>
      <c r="E6" s="196" t="s">
        <v>355</v>
      </c>
      <c r="F6" s="196" t="s">
        <v>961</v>
      </c>
      <c r="G6" s="196" t="s">
        <v>962</v>
      </c>
      <c r="H6" s="196" t="s">
        <v>963</v>
      </c>
      <c r="I6" s="196" t="s">
        <v>964</v>
      </c>
      <c r="J6" s="196" t="s">
        <v>965</v>
      </c>
      <c r="K6" s="196" t="s">
        <v>966</v>
      </c>
      <c r="L6" s="196" t="s">
        <v>967</v>
      </c>
      <c r="M6" s="196" t="s">
        <v>968</v>
      </c>
      <c r="N6" s="305" t="s">
        <v>932</v>
      </c>
      <c r="P6" s="5" t="s">
        <v>833</v>
      </c>
      <c r="Q6" s="5" t="s">
        <v>824</v>
      </c>
    </row>
    <row r="7" spans="1:54" s="5" customFormat="1" ht="13.5" thickBot="1" x14ac:dyDescent="0.35">
      <c r="A7" s="299"/>
      <c r="B7" s="282"/>
      <c r="C7" s="282"/>
      <c r="D7" s="282"/>
      <c r="E7" s="282" t="s">
        <v>816</v>
      </c>
      <c r="F7" s="282" t="s">
        <v>817</v>
      </c>
      <c r="G7" s="282" t="s">
        <v>818</v>
      </c>
      <c r="H7" s="282" t="s">
        <v>819</v>
      </c>
      <c r="I7" s="282" t="s">
        <v>820</v>
      </c>
      <c r="J7" s="282" t="s">
        <v>821</v>
      </c>
      <c r="K7" s="282" t="s">
        <v>822</v>
      </c>
      <c r="L7" s="282" t="s">
        <v>823</v>
      </c>
      <c r="M7" s="282" t="s">
        <v>908</v>
      </c>
      <c r="N7" s="300" t="s">
        <v>914</v>
      </c>
    </row>
    <row r="8" spans="1:54" x14ac:dyDescent="0.3">
      <c r="A8" s="43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</row>
    <row r="9" spans="1:54" x14ac:dyDescent="0.3">
      <c r="A9" s="32" t="s">
        <v>544</v>
      </c>
    </row>
    <row r="10" spans="1:54" x14ac:dyDescent="0.3">
      <c r="B10" s="32" t="s">
        <v>969</v>
      </c>
      <c r="C10" s="32" t="s">
        <v>333</v>
      </c>
      <c r="E10" s="243">
        <f>SUM(F10:N10)</f>
        <v>221350779.96874681</v>
      </c>
      <c r="F10" s="243">
        <f>'10d-1. Fuel by class'!F10+'10d-2. Trans by class'!F10+'10e. OM excl Fuel by class'!F10+'10f. AG by class'!F10+'10i. STP-DC by class'!F10+'10j. PAYTAX by class'!F10+'10h. Int-CD by class'!F10</f>
        <v>88115805.888780043</v>
      </c>
      <c r="G10" s="243">
        <f>'10d-1. Fuel by class'!G10+'10d-2. Trans by class'!G10+'10e. OM excl Fuel by class'!G10+'10f. AG by class'!G10+'10i. STP-DC by class'!G10+'10j. PAYTAX by class'!G10+'10h. Int-CD by class'!G10</f>
        <v>26126255.721950438</v>
      </c>
      <c r="H10" s="243">
        <f>'10d-1. Fuel by class'!H10+'10d-2. Trans by class'!H10+'10e. OM excl Fuel by class'!H10+'10f. AG by class'!H10+'10i. STP-DC by class'!H10+'10j. PAYTAX by class'!H10+'10h. Int-CD by class'!H10</f>
        <v>46272982.707932457</v>
      </c>
      <c r="I10" s="243">
        <f>'10d-1. Fuel by class'!I10+'10d-2. Trans by class'!I10+'10e. OM excl Fuel by class'!I10+'10f. AG by class'!I10+'10i. STP-DC by class'!I10+'10j. PAYTAX by class'!I10+'10h. Int-CD by class'!I10</f>
        <v>27148428.679296877</v>
      </c>
      <c r="J10" s="243">
        <f>'10d-1. Fuel by class'!J10+'10d-2. Trans by class'!J10+'10e. OM excl Fuel by class'!J10+'10f. AG by class'!J10+'10i. STP-DC by class'!J10+'10j. PAYTAX by class'!J10+'10h. Int-CD by class'!J10</f>
        <v>11410443.242756823</v>
      </c>
      <c r="K10" s="243">
        <f>'10d-1. Fuel by class'!K10+'10d-2. Trans by class'!K10+'10e. OM excl Fuel by class'!K10+'10f. AG by class'!K10+'10i. STP-DC by class'!K10+'10j. PAYTAX by class'!K10+'10h. Int-CD by class'!K10</f>
        <v>16904924.777483761</v>
      </c>
      <c r="L10" s="243">
        <f>'10d-1. Fuel by class'!L10+'10d-2. Trans by class'!L10+'10e. OM excl Fuel by class'!L10+'10f. AG by class'!L10+'10i. STP-DC by class'!L10+'10j. PAYTAX by class'!L10+'10h. Int-CD by class'!L10</f>
        <v>4400518.8364594243</v>
      </c>
      <c r="M10" s="243">
        <f>'10d-1. Fuel by class'!M10+'10d-2. Trans by class'!M10+'10e. OM excl Fuel by class'!M10+'10f. AG by class'!M10+'10i. STP-DC by class'!M10+'10j. PAYTAX by class'!M10+'10h. Int-CD by class'!M10</f>
        <v>23657.34836173751</v>
      </c>
      <c r="N10" s="244">
        <f>'10d-1. Fuel by class'!N10+'10d-2. Trans by class'!N10+'10e. OM excl Fuel by class'!N10+'10f. AG by class'!N10+'10i. STP-DC by class'!N10+'10j. PAYTAX by class'!N10+'10h. Int-CD by class'!N10</f>
        <v>947762.76572525071</v>
      </c>
      <c r="P10" s="32">
        <f>SUM(F10:O10)</f>
        <v>221350779.96874681</v>
      </c>
      <c r="Q10" s="32">
        <f>E10-P10</f>
        <v>0</v>
      </c>
    </row>
    <row r="11" spans="1:54" x14ac:dyDescent="0.3">
      <c r="B11" s="32" t="s">
        <v>1140</v>
      </c>
      <c r="E11" s="642"/>
      <c r="F11" s="642"/>
      <c r="G11" s="642"/>
      <c r="H11" s="642"/>
      <c r="I11" s="642"/>
      <c r="J11" s="642"/>
      <c r="K11" s="642"/>
      <c r="L11" s="642"/>
      <c r="M11" s="642"/>
      <c r="N11" s="643"/>
      <c r="O11" s="641"/>
      <c r="P11" s="641"/>
      <c r="Q11" s="32">
        <f t="shared" ref="Q11:Q13" si="0">E11-P11</f>
        <v>0</v>
      </c>
    </row>
    <row r="12" spans="1:54" x14ac:dyDescent="0.3">
      <c r="B12" s="32" t="s">
        <v>1139</v>
      </c>
      <c r="E12" s="642"/>
      <c r="F12" s="642"/>
      <c r="G12" s="642"/>
      <c r="H12" s="642"/>
      <c r="I12" s="642"/>
      <c r="J12" s="642"/>
      <c r="K12" s="642"/>
      <c r="L12" s="642"/>
      <c r="M12" s="642"/>
      <c r="N12" s="643"/>
      <c r="O12" s="641"/>
      <c r="P12" s="641"/>
      <c r="Q12" s="32">
        <f t="shared" si="0"/>
        <v>0</v>
      </c>
    </row>
    <row r="13" spans="1:54" x14ac:dyDescent="0.3">
      <c r="B13" s="32" t="s">
        <v>947</v>
      </c>
      <c r="E13" s="642"/>
      <c r="F13" s="642"/>
      <c r="G13" s="642"/>
      <c r="H13" s="642"/>
      <c r="I13" s="642"/>
      <c r="J13" s="642"/>
      <c r="K13" s="642"/>
      <c r="L13" s="642"/>
      <c r="M13" s="642"/>
      <c r="N13" s="643"/>
      <c r="O13" s="641"/>
      <c r="P13" s="641"/>
      <c r="Q13" s="32">
        <f t="shared" si="0"/>
        <v>0</v>
      </c>
    </row>
    <row r="14" spans="1:54" x14ac:dyDescent="0.3">
      <c r="E14" s="243"/>
      <c r="F14" s="243"/>
      <c r="G14" s="243"/>
      <c r="H14" s="243"/>
      <c r="I14" s="243"/>
      <c r="J14" s="243"/>
      <c r="K14" s="243"/>
      <c r="L14" s="243"/>
      <c r="M14" s="243"/>
      <c r="N14" s="244"/>
    </row>
    <row r="15" spans="1:54" x14ac:dyDescent="0.3">
      <c r="B15" s="32" t="s">
        <v>970</v>
      </c>
      <c r="C15" s="32" t="s">
        <v>334</v>
      </c>
      <c r="E15" s="243">
        <f>SUM(F15:N15)</f>
        <v>95086114.385195673</v>
      </c>
      <c r="F15" s="243">
        <f>'10d-1. Fuel by class'!F15+'10d-2. Trans by class'!F15+'10e. OM excl Fuel by class'!F15+'10f. AG by class'!F15+'10i. STP-DC by class'!F15+'10j. PAYTAX by class'!F15+'10h. Int-CD by class'!F15</f>
        <v>32347894.183793873</v>
      </c>
      <c r="G15" s="243">
        <f>'10d-1. Fuel by class'!G15+'10d-2. Trans by class'!G15+'10e. OM excl Fuel by class'!G15+'10f. AG by class'!G15+'10i. STP-DC by class'!G15+'10j. PAYTAX by class'!G15+'10h. Int-CD by class'!G15</f>
        <v>8680227.580270296</v>
      </c>
      <c r="H15" s="243">
        <f>'10d-1. Fuel by class'!H15+'10d-2. Trans by class'!H15+'10e. OM excl Fuel by class'!H15+'10f. AG by class'!H15+'10i. STP-DC by class'!H15+'10j. PAYTAX by class'!H15+'10h. Int-CD by class'!H15</f>
        <v>21098166.103663594</v>
      </c>
      <c r="I15" s="243">
        <f>'10d-1. Fuel by class'!I15+'10d-2. Trans by class'!I15+'10e. OM excl Fuel by class'!I15+'10f. AG by class'!I15+'10i. STP-DC by class'!I15+'10j. PAYTAX by class'!I15+'10h. Int-CD by class'!I15</f>
        <v>13690675.064427316</v>
      </c>
      <c r="J15" s="243">
        <f>'10d-1. Fuel by class'!J15+'10d-2. Trans by class'!J15+'10e. OM excl Fuel by class'!J15+'10f. AG by class'!J15+'10i. STP-DC by class'!J15+'10j. PAYTAX by class'!J15+'10h. Int-CD by class'!J15</f>
        <v>6603839.5982272746</v>
      </c>
      <c r="K15" s="243">
        <f>'10d-1. Fuel by class'!K15+'10d-2. Trans by class'!K15+'10e. OM excl Fuel by class'!K15+'10f. AG by class'!K15+'10i. STP-DC by class'!K15+'10j. PAYTAX by class'!K15+'10h. Int-CD by class'!K15</f>
        <v>10358681.028928243</v>
      </c>
      <c r="L15" s="243">
        <f>'10d-1. Fuel by class'!L15+'10d-2. Trans by class'!L15+'10e. OM excl Fuel by class'!L15+'10f. AG by class'!L15+'10i. STP-DC by class'!L15+'10j. PAYTAX by class'!L15+'10h. Int-CD by class'!L15</f>
        <v>1898113.7746013401</v>
      </c>
      <c r="M15" s="243">
        <f>'10d-1. Fuel by class'!M15+'10d-2. Trans by class'!M15+'10e. OM excl Fuel by class'!M15+'10f. AG by class'!M15+'10i. STP-DC by class'!M15+'10j. PAYTAX by class'!M15+'10h. Int-CD by class'!M15</f>
        <v>18608.829152350325</v>
      </c>
      <c r="N15" s="244">
        <f>'10d-1. Fuel by class'!N15+'10d-2. Trans by class'!N15+'10e. OM excl Fuel by class'!N15+'10f. AG by class'!N15+'10i. STP-DC by class'!N15+'10j. PAYTAX by class'!N15+'10h. Int-CD by class'!N15</f>
        <v>389908.22213140765</v>
      </c>
      <c r="P15" s="32">
        <f>SUM(F15:O15)</f>
        <v>95086114.385195673</v>
      </c>
      <c r="Q15" s="32">
        <f>E15-P15</f>
        <v>0</v>
      </c>
    </row>
    <row r="16" spans="1:54" x14ac:dyDescent="0.3">
      <c r="B16" s="32" t="s">
        <v>971</v>
      </c>
      <c r="E16" s="35">
        <f>E10+E15</f>
        <v>316436894.35394251</v>
      </c>
      <c r="F16" s="35">
        <f t="shared" ref="F16:P16" si="1">F10+F15</f>
        <v>120463700.07257392</v>
      </c>
      <c r="G16" s="35">
        <f t="shared" si="1"/>
        <v>34806483.302220732</v>
      </c>
      <c r="H16" s="35">
        <f t="shared" si="1"/>
        <v>67371148.811596051</v>
      </c>
      <c r="I16" s="35">
        <f t="shared" si="1"/>
        <v>40839103.743724197</v>
      </c>
      <c r="J16" s="35">
        <f t="shared" si="1"/>
        <v>18014282.840984099</v>
      </c>
      <c r="K16" s="35">
        <f t="shared" si="1"/>
        <v>27263605.806412004</v>
      </c>
      <c r="L16" s="35">
        <f t="shared" si="1"/>
        <v>6298632.6110607646</v>
      </c>
      <c r="M16" s="35">
        <f t="shared" si="1"/>
        <v>42266.177514087831</v>
      </c>
      <c r="N16" s="158">
        <f t="shared" si="1"/>
        <v>1337670.9878566584</v>
      </c>
      <c r="O16" s="35"/>
      <c r="P16" s="35">
        <f t="shared" si="1"/>
        <v>316436894.35394251</v>
      </c>
      <c r="Q16" s="32">
        <f>E16-P16</f>
        <v>0</v>
      </c>
    </row>
    <row r="17" spans="1:17" x14ac:dyDescent="0.3">
      <c r="B17" s="32" t="s">
        <v>617</v>
      </c>
      <c r="C17" s="32" t="s">
        <v>334</v>
      </c>
      <c r="E17" s="243">
        <f>SUM(F17:N17)</f>
        <v>317042422.25952005</v>
      </c>
      <c r="F17" s="243">
        <f>'10d-1. Fuel by class'!F17+'10d-2. Trans by class'!F17+'10e. OM excl Fuel by class'!F17+'10f. AG by class'!F17+'10i. STP-DC by class'!F17+'10j. PAYTAX by class'!F17+'10h. Int-CD by class'!F17</f>
        <v>107421713.86848</v>
      </c>
      <c r="G17" s="243">
        <f>'10d-1. Fuel by class'!G17+'10d-2. Trans by class'!G17+'10e. OM excl Fuel by class'!G17+'10f. AG by class'!G17+'10i. STP-DC by class'!G17+'10j. PAYTAX by class'!G17+'10h. Int-CD by class'!G17</f>
        <v>28825521.628799997</v>
      </c>
      <c r="H17" s="243">
        <f>'10d-1. Fuel by class'!H17+'10d-2. Trans by class'!H17+'10e. OM excl Fuel by class'!H17+'10f. AG by class'!H17+'10i. STP-DC by class'!H17+'10j. PAYTAX by class'!H17+'10h. Int-CD by class'!H17</f>
        <v>70063329.299280003</v>
      </c>
      <c r="I17" s="243">
        <f>'10d-1. Fuel by class'!I17+'10d-2. Trans by class'!I17+'10e. OM excl Fuel by class'!I17+'10f. AG by class'!I17+'10i. STP-DC by class'!I17+'10j. PAYTAX by class'!I17+'10h. Int-CD by class'!I17</f>
        <v>45497176.394640006</v>
      </c>
      <c r="J17" s="243">
        <f>'10d-1. Fuel by class'!J17+'10d-2. Trans by class'!J17+'10e. OM excl Fuel by class'!J17+'10f. AG by class'!J17+'10i. STP-DC by class'!J17+'10j. PAYTAX by class'!J17+'10h. Int-CD by class'!J17</f>
        <v>22019527.455839999</v>
      </c>
      <c r="K17" s="243">
        <f>'10d-1. Fuel by class'!K17+'10d-2. Trans by class'!K17+'10e. OM excl Fuel by class'!K17+'10f. AG by class'!K17+'10i. STP-DC by class'!K17+'10j. PAYTAX by class'!K17+'10h. Int-CD by class'!K17</f>
        <v>35258916.896640003</v>
      </c>
      <c r="L17" s="243">
        <f>'10d-1. Fuel by class'!L17+'10d-2. Trans by class'!L17+'10e. OM excl Fuel by class'!L17+'10f. AG by class'!L17+'10i. STP-DC by class'!L17+'10j. PAYTAX by class'!L17+'10h. Int-CD by class'!L17</f>
        <v>6599622.8495999994</v>
      </c>
      <c r="M17" s="243">
        <f>'10d-1. Fuel by class'!M17+'10d-2. Trans by class'!M17+'10e. OM excl Fuel by class'!M17+'10f. AG by class'!M17+'10i. STP-DC by class'!M17+'10j. PAYTAX by class'!M17+'10h. Int-CD by class'!M17</f>
        <v>61796.675520000004</v>
      </c>
      <c r="N17" s="244">
        <f>'10d-1. Fuel by class'!N17+'10d-2. Trans by class'!N17+'10e. OM excl Fuel by class'!N17+'10f. AG by class'!N17+'10i. STP-DC by class'!N17+'10j. PAYTAX by class'!N17+'10h. Int-CD by class'!N17</f>
        <v>1294817.1907200001</v>
      </c>
      <c r="P17" s="32">
        <f>SUM(F17:O17)</f>
        <v>317042422.25952005</v>
      </c>
      <c r="Q17" s="32">
        <f>E17-P17</f>
        <v>0</v>
      </c>
    </row>
    <row r="18" spans="1:17" x14ac:dyDescent="0.3">
      <c r="B18" s="32" t="s">
        <v>972</v>
      </c>
      <c r="E18" s="243">
        <f t="shared" ref="E18:N18" si="2">SUM(E16:E17)</f>
        <v>633479316.61346257</v>
      </c>
      <c r="F18" s="243">
        <f t="shared" si="2"/>
        <v>227885413.94105393</v>
      </c>
      <c r="G18" s="243">
        <f t="shared" si="2"/>
        <v>63632004.931020729</v>
      </c>
      <c r="H18" s="243">
        <f t="shared" si="2"/>
        <v>137434478.11087605</v>
      </c>
      <c r="I18" s="243">
        <f t="shared" si="2"/>
        <v>86336280.138364196</v>
      </c>
      <c r="J18" s="243">
        <f t="shared" si="2"/>
        <v>40033810.296824098</v>
      </c>
      <c r="K18" s="243">
        <f t="shared" si="2"/>
        <v>62522522.703052007</v>
      </c>
      <c r="L18" s="243">
        <f t="shared" si="2"/>
        <v>12898255.460660763</v>
      </c>
      <c r="M18" s="243">
        <f t="shared" si="2"/>
        <v>104062.85303408784</v>
      </c>
      <c r="N18" s="244">
        <f t="shared" si="2"/>
        <v>2632488.1785766585</v>
      </c>
      <c r="P18" s="32">
        <f>SUM(F18:O18)</f>
        <v>633479316.61346269</v>
      </c>
      <c r="Q18" s="32">
        <f>E18-P18</f>
        <v>0</v>
      </c>
    </row>
    <row r="19" spans="1:17" x14ac:dyDescent="0.3">
      <c r="E19" s="243"/>
      <c r="F19" s="243"/>
      <c r="G19" s="243"/>
      <c r="H19" s="243"/>
      <c r="I19" s="243"/>
      <c r="J19" s="243"/>
      <c r="K19" s="243"/>
      <c r="L19" s="243"/>
      <c r="M19" s="243"/>
      <c r="N19" s="244"/>
    </row>
    <row r="20" spans="1:17" x14ac:dyDescent="0.3">
      <c r="A20" s="32" t="s">
        <v>984</v>
      </c>
      <c r="C20" s="32" t="s">
        <v>333</v>
      </c>
      <c r="E20" s="243">
        <f>SUM(F20:N20)</f>
        <v>26741243.060000006</v>
      </c>
      <c r="F20" s="243">
        <f>'10d-1. Fuel by class'!F20+'10d-2. Trans by class'!F20+'10e. OM excl Fuel by class'!F20+'10f. AG by class'!F20+'10i. STP-DC by class'!F20+'10j. PAYTAX by class'!F20+'10h. Int-CD by class'!F20</f>
        <v>10645154.037324799</v>
      </c>
      <c r="G20" s="243">
        <f>'10d-1. Fuel by class'!G20+'10d-2. Trans by class'!G20+'10e. OM excl Fuel by class'!G20+'10f. AG by class'!G20+'10i. STP-DC by class'!G20+'10j. PAYTAX by class'!G20+'10h. Int-CD by class'!G20</f>
        <v>3156268.9183717999</v>
      </c>
      <c r="H20" s="243">
        <f>'10d-1. Fuel by class'!H20+'10d-2. Trans by class'!H20+'10e. OM excl Fuel by class'!H20+'10f. AG by class'!H20+'10i. STP-DC by class'!H20+'10j. PAYTAX by class'!H20+'10h. Int-CD by class'!H20</f>
        <v>5590256.8616930004</v>
      </c>
      <c r="I20" s="243">
        <f>'10d-1. Fuel by class'!I20+'10d-2. Trans by class'!I20+'10e. OM excl Fuel by class'!I20+'10f. AG by class'!I20+'10i. STP-DC by class'!I20+'10j. PAYTAX by class'!I20+'10h. Int-CD by class'!I20</f>
        <v>3279813.4613089999</v>
      </c>
      <c r="J20" s="243">
        <f>'10d-1. Fuel by class'!J20+'10d-2. Trans by class'!J20+'10e. OM excl Fuel by class'!J20+'10f. AG by class'!J20+'10i. STP-DC by class'!J20+'10j. PAYTAX by class'!J20+'10h. Int-CD by class'!J20</f>
        <v>1378511.079743</v>
      </c>
      <c r="K20" s="243">
        <f>'10d-1. Fuel by class'!K20+'10d-2. Trans by class'!K20+'10e. OM excl Fuel by class'!K20+'10f. AG by class'!K20+'10i. STP-DC by class'!K20+'10j. PAYTAX by class'!K20+'10h. Int-CD by class'!K20</f>
        <v>2042228.7324921996</v>
      </c>
      <c r="L20" s="243">
        <f>'10d-1. Fuel by class'!L20+'10d-2. Trans by class'!L20+'10e. OM excl Fuel by class'!L20+'10f. AG by class'!L20+'10i. STP-DC by class'!L20+'10j. PAYTAX by class'!L20+'10h. Int-CD by class'!L20</f>
        <v>531615.91203279991</v>
      </c>
      <c r="M20" s="243">
        <f>'10d-1. Fuel by class'!M20+'10d-2. Trans by class'!M20+'10e. OM excl Fuel by class'!M20+'10f. AG by class'!M20+'10i. STP-DC by class'!M20+'10j. PAYTAX by class'!M20+'10h. Int-CD by class'!M20</f>
        <v>2941.5367366</v>
      </c>
      <c r="N20" s="244">
        <f>'10d-1. Fuel by class'!N20+'10d-2. Trans by class'!N20+'10e. OM excl Fuel by class'!N20+'10f. AG by class'!N20+'10i. STP-DC by class'!N20+'10j. PAYTAX by class'!N20+'10h. Int-CD by class'!N20</f>
        <v>114452.52029679999</v>
      </c>
      <c r="P20" s="32">
        <f>SUM(F20:O20)</f>
        <v>26741243.060000006</v>
      </c>
      <c r="Q20" s="32">
        <f>E20-P20</f>
        <v>0</v>
      </c>
    </row>
    <row r="21" spans="1:17" x14ac:dyDescent="0.3">
      <c r="E21" s="243"/>
      <c r="F21" s="243"/>
      <c r="G21" s="243"/>
      <c r="H21" s="243"/>
      <c r="I21" s="243"/>
      <c r="J21" s="243"/>
      <c r="K21" s="243"/>
      <c r="L21" s="243"/>
      <c r="M21" s="243"/>
      <c r="N21" s="244"/>
    </row>
    <row r="22" spans="1:17" x14ac:dyDescent="0.3">
      <c r="A22" s="32" t="s">
        <v>366</v>
      </c>
      <c r="C22" s="32" t="s">
        <v>333</v>
      </c>
      <c r="E22" s="243">
        <f>SUM(F22:N22)</f>
        <v>60215752.567019679</v>
      </c>
      <c r="F22" s="243">
        <f>'10d-1. Fuel by class'!F22+'10d-2. Trans by class'!F22+'10e. OM excl Fuel by class'!F22+'10f. AG by class'!F22+'10i. STP-DC by class'!F22+'10j. PAYTAX by class'!F22+'10h. Int-CD by class'!F22</f>
        <v>25380620.402390152</v>
      </c>
      <c r="G22" s="243">
        <f>'10d-1. Fuel by class'!G22+'10d-2. Trans by class'!G22+'10e. OM excl Fuel by class'!G22+'10f. AG by class'!G22+'10i. STP-DC by class'!G22+'10j. PAYTAX by class'!G22+'10h. Int-CD by class'!G22</f>
        <v>5760957.4634842165</v>
      </c>
      <c r="H22" s="243">
        <f>'10d-1. Fuel by class'!H22+'10d-2. Trans by class'!H22+'10e. OM excl Fuel by class'!H22+'10f. AG by class'!H22+'10i. STP-DC by class'!H22+'10j. PAYTAX by class'!H22+'10h. Int-CD by class'!H22</f>
        <v>11937679.299332533</v>
      </c>
      <c r="I22" s="243">
        <f>'10d-1. Fuel by class'!I22+'10d-2. Trans by class'!I22+'10e. OM excl Fuel by class'!I22+'10f. AG by class'!I22+'10i. STP-DC by class'!I22+'10j. PAYTAX by class'!I22+'10h. Int-CD by class'!I22</f>
        <v>8014757.3898473149</v>
      </c>
      <c r="J22" s="243">
        <f>'10d-1. Fuel by class'!J22+'10d-2. Trans by class'!J22+'10e. OM excl Fuel by class'!J22+'10f. AG by class'!J22+'10i. STP-DC by class'!J22+'10j. PAYTAX by class'!J22+'10h. Int-CD by class'!J22</f>
        <v>3176962.7345390208</v>
      </c>
      <c r="K22" s="243">
        <f>'10d-1. Fuel by class'!K22+'10d-2. Trans by class'!K22+'10e. OM excl Fuel by class'!K22+'10f. AG by class'!K22+'10i. STP-DC by class'!K22+'10j. PAYTAX by class'!K22+'10h. Int-CD by class'!K22</f>
        <v>4678116.9289494818</v>
      </c>
      <c r="L22" s="243">
        <f>'10d-1. Fuel by class'!L22+'10d-2. Trans by class'!L22+'10e. OM excl Fuel by class'!L22+'10f. AG by class'!L22+'10i. STP-DC by class'!L22+'10j. PAYTAX by class'!L22+'10h. Int-CD by class'!L22</f>
        <v>1260126.717192736</v>
      </c>
      <c r="M22" s="243">
        <f>'10d-1. Fuel by class'!M22+'10d-2. Trans by class'!M22+'10e. OM excl Fuel by class'!M22+'10f. AG by class'!M22+'10i. STP-DC by class'!M22+'10j. PAYTAX by class'!M22+'10h. Int-CD by class'!M22</f>
        <v>6531.631284224788</v>
      </c>
      <c r="N22" s="244">
        <f>'10d-1. Fuel by class'!N22+'10d-2. Trans by class'!N22+'10e. OM excl Fuel by class'!N22+'10f. AG by class'!N22+'10i. STP-DC by class'!N22+'10j. PAYTAX by class'!N22+'10h. Int-CD by class'!N22</f>
        <v>0</v>
      </c>
      <c r="P22" s="32">
        <f>SUM(F22:O22)</f>
        <v>60215752.567019679</v>
      </c>
      <c r="Q22" s="32">
        <f>E22-P22</f>
        <v>0</v>
      </c>
    </row>
    <row r="23" spans="1:17" x14ac:dyDescent="0.3">
      <c r="E23" s="243"/>
      <c r="F23" s="243"/>
      <c r="G23" s="243"/>
      <c r="H23" s="243"/>
      <c r="I23" s="243"/>
      <c r="J23" s="243"/>
      <c r="K23" s="243"/>
      <c r="L23" s="243"/>
      <c r="M23" s="243"/>
      <c r="N23" s="244"/>
    </row>
    <row r="24" spans="1:17" x14ac:dyDescent="0.3">
      <c r="A24" s="32" t="s">
        <v>367</v>
      </c>
      <c r="E24" s="243"/>
      <c r="F24" s="243"/>
      <c r="G24" s="243"/>
      <c r="H24" s="243"/>
      <c r="I24" s="243"/>
      <c r="J24" s="243"/>
      <c r="K24" s="243"/>
      <c r="L24" s="243"/>
      <c r="M24" s="243"/>
      <c r="N24" s="244"/>
    </row>
    <row r="25" spans="1:17" x14ac:dyDescent="0.3">
      <c r="B25" s="32" t="s">
        <v>973</v>
      </c>
      <c r="E25" s="243"/>
      <c r="F25" s="243"/>
      <c r="G25" s="243"/>
      <c r="H25" s="243"/>
      <c r="I25" s="243"/>
      <c r="J25" s="243"/>
      <c r="K25" s="243"/>
      <c r="L25" s="243"/>
      <c r="M25" s="243"/>
      <c r="N25" s="244"/>
    </row>
    <row r="26" spans="1:17" x14ac:dyDescent="0.3">
      <c r="B26" s="130" t="s">
        <v>974</v>
      </c>
      <c r="E26" s="243">
        <f>SUM(F26:N26)</f>
        <v>35587994.271100037</v>
      </c>
      <c r="F26" s="243">
        <f>'10d-1. Fuel by class'!F26+'10d-2. Trans by class'!F26+'10e. OM excl Fuel by class'!F26+'10f. AG by class'!F26+'10i. STP-DC by class'!F26+'10j. PAYTAX by class'!F26+'10h. Int-CD by class'!F26</f>
        <v>14350608.820723049</v>
      </c>
      <c r="G26" s="243">
        <f>'10d-1. Fuel by class'!G26+'10d-2. Trans by class'!G26+'10e. OM excl Fuel by class'!G26+'10f. AG by class'!G26+'10i. STP-DC by class'!G26+'10j. PAYTAX by class'!G26+'10h. Int-CD by class'!G26</f>
        <v>4282120.7877222914</v>
      </c>
      <c r="H26" s="243">
        <f>'10d-1. Fuel by class'!H26+'10d-2. Trans by class'!H26+'10e. OM excl Fuel by class'!H26+'10f. AG by class'!H26+'10i. STP-DC by class'!H26+'10j. PAYTAX by class'!H26+'10h. Int-CD by class'!H26</f>
        <v>7413388.6865314934</v>
      </c>
      <c r="I26" s="243">
        <f>'10d-1. Fuel by class'!I26+'10d-2. Trans by class'!I26+'10e. OM excl Fuel by class'!I26+'10f. AG by class'!I26+'10i. STP-DC by class'!I26+'10j. PAYTAX by class'!I26+'10h. Int-CD by class'!I26</f>
        <v>4310282.1764386306</v>
      </c>
      <c r="J26" s="243">
        <f>'10d-1. Fuel by class'!J26+'10d-2. Trans by class'!J26+'10e. OM excl Fuel by class'!J26+'10f. AG by class'!J26+'10i. STP-DC by class'!J26+'10j. PAYTAX by class'!J26+'10h. Int-CD by class'!J26</f>
        <v>1786254.4859192427</v>
      </c>
      <c r="K26" s="243">
        <f>'10d-1. Fuel by class'!K26+'10d-2. Trans by class'!K26+'10e. OM excl Fuel by class'!K26+'10f. AG by class'!K26+'10i. STP-DC by class'!K26+'10j. PAYTAX by class'!K26+'10h. Int-CD by class'!K26</f>
        <v>2629237.1147509944</v>
      </c>
      <c r="L26" s="243">
        <f>'10d-1. Fuel by class'!L26+'10d-2. Trans by class'!L26+'10e. OM excl Fuel by class'!L26+'10f. AG by class'!L26+'10i. STP-DC by class'!L26+'10j. PAYTAX by class'!L26+'10h. Int-CD by class'!L26</f>
        <v>659450.77920594928</v>
      </c>
      <c r="M26" s="243">
        <f>'10d-1. Fuel by class'!M26+'10d-2. Trans by class'!M26+'10e. OM excl Fuel by class'!M26+'10f. AG by class'!M26+'10i. STP-DC by class'!M26+'10j. PAYTAX by class'!M26+'10h. Int-CD by class'!M26</f>
        <v>3553.8398170141709</v>
      </c>
      <c r="N26" s="244">
        <f>'10d-1. Fuel by class'!N26+'10d-2. Trans by class'!N26+'10e. OM excl Fuel by class'!N26+'10f. AG by class'!N26+'10i. STP-DC by class'!N26+'10j. PAYTAX by class'!N26+'10h. Int-CD by class'!N26</f>
        <v>153097.57999137201</v>
      </c>
      <c r="P26" s="32">
        <f>SUM(F26:O26)</f>
        <v>35587994.271100037</v>
      </c>
      <c r="Q26" s="32">
        <f>E26-P26</f>
        <v>0</v>
      </c>
    </row>
    <row r="27" spans="1:17" x14ac:dyDescent="0.3">
      <c r="B27" s="130" t="s">
        <v>975</v>
      </c>
      <c r="E27" s="243">
        <f>SUM(F27:N27)</f>
        <v>43903474.412209116</v>
      </c>
      <c r="F27" s="243">
        <f>'10d-1. Fuel by class'!F27+'10d-2. Trans by class'!F27+'10e. OM excl Fuel by class'!F27+'10f. AG by class'!F27+'10i. STP-DC by class'!F27+'10j. PAYTAX by class'!F27+'10h. Int-CD by class'!F27</f>
        <v>18012854.562613849</v>
      </c>
      <c r="G27" s="243">
        <f>'10d-1. Fuel by class'!G27+'10d-2. Trans by class'!G27+'10e. OM excl Fuel by class'!G27+'10f. AG by class'!G27+'10i. STP-DC by class'!G27+'10j. PAYTAX by class'!G27+'10h. Int-CD by class'!G27</f>
        <v>5374909.1716166465</v>
      </c>
      <c r="H27" s="243">
        <f>'10d-1. Fuel by class'!H27+'10d-2. Trans by class'!H27+'10e. OM excl Fuel by class'!H27+'10f. AG by class'!H27+'10i. STP-DC by class'!H27+'10j. PAYTAX by class'!H27+'10h. Int-CD by class'!H27</f>
        <v>9305270.1731918938</v>
      </c>
      <c r="I27" s="243">
        <f>'10d-1. Fuel by class'!I27+'10d-2. Trans by class'!I27+'10e. OM excl Fuel by class'!I27+'10f. AG by class'!I27+'10i. STP-DC by class'!I27+'10j. PAYTAX by class'!I27+'10h. Int-CD by class'!I27</f>
        <v>5410257.2885896452</v>
      </c>
      <c r="J27" s="243">
        <f>'10d-1. Fuel by class'!J27+'10d-2. Trans by class'!J27+'10e. OM excl Fuel by class'!J27+'10f. AG by class'!J27+'10i. STP-DC by class'!J27+'10j. PAYTAX by class'!J27+'10h. Int-CD by class'!J27</f>
        <v>2242102.9427139475</v>
      </c>
      <c r="K27" s="243">
        <f>'10d-1. Fuel by class'!K27+'10d-2. Trans by class'!K27+'10e. OM excl Fuel by class'!K27+'10f. AG by class'!K27+'10i. STP-DC by class'!K27+'10j. PAYTAX by class'!K27+'10h. Int-CD by class'!K27</f>
        <v>3300212.9979493022</v>
      </c>
      <c r="L27" s="243">
        <f>'10d-1. Fuel by class'!L27+'10d-2. Trans by class'!L27+'10e. OM excl Fuel by class'!L27+'10f. AG by class'!L27+'10i. STP-DC by class'!L27+'10j. PAYTAX by class'!L27+'10h. Int-CD by class'!L27</f>
        <v>61238.736822593659</v>
      </c>
      <c r="M27" s="243">
        <f>'10d-1. Fuel by class'!M27+'10d-2. Trans by class'!M27+'10e. OM excl Fuel by class'!M27+'10f. AG by class'!M27+'10i. STP-DC by class'!M27+'10j. PAYTAX by class'!M27+'10h. Int-CD by class'!M27</f>
        <v>4460.7724008379118</v>
      </c>
      <c r="N27" s="244">
        <f>'10d-1. Fuel by class'!N27+'10d-2. Trans by class'!N27+'10e. OM excl Fuel by class'!N27+'10f. AG by class'!N27+'10i. STP-DC by class'!N27+'10j. PAYTAX by class'!N27+'10h. Int-CD by class'!N27</f>
        <v>192167.76631040365</v>
      </c>
      <c r="P27" s="32">
        <f>SUM(F27:O27)</f>
        <v>43903474.412209116</v>
      </c>
      <c r="Q27" s="32">
        <f>E27-P27</f>
        <v>0</v>
      </c>
    </row>
    <row r="28" spans="1:17" x14ac:dyDescent="0.3">
      <c r="B28" s="130" t="s">
        <v>976</v>
      </c>
      <c r="E28" s="243">
        <f>SUM(F28:N28)</f>
        <v>12079646.767523915</v>
      </c>
      <c r="F28" s="243">
        <f>'10d-1. Fuel by class'!F28+'10d-2. Trans by class'!F28+'10e. OM excl Fuel by class'!F28+'10f. AG by class'!F28+'10i. STP-DC by class'!F28+'10j. PAYTAX by class'!F28+'10h. Int-CD by class'!F28</f>
        <v>6136845.4559102068</v>
      </c>
      <c r="G28" s="243">
        <f>'10d-1. Fuel by class'!G28+'10d-2. Trans by class'!G28+'10e. OM excl Fuel by class'!G28+'10f. AG by class'!G28+'10i. STP-DC by class'!G28+'10j. PAYTAX by class'!G28+'10h. Int-CD by class'!G28</f>
        <v>2256611.8381515467</v>
      </c>
      <c r="H28" s="243">
        <f>'10d-1. Fuel by class'!H28+'10d-2. Trans by class'!H28+'10e. OM excl Fuel by class'!H28+'10f. AG by class'!H28+'10i. STP-DC by class'!H28+'10j. PAYTAX by class'!H28+'10h. Int-CD by class'!H28</f>
        <v>2091071.323877438</v>
      </c>
      <c r="I28" s="243">
        <f>'10d-1. Fuel by class'!I28+'10d-2. Trans by class'!I28+'10e. OM excl Fuel by class'!I28+'10f. AG by class'!I28+'10i. STP-DC by class'!I28+'10j. PAYTAX by class'!I28+'10h. Int-CD by class'!I28</f>
        <v>1075184.4692978656</v>
      </c>
      <c r="J28" s="243">
        <f>'10d-1. Fuel by class'!J28+'10d-2. Trans by class'!J28+'10e. OM excl Fuel by class'!J28+'10f. AG by class'!J28+'10i. STP-DC by class'!J28+'10j. PAYTAX by class'!J28+'10h. Int-CD by class'!J28</f>
        <v>365522.1266041472</v>
      </c>
      <c r="K28" s="243">
        <f>'10d-1. Fuel by class'!K28+'10d-2. Trans by class'!K28+'10e. OM excl Fuel by class'!K28+'10f. AG by class'!K28+'10i. STP-DC by class'!K28+'10j. PAYTAX by class'!K28+'10h. Int-CD by class'!K28</f>
        <v>122049.29311659379</v>
      </c>
      <c r="L28" s="243">
        <f>'10d-1. Fuel by class'!L28+'10d-2. Trans by class'!L28+'10e. OM excl Fuel by class'!L28+'10f. AG by class'!L28+'10i. STP-DC by class'!L28+'10j. PAYTAX by class'!L28+'10h. Int-CD by class'!L28</f>
        <v>0</v>
      </c>
      <c r="M28" s="243">
        <f>'10d-1. Fuel by class'!M28+'10d-2. Trans by class'!M28+'10e. OM excl Fuel by class'!M28+'10f. AG by class'!M28+'10i. STP-DC by class'!M28+'10j. PAYTAX by class'!M28+'10h. Int-CD by class'!M28</f>
        <v>734.17968575789564</v>
      </c>
      <c r="N28" s="244">
        <f>'10d-1. Fuel by class'!N28+'10d-2. Trans by class'!N28+'10e. OM excl Fuel by class'!N28+'10f. AG by class'!N28+'10i. STP-DC by class'!N28+'10j. PAYTAX by class'!N28+'10h. Int-CD by class'!N28</f>
        <v>31628.080880357706</v>
      </c>
      <c r="P28" s="32">
        <f>SUM(F28:O28)</f>
        <v>12079646.767523915</v>
      </c>
      <c r="Q28" s="32">
        <f>E28-P28</f>
        <v>0</v>
      </c>
    </row>
    <row r="29" spans="1:17" x14ac:dyDescent="0.3">
      <c r="B29" s="130" t="s">
        <v>931</v>
      </c>
      <c r="E29" s="580">
        <f>SUM(F29:N29)</f>
        <v>2035082.6040734979</v>
      </c>
      <c r="F29" s="580">
        <f>'10d-1. Fuel by class'!F29+'10d-2. Trans by class'!F29+'10e. OM excl Fuel by class'!F29+'10f. AG by class'!F29+'10i. STP-DC by class'!F29+'10j. PAYTAX by class'!F29+'10h. Int-CD by class'!F29</f>
        <v>985628.40061557805</v>
      </c>
      <c r="G29" s="580">
        <f>'10d-1. Fuel by class'!G29+'10d-2. Trans by class'!G29+'10e. OM excl Fuel by class'!G29+'10f. AG by class'!G29+'10i. STP-DC by class'!G29+'10j. PAYTAX by class'!G29+'10h. Int-CD by class'!G29</f>
        <v>340174.5842766483</v>
      </c>
      <c r="H29" s="580">
        <f>'10d-1. Fuel by class'!H29+'10d-2. Trans by class'!H29+'10e. OM excl Fuel by class'!H29+'10f. AG by class'!H29+'10i. STP-DC by class'!H29+'10j. PAYTAX by class'!H29+'10h. Int-CD by class'!H29</f>
        <v>392300.39806868904</v>
      </c>
      <c r="I29" s="580">
        <f>'10d-1. Fuel by class'!I29+'10d-2. Trans by class'!I29+'10e. OM excl Fuel by class'!I29+'10f. AG by class'!I29+'10i. STP-DC by class'!I29+'10j. PAYTAX by class'!I29+'10h. Int-CD by class'!I29</f>
        <v>210423.51993142453</v>
      </c>
      <c r="J29" s="580">
        <f>'10d-1. Fuel by class'!J29+'10d-2. Trans by class'!J29+'10e. OM excl Fuel by class'!J29+'10f. AG by class'!J29+'10i. STP-DC by class'!J29+'10j. PAYTAX by class'!J29+'10h. Int-CD by class'!J29</f>
        <v>74360.689521200809</v>
      </c>
      <c r="K29" s="580">
        <f>'10d-1. Fuel by class'!K29+'10d-2. Trans by class'!K29+'10e. OM excl Fuel by class'!K29+'10f. AG by class'!K29+'10i. STP-DC by class'!K29+'10j. PAYTAX by class'!K29+'10h. Int-CD by class'!K29</f>
        <v>25185.805427784198</v>
      </c>
      <c r="L29" s="580">
        <f>'10d-1. Fuel by class'!L29+'10d-2. Trans by class'!L29+'10e. OM excl Fuel by class'!L29+'10f. AG by class'!L29+'10i. STP-DC by class'!L29+'10j. PAYTAX by class'!L29+'10h. Int-CD by class'!L29</f>
        <v>0</v>
      </c>
      <c r="M29" s="580">
        <f>'10d-1. Fuel by class'!M29+'10d-2. Trans by class'!M29+'10e. OM excl Fuel by class'!M29+'10f. AG by class'!M29+'10i. STP-DC by class'!M29+'10j. PAYTAX by class'!M29+'10h. Int-CD by class'!M29</f>
        <v>159.01289770645195</v>
      </c>
      <c r="N29" s="600">
        <f>'10d-1. Fuel by class'!N29+'10d-2. Trans by class'!N29+'10e. OM excl Fuel by class'!N29+'10f. AG by class'!N29+'10i. STP-DC by class'!N29+'10j. PAYTAX by class'!N29+'10h. Int-CD by class'!N29</f>
        <v>6850.1933344668578</v>
      </c>
      <c r="P29" s="32">
        <f>SUM(F29:O29)</f>
        <v>2035082.6040734979</v>
      </c>
      <c r="Q29" s="32">
        <f>E29-P29</f>
        <v>0</v>
      </c>
    </row>
    <row r="30" spans="1:17" x14ac:dyDescent="0.3">
      <c r="B30" s="32" t="s">
        <v>977</v>
      </c>
      <c r="C30" s="32" t="s">
        <v>333</v>
      </c>
      <c r="E30" s="243">
        <f t="shared" ref="E30:N30" si="3">SUM(E26:E29)</f>
        <v>93606198.054906562</v>
      </c>
      <c r="F30" s="243">
        <f t="shared" si="3"/>
        <v>39485937.239862688</v>
      </c>
      <c r="G30" s="243">
        <f t="shared" si="3"/>
        <v>12253816.381767131</v>
      </c>
      <c r="H30" s="243">
        <f t="shared" si="3"/>
        <v>19202030.581669513</v>
      </c>
      <c r="I30" s="243">
        <f t="shared" si="3"/>
        <v>11006147.454257565</v>
      </c>
      <c r="J30" s="243">
        <f t="shared" si="3"/>
        <v>4468240.244758538</v>
      </c>
      <c r="K30" s="243">
        <f t="shared" si="3"/>
        <v>6076685.2112446744</v>
      </c>
      <c r="L30" s="243">
        <f t="shared" si="3"/>
        <v>720689.51602854289</v>
      </c>
      <c r="M30" s="243">
        <f t="shared" si="3"/>
        <v>8907.8048013164298</v>
      </c>
      <c r="N30" s="244">
        <f t="shared" si="3"/>
        <v>383743.6205166002</v>
      </c>
      <c r="P30" s="32">
        <f>SUM(F30:O30)</f>
        <v>93606198.054906547</v>
      </c>
      <c r="Q30" s="32">
        <f>E30-P30</f>
        <v>0</v>
      </c>
    </row>
    <row r="31" spans="1:17" x14ac:dyDescent="0.3">
      <c r="E31" s="243"/>
      <c r="F31" s="243"/>
      <c r="G31" s="243"/>
      <c r="H31" s="243"/>
      <c r="I31" s="243"/>
      <c r="J31" s="243"/>
      <c r="K31" s="243"/>
      <c r="L31" s="243"/>
      <c r="M31" s="243"/>
      <c r="N31" s="244"/>
    </row>
    <row r="32" spans="1:17" x14ac:dyDescent="0.3">
      <c r="B32" s="32" t="s">
        <v>978</v>
      </c>
      <c r="E32" s="243"/>
      <c r="F32" s="243"/>
      <c r="G32" s="243"/>
      <c r="H32" s="243"/>
      <c r="I32" s="243"/>
      <c r="J32" s="243"/>
      <c r="K32" s="243"/>
      <c r="L32" s="243"/>
      <c r="M32" s="243"/>
      <c r="N32" s="244"/>
    </row>
    <row r="33" spans="1:17" x14ac:dyDescent="0.3">
      <c r="B33" s="130" t="s">
        <v>975</v>
      </c>
      <c r="E33" s="243">
        <f t="shared" ref="E33:E38" si="4">SUM(F33:N33)</f>
        <v>31109703.329897549</v>
      </c>
      <c r="F33" s="243">
        <f>'10d-1. Fuel by class'!F33+'10d-2. Trans by class'!F33+'10e. OM excl Fuel by class'!F33+'10f. AG by class'!F33+'10i. STP-DC by class'!F33+'10j. PAYTAX by class'!F33+'10h. Int-CD by class'!F33</f>
        <v>22312179.58424101</v>
      </c>
      <c r="G33" s="243">
        <f>'10d-1. Fuel by class'!G33+'10d-2. Trans by class'!G33+'10e. OM excl Fuel by class'!G33+'10f. AG by class'!G33+'10i. STP-DC by class'!G33+'10j. PAYTAX by class'!G33+'10h. Int-CD by class'!G33</f>
        <v>5487300.7977166958</v>
      </c>
      <c r="H33" s="243">
        <f>'10d-1. Fuel by class'!H33+'10d-2. Trans by class'!H33+'10e. OM excl Fuel by class'!H33+'10f. AG by class'!H33+'10i. STP-DC by class'!H33+'10j. PAYTAX by class'!H33+'10h. Int-CD by class'!H33</f>
        <v>2923948.3170810034</v>
      </c>
      <c r="I33" s="243">
        <f>'10d-1. Fuel by class'!I33+'10d-2. Trans by class'!I33+'10e. OM excl Fuel by class'!I33+'10f. AG by class'!I33+'10i. STP-DC by class'!I33+'10j. PAYTAX by class'!I33+'10h. Int-CD by class'!I33</f>
        <v>79573.042263202253</v>
      </c>
      <c r="J33" s="243">
        <f>'10d-1. Fuel by class'!J33+'10d-2. Trans by class'!J33+'10e. OM excl Fuel by class'!J33+'10f. AG by class'!J33+'10i. STP-DC by class'!J33+'10j. PAYTAX by class'!J33+'10h. Int-CD by class'!J33</f>
        <v>7024.5942164670942</v>
      </c>
      <c r="K33" s="243">
        <f>'10d-1. Fuel by class'!K33+'10d-2. Trans by class'!K33+'10e. OM excl Fuel by class'!K33+'10f. AG by class'!K33+'10i. STP-DC by class'!K33+'10j. PAYTAX by class'!K33+'10h. Int-CD by class'!K33</f>
        <v>1521.9954135678704</v>
      </c>
      <c r="L33" s="243">
        <f>'10d-1. Fuel by class'!L33+'10d-2. Trans by class'!L33+'10e. OM excl Fuel by class'!L33+'10f. AG by class'!L33+'10i. STP-DC by class'!L33+'10j. PAYTAX by class'!L33+'10h. Int-CD by class'!L33</f>
        <v>78.051046849634389</v>
      </c>
      <c r="M33" s="243">
        <f>'10d-1. Fuel by class'!M33+'10d-2. Trans by class'!M33+'10e. OM excl Fuel by class'!M33+'10f. AG by class'!M33+'10i. STP-DC by class'!M33+'10j. PAYTAX by class'!M33+'10h. Int-CD by class'!M33</f>
        <v>70675.222922343935</v>
      </c>
      <c r="N33" s="244">
        <f>'10d-1. Fuel by class'!N33+'10d-2. Trans by class'!N33+'10e. OM excl Fuel by class'!N33+'10f. AG by class'!N33+'10i. STP-DC by class'!N33+'10j. PAYTAX by class'!N33+'10h. Int-CD by class'!N33</f>
        <v>227401.72499640979</v>
      </c>
      <c r="P33" s="32">
        <f t="shared" ref="P33:P39" si="5">SUM(F33:O33)</f>
        <v>31109703.329897549</v>
      </c>
      <c r="Q33" s="32">
        <f t="shared" ref="Q33:Q39" si="6">E33-P33</f>
        <v>0</v>
      </c>
    </row>
    <row r="34" spans="1:17" x14ac:dyDescent="0.3">
      <c r="B34" s="130" t="s">
        <v>976</v>
      </c>
      <c r="E34" s="243">
        <f t="shared" si="4"/>
        <v>8273389.6059218775</v>
      </c>
      <c r="F34" s="243">
        <f>'10d-1. Fuel by class'!F34+'10d-2. Trans by class'!F34+'10e. OM excl Fuel by class'!F34+'10f. AG by class'!F34+'10i. STP-DC by class'!F34+'10j. PAYTAX by class'!F34+'10h. Int-CD by class'!F34</f>
        <v>5934402.5658312794</v>
      </c>
      <c r="G34" s="243">
        <f>'10d-1. Fuel by class'!G34+'10d-2. Trans by class'!G34+'10e. OM excl Fuel by class'!G34+'10f. AG by class'!G34+'10i. STP-DC by class'!G34+'10j. PAYTAX by class'!G34+'10h. Int-CD by class'!G34</f>
        <v>1459465.3028186313</v>
      </c>
      <c r="H34" s="243">
        <f>'10d-1. Fuel by class'!H34+'10d-2. Trans by class'!H34+'10e. OM excl Fuel by class'!H34+'10f. AG by class'!H34+'10i. STP-DC by class'!H34+'10j. PAYTAX by class'!H34+'10h. Int-CD by class'!H34</f>
        <v>777686.74860877846</v>
      </c>
      <c r="I34" s="243">
        <f>'10d-1. Fuel by class'!I34+'10d-2. Trans by class'!I34+'10e. OM excl Fuel by class'!I34+'10f. AG by class'!I34+'10i. STP-DC by class'!I34+'10j. PAYTAX by class'!I34+'10h. Int-CD by class'!I34</f>
        <v>20748.969762278415</v>
      </c>
      <c r="J34" s="243">
        <f>'10d-1. Fuel by class'!J34+'10d-2. Trans by class'!J34+'10e. OM excl Fuel by class'!J34+'10f. AG by class'!J34+'10i. STP-DC by class'!J34+'10j. PAYTAX by class'!J34+'10h. Int-CD by class'!J34</f>
        <v>1691.8869791152488</v>
      </c>
      <c r="K34" s="243">
        <f>'10d-1. Fuel by class'!K34+'10d-2. Trans by class'!K34+'10e. OM excl Fuel by class'!K34+'10f. AG by class'!K34+'10i. STP-DC by class'!K34+'10j. PAYTAX by class'!K34+'10h. Int-CD by class'!K34</f>
        <v>114.17642190348303</v>
      </c>
      <c r="L34" s="243">
        <f>'10d-1. Fuel by class'!L34+'10d-2. Trans by class'!L34+'10e. OM excl Fuel by class'!L34+'10f. AG by class'!L34+'10i. STP-DC by class'!L34+'10j. PAYTAX by class'!L34+'10h. Int-CD by class'!L34</f>
        <v>0</v>
      </c>
      <c r="M34" s="243">
        <f>'10d-1. Fuel by class'!M34+'10d-2. Trans by class'!M34+'10e. OM excl Fuel by class'!M34+'10f. AG by class'!M34+'10i. STP-DC by class'!M34+'10j. PAYTAX by class'!M34+'10h. Int-CD by class'!M34</f>
        <v>18797.590915200708</v>
      </c>
      <c r="N34" s="244">
        <f>'10d-1. Fuel by class'!N34+'10d-2. Trans by class'!N34+'10e. OM excl Fuel by class'!N34+'10f. AG by class'!N34+'10i. STP-DC by class'!N34+'10j. PAYTAX by class'!N34+'10h. Int-CD by class'!N34</f>
        <v>60482.364584690513</v>
      </c>
      <c r="P34" s="32">
        <f t="shared" si="5"/>
        <v>8273389.6059218775</v>
      </c>
      <c r="Q34" s="32">
        <f t="shared" si="6"/>
        <v>0</v>
      </c>
    </row>
    <row r="35" spans="1:17" x14ac:dyDescent="0.3">
      <c r="B35" s="130" t="s">
        <v>931</v>
      </c>
      <c r="E35" s="243">
        <f t="shared" si="4"/>
        <v>2224646.5519959987</v>
      </c>
      <c r="F35" s="243">
        <f>'10d-1. Fuel by class'!F35+'10d-2. Trans by class'!F35+'10e. OM excl Fuel by class'!F35+'10f. AG by class'!F35+'10i. STP-DC by class'!F35+'10j. PAYTAX by class'!F35+'10h. Int-CD by class'!F35</f>
        <v>1595712.1367502324</v>
      </c>
      <c r="G35" s="243">
        <f>'10d-1. Fuel by class'!G35+'10d-2. Trans by class'!G35+'10e. OM excl Fuel by class'!G35+'10f. AG by class'!G35+'10i. STP-DC by class'!G35+'10j. PAYTAX by class'!G35+'10h. Int-CD by class'!G35</f>
        <v>392438.23974508495</v>
      </c>
      <c r="H35" s="243">
        <f>'10d-1. Fuel by class'!H35+'10d-2. Trans by class'!H35+'10e. OM excl Fuel by class'!H35+'10f. AG by class'!H35+'10i. STP-DC by class'!H35+'10j. PAYTAX by class'!H35+'10h. Int-CD by class'!H35</f>
        <v>209113.58297295135</v>
      </c>
      <c r="I35" s="243">
        <f>'10d-1. Fuel by class'!I35+'10d-2. Trans by class'!I35+'10e. OM excl Fuel by class'!I35+'10f. AG by class'!I35+'10i. STP-DC by class'!I35+'10j. PAYTAX by class'!I35+'10h. Int-CD by class'!I35</f>
        <v>5579.2276488565712</v>
      </c>
      <c r="J35" s="243">
        <f>'10d-1. Fuel by class'!J35+'10d-2. Trans by class'!J35+'10e. OM excl Fuel by class'!J35+'10f. AG by class'!J35+'10i. STP-DC by class'!J35+'10j. PAYTAX by class'!J35+'10h. Int-CD by class'!J35</f>
        <v>454.9345206421317</v>
      </c>
      <c r="K35" s="243">
        <f>'10d-1. Fuel by class'!K35+'10d-2. Trans by class'!K35+'10e. OM excl Fuel by class'!K35+'10f. AG by class'!K35+'10i. STP-DC by class'!K35+'10j. PAYTAX by class'!K35+'10h. Int-CD by class'!K35</f>
        <v>30.701102620021157</v>
      </c>
      <c r="L35" s="243">
        <f>'10d-1. Fuel by class'!L35+'10d-2. Trans by class'!L35+'10e. OM excl Fuel by class'!L35+'10f. AG by class'!L35+'10i. STP-DC by class'!L35+'10j. PAYTAX by class'!L35+'10h. Int-CD by class'!L35</f>
        <v>0</v>
      </c>
      <c r="M35" s="243">
        <f>'10d-1. Fuel by class'!M35+'10d-2. Trans by class'!M35+'10e. OM excl Fuel by class'!M35+'10f. AG by class'!M35+'10i. STP-DC by class'!M35+'10j. PAYTAX by class'!M35+'10h. Int-CD by class'!M35</f>
        <v>5054.5178949871188</v>
      </c>
      <c r="N35" s="244">
        <f>'10d-1. Fuel by class'!N35+'10d-2. Trans by class'!N35+'10e. OM excl Fuel by class'!N35+'10f. AG by class'!N35+'10i. STP-DC by class'!N35+'10j. PAYTAX by class'!N35+'10h. Int-CD by class'!N35</f>
        <v>16263.211360623933</v>
      </c>
      <c r="P35" s="32">
        <f t="shared" si="5"/>
        <v>2224646.5519959987</v>
      </c>
      <c r="Q35" s="32">
        <f t="shared" si="6"/>
        <v>0</v>
      </c>
    </row>
    <row r="36" spans="1:17" x14ac:dyDescent="0.3">
      <c r="B36" s="130" t="s">
        <v>456</v>
      </c>
      <c r="E36" s="243">
        <f t="shared" si="4"/>
        <v>77186.851341631816</v>
      </c>
      <c r="F36" s="243">
        <f>'10d-1. Fuel by class'!F36+'10d-2. Trans by class'!F36+'10e. OM excl Fuel by class'!F36+'10f. AG by class'!F36+'10i. STP-DC by class'!F36+'10j. PAYTAX by class'!F36+'10h. Int-CD by class'!F36</f>
        <v>42137.086848038838</v>
      </c>
      <c r="G36" s="243">
        <f>'10d-1. Fuel by class'!G36+'10d-2. Trans by class'!G36+'10e. OM excl Fuel by class'!G36+'10f. AG by class'!G36+'10i. STP-DC by class'!G36+'10j. PAYTAX by class'!G36+'10h. Int-CD by class'!G36</f>
        <v>10362.89930357185</v>
      </c>
      <c r="H36" s="243">
        <f>'10d-1. Fuel by class'!H36+'10d-2. Trans by class'!H36+'10e. OM excl Fuel by class'!H36+'10f. AG by class'!H36+'10i. STP-DC by class'!H36+'10j. PAYTAX by class'!H36+'10h. Int-CD by class'!H36</f>
        <v>16565.839797610748</v>
      </c>
      <c r="I36" s="243">
        <f>'10d-1. Fuel by class'!I36+'10d-2. Trans by class'!I36+'10e. OM excl Fuel by class'!I36+'10f. AG by class'!I36+'10i. STP-DC by class'!I36+'10j. PAYTAX by class'!I36+'10h. Int-CD by class'!I36</f>
        <v>7366.3787650205286</v>
      </c>
      <c r="J36" s="243">
        <f>'10d-1. Fuel by class'!J36+'10d-2. Trans by class'!J36+'10e. OM excl Fuel by class'!J36+'10f. AG by class'!J36+'10i. STP-DC by class'!J36+'10j. PAYTAX by class'!J36+'10h. Int-CD by class'!J36</f>
        <v>600.66019944889752</v>
      </c>
      <c r="K36" s="243">
        <f>'10d-1. Fuel by class'!K36+'10d-2. Trans by class'!K36+'10e. OM excl Fuel by class'!K36+'10f. AG by class'!K36+'10i. STP-DC by class'!K36+'10j. PAYTAX by class'!K36+'10h. Int-CD by class'!K36</f>
        <v>40.535350883054434</v>
      </c>
      <c r="L36" s="243">
        <f>'10d-1. Fuel by class'!L36+'10d-2. Trans by class'!L36+'10e. OM excl Fuel by class'!L36+'10f. AG by class'!L36+'10i. STP-DC by class'!L36+'10j. PAYTAX by class'!L36+'10h. Int-CD by class'!L36</f>
        <v>0</v>
      </c>
      <c r="M36" s="243">
        <f>'10d-1. Fuel by class'!M36+'10d-2. Trans by class'!M36+'10e. OM excl Fuel by class'!M36+'10f. AG by class'!M36+'10i. STP-DC by class'!M36+'10j. PAYTAX by class'!M36+'10h. Int-CD by class'!M36</f>
        <v>113.45107705787244</v>
      </c>
      <c r="N36" s="244">
        <f>'10d-1. Fuel by class'!N36+'10d-2. Trans by class'!N36+'10e. OM excl Fuel by class'!N36+'10f. AG by class'!N36+'10i. STP-DC by class'!N36+'10j. PAYTAX by class'!N36+'10h. Int-CD by class'!N36</f>
        <v>0</v>
      </c>
      <c r="P36" s="32">
        <f t="shared" si="5"/>
        <v>77186.851341631816</v>
      </c>
      <c r="Q36" s="32">
        <f t="shared" si="6"/>
        <v>0</v>
      </c>
    </row>
    <row r="37" spans="1:17" x14ac:dyDescent="0.3">
      <c r="B37" s="130" t="s">
        <v>932</v>
      </c>
      <c r="E37" s="243">
        <f t="shared" si="4"/>
        <v>6702932.1810656358</v>
      </c>
      <c r="F37" s="243">
        <f>'10d-1. Fuel by class'!F37+'10d-2. Trans by class'!F37+'10e. OM excl Fuel by class'!F37+'10f. AG by class'!F37+'10i. STP-DC by class'!F37+'10j. PAYTAX by class'!F37+'10h. Int-CD by class'!F37</f>
        <v>0</v>
      </c>
      <c r="G37" s="243">
        <f>'10d-1. Fuel by class'!G37+'10d-2. Trans by class'!G37+'10e. OM excl Fuel by class'!G37+'10f. AG by class'!G37+'10i. STP-DC by class'!G37+'10j. PAYTAX by class'!G37+'10h. Int-CD by class'!G37</f>
        <v>0</v>
      </c>
      <c r="H37" s="243">
        <f>'10d-1. Fuel by class'!H37+'10d-2. Trans by class'!H37+'10e. OM excl Fuel by class'!H37+'10f. AG by class'!H37+'10i. STP-DC by class'!H37+'10j. PAYTAX by class'!H37+'10h. Int-CD by class'!H37</f>
        <v>0</v>
      </c>
      <c r="I37" s="243">
        <f>'10d-1. Fuel by class'!I37+'10d-2. Trans by class'!I37+'10e. OM excl Fuel by class'!I37+'10f. AG by class'!I37+'10i. STP-DC by class'!I37+'10j. PAYTAX by class'!I37+'10h. Int-CD by class'!I37</f>
        <v>0</v>
      </c>
      <c r="J37" s="243">
        <f>'10d-1. Fuel by class'!J37+'10d-2. Trans by class'!J37+'10e. OM excl Fuel by class'!J37+'10f. AG by class'!J37+'10i. STP-DC by class'!J37+'10j. PAYTAX by class'!J37+'10h. Int-CD by class'!J37</f>
        <v>0</v>
      </c>
      <c r="K37" s="243">
        <f>'10d-1. Fuel by class'!K37+'10d-2. Trans by class'!K37+'10e. OM excl Fuel by class'!K37+'10f. AG by class'!K37+'10i. STP-DC by class'!K37+'10j. PAYTAX by class'!K37+'10h. Int-CD by class'!K37</f>
        <v>0</v>
      </c>
      <c r="L37" s="243">
        <f>'10d-1. Fuel by class'!L37+'10d-2. Trans by class'!L37+'10e. OM excl Fuel by class'!L37+'10f. AG by class'!L37+'10i. STP-DC by class'!L37+'10j. PAYTAX by class'!L37+'10h. Int-CD by class'!L37</f>
        <v>0</v>
      </c>
      <c r="M37" s="243">
        <f>'10d-1. Fuel by class'!M37+'10d-2. Trans by class'!M37+'10e. OM excl Fuel by class'!M37+'10f. AG by class'!M37+'10i. STP-DC by class'!M37+'10j. PAYTAX by class'!M37+'10h. Int-CD by class'!M37</f>
        <v>0</v>
      </c>
      <c r="N37" s="244">
        <f>'10d-1. Fuel by class'!N37+'10d-2. Trans by class'!N37+'10e. OM excl Fuel by class'!N37+'10f. AG by class'!N37+'10i. STP-DC by class'!N37+'10j. PAYTAX by class'!N37+'10h. Int-CD by class'!N37</f>
        <v>6702932.1810656358</v>
      </c>
      <c r="P37" s="32">
        <f t="shared" si="5"/>
        <v>6702932.1810656358</v>
      </c>
      <c r="Q37" s="32">
        <f t="shared" si="6"/>
        <v>0</v>
      </c>
    </row>
    <row r="38" spans="1:17" x14ac:dyDescent="0.3">
      <c r="B38" s="130" t="s">
        <v>1013</v>
      </c>
      <c r="C38" s="16"/>
      <c r="E38" s="580">
        <f t="shared" si="4"/>
        <v>1623956.7394606851</v>
      </c>
      <c r="F38" s="580">
        <f>'10d-1. Fuel by class'!F38+'10d-2. Trans by class'!F38+'10e. OM excl Fuel by class'!F38+'10f. AG by class'!F38+'10i. STP-DC by class'!F38+'10j. PAYTAX by class'!F38+'10h. Int-CD by class'!F38</f>
        <v>566198.24504144385</v>
      </c>
      <c r="G38" s="580">
        <f>'10d-1. Fuel by class'!G38+'10d-2. Trans by class'!G38+'10e. OM excl Fuel by class'!G38+'10f. AG by class'!G38+'10i. STP-DC by class'!G38+'10j. PAYTAX by class'!G38+'10h. Int-CD by class'!G38</f>
        <v>151933.52601516899</v>
      </c>
      <c r="H38" s="580">
        <f>'10d-1. Fuel by class'!H38+'10d-2. Trans by class'!H38+'10e. OM excl Fuel by class'!H38+'10f. AG by class'!H38+'10i. STP-DC by class'!H38+'10j. PAYTAX by class'!H38+'10h. Int-CD by class'!H38</f>
        <v>369289.71492283297</v>
      </c>
      <c r="I38" s="580">
        <f>'10d-1. Fuel by class'!I38+'10d-2. Trans by class'!I38+'10e. OM excl Fuel by class'!I38+'10f. AG by class'!I38+'10i. STP-DC by class'!I38+'10j. PAYTAX by class'!I38+'10h. Int-CD by class'!I38</f>
        <v>239633.41016476223</v>
      </c>
      <c r="J38" s="580">
        <f>'10d-1. Fuel by class'!J38+'10d-2. Trans by class'!J38+'10e. OM excl Fuel by class'!J38+'10f. AG by class'!J38+'10i. STP-DC by class'!J38+'10j. PAYTAX by class'!J38+'10h. Int-CD by class'!J38</f>
        <v>115589.66929367345</v>
      </c>
      <c r="K38" s="580">
        <f>'10d-1. Fuel by class'!K38+'10d-2. Trans by class'!K38+'10e. OM excl Fuel by class'!K38+'10f. AG by class'!K38+'10i. STP-DC by class'!K38+'10j. PAYTAX by class'!K38+'10h. Int-CD by class'!K38</f>
        <v>181312.17402280355</v>
      </c>
      <c r="L38" s="580">
        <f>'10d-1. Fuel by class'!L38+'10d-2. Trans by class'!L38+'10e. OM excl Fuel by class'!L38+'10f. AG by class'!L38+'10i. STP-DC by class'!L38+'10j. PAYTAX by class'!L38+'10h. Int-CD by class'!L38</f>
        <v>0</v>
      </c>
      <c r="M38" s="580">
        <f>'10d-1. Fuel by class'!M38+'10d-2. Trans by class'!M38+'10e. OM excl Fuel by class'!M38+'10f. AG by class'!M38+'10i. STP-DC by class'!M38+'10j. PAYTAX by class'!M38+'10h. Int-CD by class'!M38</f>
        <v>0</v>
      </c>
      <c r="N38" s="600">
        <f>'10d-1. Fuel by class'!N38+'10d-2. Trans by class'!N38+'10e. OM excl Fuel by class'!N38+'10f. AG by class'!N38+'10i. STP-DC by class'!N38+'10j. PAYTAX by class'!N38+'10h. Int-CD by class'!N38</f>
        <v>0</v>
      </c>
      <c r="P38" s="32">
        <f t="shared" si="5"/>
        <v>1623956.7394606851</v>
      </c>
      <c r="Q38" s="32">
        <f t="shared" si="6"/>
        <v>0</v>
      </c>
    </row>
    <row r="39" spans="1:17" x14ac:dyDescent="0.3">
      <c r="B39" s="32" t="s">
        <v>979</v>
      </c>
      <c r="C39" s="32" t="s">
        <v>335</v>
      </c>
      <c r="E39" s="243">
        <f t="shared" ref="E39:N39" si="7">SUM(E33:E38)</f>
        <v>50011815.259683378</v>
      </c>
      <c r="F39" s="243">
        <f t="shared" si="7"/>
        <v>30450629.618712008</v>
      </c>
      <c r="G39" s="243">
        <f t="shared" si="7"/>
        <v>7501500.7655991539</v>
      </c>
      <c r="H39" s="243">
        <f t="shared" si="7"/>
        <v>4296604.2033831766</v>
      </c>
      <c r="I39" s="243">
        <f t="shared" si="7"/>
        <v>352901.02860412002</v>
      </c>
      <c r="J39" s="243">
        <f t="shared" si="7"/>
        <v>125361.74520934682</v>
      </c>
      <c r="K39" s="243">
        <f t="shared" si="7"/>
        <v>183019.58231177798</v>
      </c>
      <c r="L39" s="243">
        <f t="shared" si="7"/>
        <v>78.051046849634389</v>
      </c>
      <c r="M39" s="243">
        <f t="shared" si="7"/>
        <v>94640.78280958964</v>
      </c>
      <c r="N39" s="244">
        <f t="shared" si="7"/>
        <v>7007079.4820073601</v>
      </c>
      <c r="P39" s="32">
        <f t="shared" si="5"/>
        <v>50011815.259683385</v>
      </c>
      <c r="Q39" s="32">
        <f t="shared" si="6"/>
        <v>0</v>
      </c>
    </row>
    <row r="40" spans="1:17" x14ac:dyDescent="0.3">
      <c r="E40" s="243"/>
      <c r="F40" s="243"/>
      <c r="G40" s="243"/>
      <c r="H40" s="243"/>
      <c r="I40" s="243"/>
      <c r="J40" s="243"/>
      <c r="K40" s="243"/>
      <c r="L40" s="243"/>
      <c r="M40" s="243"/>
      <c r="N40" s="244"/>
    </row>
    <row r="41" spans="1:17" x14ac:dyDescent="0.3">
      <c r="B41" s="32" t="s">
        <v>543</v>
      </c>
      <c r="E41" s="243">
        <f t="shared" ref="E41:N41" si="8">SUM(E30,E39)</f>
        <v>143618013.31458995</v>
      </c>
      <c r="F41" s="243">
        <f t="shared" si="8"/>
        <v>69936566.858574688</v>
      </c>
      <c r="G41" s="243">
        <f t="shared" si="8"/>
        <v>19755317.147366285</v>
      </c>
      <c r="H41" s="243">
        <f t="shared" si="8"/>
        <v>23498634.785052691</v>
      </c>
      <c r="I41" s="243">
        <f t="shared" si="8"/>
        <v>11359048.482861685</v>
      </c>
      <c r="J41" s="243">
        <f t="shared" si="8"/>
        <v>4593601.9899678845</v>
      </c>
      <c r="K41" s="243">
        <f t="shared" si="8"/>
        <v>6259704.7935564527</v>
      </c>
      <c r="L41" s="243">
        <f t="shared" si="8"/>
        <v>720767.56707539246</v>
      </c>
      <c r="M41" s="243">
        <f t="shared" si="8"/>
        <v>103548.58761090608</v>
      </c>
      <c r="N41" s="244">
        <f t="shared" si="8"/>
        <v>7390823.1025239602</v>
      </c>
      <c r="P41" s="32">
        <f>SUM(F41:O41)</f>
        <v>143618013.31458995</v>
      </c>
      <c r="Q41" s="32">
        <f>E41-P41</f>
        <v>0</v>
      </c>
    </row>
    <row r="42" spans="1:17" x14ac:dyDescent="0.3">
      <c r="E42" s="243"/>
      <c r="F42" s="243"/>
      <c r="G42" s="243"/>
      <c r="H42" s="243"/>
      <c r="I42" s="243"/>
      <c r="J42" s="243"/>
      <c r="K42" s="243"/>
      <c r="L42" s="243"/>
      <c r="M42" s="243"/>
      <c r="N42" s="244"/>
    </row>
    <row r="43" spans="1:17" x14ac:dyDescent="0.3">
      <c r="A43" s="32" t="s">
        <v>907</v>
      </c>
      <c r="E43" s="243"/>
      <c r="F43" s="243"/>
      <c r="G43" s="243"/>
      <c r="H43" s="243"/>
      <c r="I43" s="243"/>
      <c r="J43" s="243"/>
      <c r="K43" s="243"/>
      <c r="L43" s="243"/>
      <c r="M43" s="243"/>
      <c r="N43" s="244"/>
    </row>
    <row r="44" spans="1:17" x14ac:dyDescent="0.3">
      <c r="B44" s="32" t="s">
        <v>907</v>
      </c>
      <c r="E44" s="243">
        <f>SUM(F44:N44)</f>
        <v>13012760.867366849</v>
      </c>
      <c r="F44" s="243">
        <f>'10d-1. Fuel by class'!F44+'10d-2. Trans by class'!F44+'10e. OM excl Fuel by class'!F44+'10f. AG by class'!F44+'10i. STP-DC by class'!F44+'10j. PAYTAX by class'!F44+'10h. Int-CD by class'!F44</f>
        <v>6913105.3506548097</v>
      </c>
      <c r="G44" s="243">
        <f>'10d-1. Fuel by class'!G44+'10d-2. Trans by class'!G44+'10e. OM excl Fuel by class'!G44+'10f. AG by class'!G44+'10i. STP-DC by class'!G44+'10j. PAYTAX by class'!G44+'10h. Int-CD by class'!G44</f>
        <v>1675648.6589118466</v>
      </c>
      <c r="H44" s="243">
        <f>'10d-1. Fuel by class'!H44+'10d-2. Trans by class'!H44+'10e. OM excl Fuel by class'!H44+'10f. AG by class'!H44+'10i. STP-DC by class'!H44+'10j. PAYTAX by class'!H44+'10h. Int-CD by class'!H44</f>
        <v>3638293.5507736946</v>
      </c>
      <c r="I44" s="243">
        <f>'10d-1. Fuel by class'!I44+'10d-2. Trans by class'!I44+'10e. OM excl Fuel by class'!I44+'10f. AG by class'!I44+'10i. STP-DC by class'!I44+'10j. PAYTAX by class'!I44+'10h. Int-CD by class'!I44</f>
        <v>569962.48334072588</v>
      </c>
      <c r="J44" s="243">
        <f>'10d-1. Fuel by class'!J44+'10d-2. Trans by class'!J44+'10e. OM excl Fuel by class'!J44+'10f. AG by class'!J44+'10i. STP-DC by class'!J44+'10j. PAYTAX by class'!J44+'10h. Int-CD by class'!J44</f>
        <v>50664.109502136736</v>
      </c>
      <c r="K44" s="243">
        <f>'10d-1. Fuel by class'!K44+'10d-2. Trans by class'!K44+'10e. OM excl Fuel by class'!K44+'10f. AG by class'!K44+'10i. STP-DC by class'!K44+'10j. PAYTAX by class'!K44+'10h. Int-CD by class'!K44</f>
        <v>126575.24126747507</v>
      </c>
      <c r="L44" s="243">
        <f>'10d-1. Fuel by class'!L44+'10d-2. Trans by class'!L44+'10e. OM excl Fuel by class'!L44+'10f. AG by class'!L44+'10i. STP-DC by class'!L44+'10j. PAYTAX by class'!L44+'10h. Int-CD by class'!L44</f>
        <v>15345.974514626516</v>
      </c>
      <c r="M44" s="243">
        <f>'10d-1. Fuel by class'!M44+'10d-2. Trans by class'!M44+'10e. OM excl Fuel by class'!M44+'10f. AG by class'!M44+'10i. STP-DC by class'!M44+'10j. PAYTAX by class'!M44+'10h. Int-CD by class'!M44</f>
        <v>23165.498401533194</v>
      </c>
      <c r="N44" s="244">
        <f>'10d-1. Fuel by class'!N44+'10d-2. Trans by class'!N44+'10e. OM excl Fuel by class'!N44+'10f. AG by class'!N44+'10i. STP-DC by class'!N44+'10j. PAYTAX by class'!N44+'10h. Int-CD by class'!N44</f>
        <v>0</v>
      </c>
      <c r="P44" s="32">
        <f>SUM(F44:O44)</f>
        <v>13012760.867366849</v>
      </c>
      <c r="Q44" s="32">
        <f>E44-P44</f>
        <v>0</v>
      </c>
    </row>
    <row r="45" spans="1:17" x14ac:dyDescent="0.3">
      <c r="B45" s="32" t="s">
        <v>996</v>
      </c>
      <c r="E45" s="580">
        <f>SUM(F45:N45)</f>
        <v>10740257.740399564</v>
      </c>
      <c r="F45" s="580">
        <f>'10d-1. Fuel by class'!F45+'10d-2. Trans by class'!F45+'10e. OM excl Fuel by class'!F45+'10f. AG by class'!F45+'10i. STP-DC by class'!F45+'10j. PAYTAX by class'!F45+'10h. Int-CD by class'!F45</f>
        <v>6927969.5940538906</v>
      </c>
      <c r="G45" s="580">
        <f>'10d-1. Fuel by class'!G45+'10d-2. Trans by class'!G45+'10e. OM excl Fuel by class'!G45+'10f. AG by class'!G45+'10i. STP-DC by class'!G45+'10j. PAYTAX by class'!G45+'10h. Int-CD by class'!G45</f>
        <v>1703816.202109603</v>
      </c>
      <c r="H45" s="580">
        <f>'10d-1. Fuel by class'!H45+'10d-2. Trans by class'!H45+'10e. OM excl Fuel by class'!H45+'10f. AG by class'!H45+'10i. STP-DC by class'!H45+'10j. PAYTAX by class'!H45+'10h. Int-CD by class'!H45</f>
        <v>1815781.8207621169</v>
      </c>
      <c r="I45" s="580">
        <f>'10d-1. Fuel by class'!I45+'10d-2. Trans by class'!I45+'10e. OM excl Fuel by class'!I45+'10f. AG by class'!I45+'10i. STP-DC by class'!I45+'10j. PAYTAX by class'!I45+'10h. Int-CD by class'!I45</f>
        <v>247075.64548969336</v>
      </c>
      <c r="J45" s="580">
        <f>'10d-1. Fuel by class'!J45+'10d-2. Trans by class'!J45+'10e. OM excl Fuel by class'!J45+'10f. AG by class'!J45+'10i. STP-DC by class'!J45+'10j. PAYTAX by class'!J45+'10h. Int-CD by class'!J45</f>
        <v>21811.4841530872</v>
      </c>
      <c r="K45" s="580">
        <f>'10d-1. Fuel by class'!K45+'10d-2. Trans by class'!K45+'10e. OM excl Fuel by class'!K45+'10f. AG by class'!K45+'10i. STP-DC by class'!K45+'10j. PAYTAX by class'!K45+'10h. Int-CD by class'!K45</f>
        <v>4725.8215665022271</v>
      </c>
      <c r="L45" s="580">
        <f>'10d-1. Fuel by class'!L45+'10d-2. Trans by class'!L45+'10e. OM excl Fuel by class'!L45+'10f. AG by class'!L45+'10i. STP-DC by class'!L45+'10j. PAYTAX by class'!L45+'10h. Int-CD by class'!L45</f>
        <v>424.11219186558446</v>
      </c>
      <c r="M45" s="580">
        <f>'10d-1. Fuel by class'!M45+'10d-2. Trans by class'!M45+'10e. OM excl Fuel by class'!M45+'10f. AG by class'!M45+'10i. STP-DC by class'!M45+'10j. PAYTAX by class'!M45+'10h. Int-CD by class'!M45</f>
        <v>18653.060072808214</v>
      </c>
      <c r="N45" s="600">
        <f>'10d-1. Fuel by class'!N45+'10d-2. Trans by class'!N45+'10e. OM excl Fuel by class'!N45+'10f. AG by class'!N45+'10i. STP-DC by class'!N45+'10j. PAYTAX by class'!N45+'10h. Int-CD by class'!N45</f>
        <v>0</v>
      </c>
      <c r="P45" s="32">
        <f>SUM(F45:O45)</f>
        <v>10740257.740399564</v>
      </c>
      <c r="Q45" s="32">
        <f>E45-P45</f>
        <v>0</v>
      </c>
    </row>
    <row r="46" spans="1:17" x14ac:dyDescent="0.3">
      <c r="B46" s="32" t="s">
        <v>997</v>
      </c>
      <c r="C46" s="32" t="s">
        <v>335</v>
      </c>
      <c r="E46" s="243">
        <f t="shared" ref="E46:N46" si="9">SUM(E44:E45)</f>
        <v>23753018.607766412</v>
      </c>
      <c r="F46" s="243">
        <f t="shared" si="9"/>
        <v>13841074.944708701</v>
      </c>
      <c r="G46" s="243">
        <f t="shared" si="9"/>
        <v>3379464.8610214498</v>
      </c>
      <c r="H46" s="243">
        <f t="shared" si="9"/>
        <v>5454075.3715358116</v>
      </c>
      <c r="I46" s="243">
        <f t="shared" si="9"/>
        <v>817038.12883041927</v>
      </c>
      <c r="J46" s="243">
        <f t="shared" si="9"/>
        <v>72475.593655223929</v>
      </c>
      <c r="K46" s="243">
        <f t="shared" si="9"/>
        <v>131301.06283397728</v>
      </c>
      <c r="L46" s="243">
        <f t="shared" si="9"/>
        <v>15770.0867064921</v>
      </c>
      <c r="M46" s="243">
        <f t="shared" si="9"/>
        <v>41818.558474341407</v>
      </c>
      <c r="N46" s="244">
        <f t="shared" si="9"/>
        <v>0</v>
      </c>
      <c r="P46" s="32">
        <f>SUM(F46:O46)</f>
        <v>23753018.607766412</v>
      </c>
      <c r="Q46" s="32">
        <f>E46-P46</f>
        <v>0</v>
      </c>
    </row>
    <row r="47" spans="1:17" x14ac:dyDescent="0.3">
      <c r="E47" s="243"/>
      <c r="F47" s="243"/>
      <c r="G47" s="243"/>
      <c r="H47" s="243"/>
      <c r="I47" s="243"/>
      <c r="J47" s="243"/>
      <c r="K47" s="243"/>
      <c r="L47" s="243"/>
      <c r="M47" s="243"/>
      <c r="N47" s="244"/>
    </row>
    <row r="48" spans="1:17" x14ac:dyDescent="0.3">
      <c r="A48" s="32" t="s">
        <v>84</v>
      </c>
      <c r="C48" s="32" t="s">
        <v>335</v>
      </c>
      <c r="E48" s="243">
        <f>SUM(F48:N48)</f>
        <v>6889148.4272033079</v>
      </c>
      <c r="F48" s="243">
        <f>'10d-1. Fuel by class'!F48+'10d-2. Trans by class'!F48+'10e. OM excl Fuel by class'!F48+'10f. AG by class'!F48+'10i. STP-DC by class'!F48+'10j. PAYTAX by class'!F48+'10h. Int-CD by class'!F48</f>
        <v>4133478.1394219799</v>
      </c>
      <c r="G48" s="243">
        <f>'10d-1. Fuel by class'!G48+'10d-2. Trans by class'!G48+'10e. OM excl Fuel by class'!G48+'10f. AG by class'!G48+'10i. STP-DC by class'!G48+'10j. PAYTAX by class'!G48+'10h. Int-CD by class'!G48</f>
        <v>1016558.5933081451</v>
      </c>
      <c r="H48" s="243">
        <f>'10d-1. Fuel by class'!H48+'10d-2. Trans by class'!H48+'10e. OM excl Fuel by class'!H48+'10f. AG by class'!H48+'10i. STP-DC by class'!H48+'10j. PAYTAX by class'!H48+'10h. Int-CD by class'!H48</f>
        <v>1625042.0184844276</v>
      </c>
      <c r="I48" s="243">
        <f>'10d-1. Fuel by class'!I48+'10d-2. Trans by class'!I48+'10e. OM excl Fuel by class'!I48+'10f. AG by class'!I48+'10i. STP-DC by class'!I48+'10j. PAYTAX by class'!I48+'10h. Int-CD by class'!I48</f>
        <v>73707.149371134932</v>
      </c>
      <c r="J48" s="243">
        <f>'10d-1. Fuel by class'!J48+'10d-2. Trans by class'!J48+'10e. OM excl Fuel by class'!J48+'10f. AG by class'!J48+'10i. STP-DC by class'!J48+'10j. PAYTAX by class'!J48+'10h. Int-CD by class'!J48</f>
        <v>6506.7615923512931</v>
      </c>
      <c r="K48" s="243">
        <f>'10d-1. Fuel by class'!K48+'10d-2. Trans by class'!K48+'10e. OM excl Fuel by class'!K48+'10f. AG by class'!K48+'10i. STP-DC by class'!K48+'10j. PAYTAX by class'!K48+'10h. Int-CD by class'!K48</f>
        <v>1409.7983450094468</v>
      </c>
      <c r="L48" s="243">
        <f>'10d-1. Fuel by class'!L48+'10d-2. Trans by class'!L48+'10e. OM excl Fuel by class'!L48+'10f. AG by class'!L48+'10i. STP-DC by class'!L48+'10j. PAYTAX by class'!L48+'10h. Int-CD by class'!L48</f>
        <v>253.04072859143918</v>
      </c>
      <c r="M48" s="243">
        <f>'10d-1. Fuel by class'!M48+'10d-2. Trans by class'!M48+'10e. OM excl Fuel by class'!M48+'10f. AG by class'!M48+'10i. STP-DC by class'!M48+'10j. PAYTAX by class'!M48+'10h. Int-CD by class'!M48</f>
        <v>11129.092730206625</v>
      </c>
      <c r="N48" s="244">
        <f>'10d-1. Fuel by class'!N48+'10d-2. Trans by class'!N48+'10e. OM excl Fuel by class'!N48+'10f. AG by class'!N48+'10i. STP-DC by class'!N48+'10j. PAYTAX by class'!N48+'10h. Int-CD by class'!N48</f>
        <v>21063.83322146166</v>
      </c>
      <c r="P48" s="32">
        <f>SUM(F48:O48)</f>
        <v>6889148.4272033079</v>
      </c>
      <c r="Q48" s="32">
        <f>E48-P48</f>
        <v>0</v>
      </c>
    </row>
    <row r="49" spans="1:17" x14ac:dyDescent="0.3">
      <c r="E49" s="243"/>
      <c r="F49" s="243"/>
      <c r="G49" s="243"/>
      <c r="H49" s="243"/>
      <c r="I49" s="243"/>
      <c r="J49" s="243"/>
      <c r="K49" s="243"/>
      <c r="L49" s="243"/>
      <c r="M49" s="243"/>
      <c r="N49" s="244"/>
    </row>
    <row r="50" spans="1:17" x14ac:dyDescent="0.3">
      <c r="A50" s="32" t="s">
        <v>272</v>
      </c>
      <c r="E50" s="243"/>
      <c r="F50" s="243"/>
      <c r="G50" s="243"/>
      <c r="H50" s="243"/>
      <c r="I50" s="243"/>
      <c r="J50" s="243"/>
      <c r="K50" s="243"/>
      <c r="L50" s="243"/>
      <c r="M50" s="243"/>
      <c r="N50" s="244"/>
    </row>
    <row r="51" spans="1:17" x14ac:dyDescent="0.3">
      <c r="B51" s="32" t="s">
        <v>81</v>
      </c>
      <c r="E51" s="243">
        <f>SUM(F51:N51)</f>
        <v>21630013.776808269</v>
      </c>
      <c r="F51" s="243">
        <f>'10d-1. Fuel by class'!F51+'10d-2. Trans by class'!F51+'10e. OM excl Fuel by class'!F51+'10f. AG by class'!F51+'10i. STP-DC by class'!F51+'10j. PAYTAX by class'!F51+'10h. Int-CD by class'!F51</f>
        <v>15570063.080103319</v>
      </c>
      <c r="G51" s="243">
        <f>'10d-1. Fuel by class'!G51+'10d-2. Trans by class'!G51+'10e. OM excl Fuel by class'!G51+'10f. AG by class'!G51+'10i. STP-DC by class'!G51+'10j. PAYTAX by class'!G51+'10h. Int-CD by class'!G51</f>
        <v>3829191.9997047</v>
      </c>
      <c r="H51" s="243">
        <f>'10d-1. Fuel by class'!H51+'10d-2. Trans by class'!H51+'10e. OM excl Fuel by class'!H51+'10f. AG by class'!H51+'10i. STP-DC by class'!H51+'10j. PAYTAX by class'!H51+'10h. Int-CD by class'!H51</f>
        <v>2040412.930884978</v>
      </c>
      <c r="I51" s="243">
        <f>'10d-1. Fuel by class'!I51+'10d-2. Trans by class'!I51+'10e. OM excl Fuel by class'!I51+'10f. AG by class'!I51+'10i. STP-DC by class'!I51+'10j. PAYTAX by class'!I51+'10h. Int-CD by class'!I51</f>
        <v>55528.294886477903</v>
      </c>
      <c r="J51" s="243">
        <f>'10d-1. Fuel by class'!J51+'10d-2. Trans by class'!J51+'10e. OM excl Fuel by class'!J51+'10f. AG by class'!J51+'10i. STP-DC by class'!J51+'10j. PAYTAX by class'!J51+'10h. Int-CD by class'!J51</f>
        <v>4901.9583519205589</v>
      </c>
      <c r="K51" s="243">
        <f>'10d-1. Fuel by class'!K51+'10d-2. Trans by class'!K51+'10e. OM excl Fuel by class'!K51+'10f. AG by class'!K51+'10i. STP-DC by class'!K51+'10j. PAYTAX by class'!K51+'10h. Int-CD by class'!K51</f>
        <v>1062.0909762494546</v>
      </c>
      <c r="L51" s="243">
        <f>'10d-1. Fuel by class'!L51+'10d-2. Trans by class'!L51+'10e. OM excl Fuel by class'!L51+'10f. AG by class'!L51+'10i. STP-DC by class'!L51+'10j. PAYTAX by class'!L51+'10h. Int-CD by class'!L51</f>
        <v>190.63171368579953</v>
      </c>
      <c r="M51" s="243">
        <f>'10d-1. Fuel by class'!M51+'10d-2. Trans by class'!M51+'10e. OM excl Fuel by class'!M51+'10f. AG by class'!M51+'10i. STP-DC by class'!M51+'10j. PAYTAX by class'!M51+'10h. Int-CD by class'!M51</f>
        <v>49319.147640711853</v>
      </c>
      <c r="N51" s="244">
        <f>'10d-1. Fuel by class'!N51+'10d-2. Trans by class'!N51+'10e. OM excl Fuel by class'!N51+'10f. AG by class'!N51+'10i. STP-DC by class'!N51+'10j. PAYTAX by class'!N51+'10h. Int-CD by class'!N51</f>
        <v>79343.642546225281</v>
      </c>
      <c r="P51" s="32">
        <f>SUM(F51:O51)</f>
        <v>21630013.776808269</v>
      </c>
      <c r="Q51" s="32">
        <f>E51-P51</f>
        <v>0</v>
      </c>
    </row>
    <row r="52" spans="1:17" x14ac:dyDescent="0.3">
      <c r="B52" s="32" t="s">
        <v>1007</v>
      </c>
      <c r="E52" s="243">
        <f>SUM(F52:N52)</f>
        <v>341010.97013688786</v>
      </c>
      <c r="F52" s="243">
        <f>'10d-1. Fuel by class'!F52+'10d-2. Trans by class'!F52+'10e. OM excl Fuel by class'!F52+'10f. AG by class'!F52+'10i. STP-DC by class'!F52+'10j. PAYTAX by class'!F52+'10h. Int-CD by class'!F52</f>
        <v>118373.46766990138</v>
      </c>
      <c r="G52" s="243">
        <f>'10d-1. Fuel by class'!G52+'10d-2. Trans by class'!G52+'10e. OM excl Fuel by class'!G52+'10f. AG by class'!G52+'10i. STP-DC by class'!G52+'10j. PAYTAX by class'!G52+'10h. Int-CD by class'!G52</f>
        <v>31764.313095697227</v>
      </c>
      <c r="H52" s="243">
        <f>'10d-1. Fuel by class'!H52+'10d-2. Trans by class'!H52+'10e. OM excl Fuel by class'!H52+'10f. AG by class'!H52+'10i. STP-DC by class'!H52+'10j. PAYTAX by class'!H52+'10h. Int-CD by class'!H52</f>
        <v>77206.357513604322</v>
      </c>
      <c r="I52" s="243">
        <f>'10d-1. Fuel by class'!I52+'10d-2. Trans by class'!I52+'10e. OM excl Fuel by class'!I52+'10f. AG by class'!I52+'10i. STP-DC by class'!I52+'10j. PAYTAX by class'!I52+'10h. Int-CD by class'!I52</f>
        <v>50099.480136485377</v>
      </c>
      <c r="J52" s="243">
        <f>'10d-1. Fuel by class'!J52+'10d-2. Trans by class'!J52+'10e. OM excl Fuel by class'!J52+'10f. AG by class'!J52+'10i. STP-DC by class'!J52+'10j. PAYTAX by class'!J52+'10h. Int-CD by class'!J52</f>
        <v>24166.005636608275</v>
      </c>
      <c r="K52" s="243">
        <f>'10d-1. Fuel by class'!K52+'10d-2. Trans by class'!K52+'10e. OM excl Fuel by class'!K52+'10f. AG by class'!K52+'10i. STP-DC by class'!K52+'10j. PAYTAX by class'!K52+'10h. Int-CD by class'!K52</f>
        <v>37906.42404459745</v>
      </c>
      <c r="L52" s="243">
        <f>'10d-1. Fuel by class'!L52+'10d-2. Trans by class'!L52+'10e. OM excl Fuel by class'!L52+'10f. AG by class'!L52+'10i. STP-DC by class'!L52+'10j. PAYTAX by class'!L52+'10h. Int-CD by class'!L52</f>
        <v>0</v>
      </c>
      <c r="M52" s="243">
        <f>'10d-1. Fuel by class'!M52+'10d-2. Trans by class'!M52+'10e. OM excl Fuel by class'!M52+'10f. AG by class'!M52+'10i. STP-DC by class'!M52+'10j. PAYTAX by class'!M52+'10h. Int-CD by class'!M52</f>
        <v>68.096909910879035</v>
      </c>
      <c r="N52" s="244">
        <f>'10d-1. Fuel by class'!N52+'10d-2. Trans by class'!N52+'10e. OM excl Fuel by class'!N52+'10f. AG by class'!N52+'10i. STP-DC by class'!N52+'10j. PAYTAX by class'!N52+'10h. Int-CD by class'!N52</f>
        <v>1426.8251300829411</v>
      </c>
      <c r="P52" s="32">
        <f>SUM(F52:O52)</f>
        <v>341010.97013688786</v>
      </c>
      <c r="Q52" s="32">
        <f>E52-P52</f>
        <v>0</v>
      </c>
    </row>
    <row r="53" spans="1:17" x14ac:dyDescent="0.3">
      <c r="B53" s="32" t="s">
        <v>1008</v>
      </c>
      <c r="E53" s="580">
        <f>SUM(F53:N53)</f>
        <v>0</v>
      </c>
      <c r="F53" s="580">
        <f>'10d-1. Fuel by class'!F53+'10d-2. Trans by class'!F53+'10e. OM excl Fuel by class'!F53+'10f. AG by class'!F53+'10i. STP-DC by class'!F53+'10j. PAYTAX by class'!F53+'10h. Int-CD by class'!F53</f>
        <v>0</v>
      </c>
      <c r="G53" s="580">
        <f>'10d-1. Fuel by class'!G53+'10d-2. Trans by class'!G53+'10e. OM excl Fuel by class'!G53+'10f. AG by class'!G53+'10i. STP-DC by class'!G53+'10j. PAYTAX by class'!G53+'10h. Int-CD by class'!G53</f>
        <v>0</v>
      </c>
      <c r="H53" s="580">
        <f>'10d-1. Fuel by class'!H53+'10d-2. Trans by class'!H53+'10e. OM excl Fuel by class'!H53+'10f. AG by class'!H53+'10i. STP-DC by class'!H53+'10j. PAYTAX by class'!H53+'10h. Int-CD by class'!H53</f>
        <v>0</v>
      </c>
      <c r="I53" s="580">
        <f>'10d-1. Fuel by class'!I53+'10d-2. Trans by class'!I53+'10e. OM excl Fuel by class'!I53+'10f. AG by class'!I53+'10i. STP-DC by class'!I53+'10j. PAYTAX by class'!I53+'10h. Int-CD by class'!I53</f>
        <v>0</v>
      </c>
      <c r="J53" s="580">
        <f>'10d-1. Fuel by class'!J53+'10d-2. Trans by class'!J53+'10e. OM excl Fuel by class'!J53+'10f. AG by class'!J53+'10i. STP-DC by class'!J53+'10j. PAYTAX by class'!J53+'10h. Int-CD by class'!J53</f>
        <v>0</v>
      </c>
      <c r="K53" s="580">
        <f>'10d-1. Fuel by class'!K53+'10d-2. Trans by class'!K53+'10e. OM excl Fuel by class'!K53+'10f. AG by class'!K53+'10i. STP-DC by class'!K53+'10j. PAYTAX by class'!K53+'10h. Int-CD by class'!K53</f>
        <v>0</v>
      </c>
      <c r="L53" s="580">
        <f>'10d-1. Fuel by class'!L53+'10d-2. Trans by class'!L53+'10e. OM excl Fuel by class'!L53+'10f. AG by class'!L53+'10i. STP-DC by class'!L53+'10j. PAYTAX by class'!L53+'10h. Int-CD by class'!L53</f>
        <v>0</v>
      </c>
      <c r="M53" s="580">
        <f>'10d-1. Fuel by class'!M53+'10d-2. Trans by class'!M53+'10e. OM excl Fuel by class'!M53+'10f. AG by class'!M53+'10i. STP-DC by class'!M53+'10j. PAYTAX by class'!M53+'10h. Int-CD by class'!M53</f>
        <v>0</v>
      </c>
      <c r="N53" s="600">
        <f>'10d-1. Fuel by class'!N53+'10d-2. Trans by class'!N53+'10e. OM excl Fuel by class'!N53+'10f. AG by class'!N53+'10i. STP-DC by class'!N53+'10j. PAYTAX by class'!N53+'10h. Int-CD by class'!N53</f>
        <v>0</v>
      </c>
      <c r="P53" s="32">
        <f>SUM(F53:O53)</f>
        <v>0</v>
      </c>
      <c r="Q53" s="32">
        <f>E53-P53</f>
        <v>0</v>
      </c>
    </row>
    <row r="54" spans="1:17" x14ac:dyDescent="0.3">
      <c r="B54" s="32" t="s">
        <v>273</v>
      </c>
      <c r="C54" s="32" t="s">
        <v>335</v>
      </c>
      <c r="E54" s="243">
        <f t="shared" ref="E54:N54" si="10">SUM(E51:E53)</f>
        <v>21971024.746945158</v>
      </c>
      <c r="F54" s="243">
        <f t="shared" si="10"/>
        <v>15688436.54777322</v>
      </c>
      <c r="G54" s="243">
        <f t="shared" si="10"/>
        <v>3860956.3128003972</v>
      </c>
      <c r="H54" s="243">
        <f t="shared" si="10"/>
        <v>2117619.2883985825</v>
      </c>
      <c r="I54" s="243">
        <f t="shared" si="10"/>
        <v>105627.77502296328</v>
      </c>
      <c r="J54" s="243">
        <f t="shared" si="10"/>
        <v>29067.963988528834</v>
      </c>
      <c r="K54" s="243">
        <f t="shared" si="10"/>
        <v>38968.515020846906</v>
      </c>
      <c r="L54" s="243">
        <f t="shared" si="10"/>
        <v>190.63171368579953</v>
      </c>
      <c r="M54" s="243">
        <f t="shared" si="10"/>
        <v>49387.24455062273</v>
      </c>
      <c r="N54" s="244">
        <f t="shared" si="10"/>
        <v>80770.467676308224</v>
      </c>
      <c r="P54" s="32">
        <f>SUM(F54:O54)</f>
        <v>21971024.746945154</v>
      </c>
      <c r="Q54" s="32">
        <f>E54-P54</f>
        <v>0</v>
      </c>
    </row>
    <row r="55" spans="1:17" x14ac:dyDescent="0.3">
      <c r="E55" s="243"/>
      <c r="F55" s="243"/>
      <c r="G55" s="243"/>
      <c r="H55" s="243"/>
      <c r="I55" s="243"/>
      <c r="J55" s="243"/>
      <c r="K55" s="243"/>
      <c r="L55" s="243"/>
      <c r="M55" s="243"/>
      <c r="N55" s="244"/>
    </row>
    <row r="56" spans="1:17" x14ac:dyDescent="0.3">
      <c r="A56" s="32" t="s">
        <v>274</v>
      </c>
      <c r="E56" s="243"/>
      <c r="F56" s="243"/>
      <c r="G56" s="243"/>
      <c r="H56" s="243"/>
      <c r="I56" s="243"/>
      <c r="J56" s="243"/>
      <c r="K56" s="243"/>
      <c r="L56" s="243"/>
      <c r="M56" s="243"/>
      <c r="N56" s="244"/>
    </row>
    <row r="57" spans="1:17" x14ac:dyDescent="0.3">
      <c r="B57" s="32" t="s">
        <v>1006</v>
      </c>
      <c r="E57" s="580">
        <f>SUM(F57:N57)</f>
        <v>15123004.914934782</v>
      </c>
      <c r="F57" s="580">
        <f>'10d-1. Fuel by class'!F57+'10d-2. Trans by class'!F57+'10e. OM excl Fuel by class'!F57+'10f. AG by class'!F57+'10i. STP-DC by class'!F57+'10j. PAYTAX by class'!F57+'10h. Int-CD by class'!F57</f>
        <v>5249574.6182335103</v>
      </c>
      <c r="G57" s="580">
        <f>'10d-1. Fuel by class'!G57+'10d-2. Trans by class'!G57+'10e. OM excl Fuel by class'!G57+'10f. AG by class'!G57+'10i. STP-DC by class'!G57+'10j. PAYTAX by class'!G57+'10h. Int-CD by class'!G57</f>
        <v>1408669.8233576668</v>
      </c>
      <c r="H57" s="580">
        <f>'10d-1. Fuel by class'!H57+'10d-2. Trans by class'!H57+'10e. OM excl Fuel by class'!H57+'10f. AG by class'!H57+'10i. STP-DC by class'!H57+'10j. PAYTAX by class'!H57+'10h. Int-CD by class'!H57</f>
        <v>3423913.6754860347</v>
      </c>
      <c r="I57" s="580">
        <f>'10d-1. Fuel by class'!I57+'10d-2. Trans by class'!I57+'10e. OM excl Fuel by class'!I57+'10f. AG by class'!I57+'10i. STP-DC by class'!I57+'10j. PAYTAX by class'!I57+'10h. Int-CD by class'!I57</f>
        <v>2221789.7683338746</v>
      </c>
      <c r="J57" s="580">
        <f>'10d-1. Fuel by class'!J57+'10d-2. Trans by class'!J57+'10e. OM excl Fuel by class'!J57+'10f. AG by class'!J57+'10i. STP-DC by class'!J57+'10j. PAYTAX by class'!J57+'10h. Int-CD by class'!J57</f>
        <v>1071703.4172538947</v>
      </c>
      <c r="K57" s="580">
        <f>'10d-1. Fuel by class'!K57+'10d-2. Trans by class'!K57+'10e. OM excl Fuel by class'!K57+'10f. AG by class'!K57+'10i. STP-DC by class'!K57+'10j. PAYTAX by class'!K57+'10h. Int-CD by class'!K57</f>
        <v>1681057.4654062679</v>
      </c>
      <c r="L57" s="580">
        <f>'10d-1. Fuel by class'!L57+'10d-2. Trans by class'!L57+'10e. OM excl Fuel by class'!L57+'10f. AG by class'!L57+'10i. STP-DC by class'!L57+'10j. PAYTAX by class'!L57+'10h. Int-CD by class'!L57</f>
        <v>0</v>
      </c>
      <c r="M57" s="580">
        <f>'10d-1. Fuel by class'!M57+'10d-2. Trans by class'!M57+'10e. OM excl Fuel by class'!M57+'10f. AG by class'!M57+'10i. STP-DC by class'!M57+'10j. PAYTAX by class'!M57+'10h. Int-CD by class'!M57</f>
        <v>3019.9318891726639</v>
      </c>
      <c r="N57" s="600">
        <f>'10d-1. Fuel by class'!N57+'10d-2. Trans by class'!N57+'10e. OM excl Fuel by class'!N57+'10f. AG by class'!N57+'10i. STP-DC by class'!N57+'10j. PAYTAX by class'!N57+'10h. Int-CD by class'!N57</f>
        <v>63276.214974360002</v>
      </c>
      <c r="P57" s="32">
        <f>SUM(F57:O57)</f>
        <v>15123004.914934782</v>
      </c>
      <c r="Q57" s="32">
        <f>E57-P57</f>
        <v>0</v>
      </c>
    </row>
    <row r="58" spans="1:17" x14ac:dyDescent="0.3">
      <c r="B58" s="32" t="s">
        <v>275</v>
      </c>
      <c r="C58" s="32" t="s">
        <v>335</v>
      </c>
      <c r="E58" s="243">
        <f t="shared" ref="E58:N58" si="11">SUM(E57:E57)</f>
        <v>15123004.914934782</v>
      </c>
      <c r="F58" s="243">
        <f t="shared" si="11"/>
        <v>5249574.6182335103</v>
      </c>
      <c r="G58" s="243">
        <f t="shared" si="11"/>
        <v>1408669.8233576668</v>
      </c>
      <c r="H58" s="243">
        <f t="shared" si="11"/>
        <v>3423913.6754860347</v>
      </c>
      <c r="I58" s="243">
        <f t="shared" si="11"/>
        <v>2221789.7683338746</v>
      </c>
      <c r="J58" s="243">
        <f t="shared" si="11"/>
        <v>1071703.4172538947</v>
      </c>
      <c r="K58" s="243">
        <f t="shared" si="11"/>
        <v>1681057.4654062679</v>
      </c>
      <c r="L58" s="243">
        <f t="shared" si="11"/>
        <v>0</v>
      </c>
      <c r="M58" s="243">
        <f t="shared" si="11"/>
        <v>3019.9318891726639</v>
      </c>
      <c r="N58" s="244">
        <f t="shared" si="11"/>
        <v>63276.214974360002</v>
      </c>
      <c r="P58" s="32">
        <f>SUM(F58:O58)</f>
        <v>15123004.914934782</v>
      </c>
      <c r="Q58" s="32">
        <f>E58-P58</f>
        <v>0</v>
      </c>
    </row>
    <row r="59" spans="1:17" x14ac:dyDescent="0.3">
      <c r="E59" s="243"/>
      <c r="F59" s="243"/>
      <c r="G59" s="243"/>
      <c r="H59" s="243"/>
      <c r="I59" s="243"/>
      <c r="J59" s="243"/>
      <c r="K59" s="243"/>
      <c r="L59" s="243"/>
      <c r="M59" s="243"/>
      <c r="N59" s="244"/>
    </row>
    <row r="60" spans="1:17" x14ac:dyDescent="0.3">
      <c r="A60" s="32" t="s">
        <v>638</v>
      </c>
      <c r="C60" s="32" t="s">
        <v>335</v>
      </c>
      <c r="E60" s="243">
        <f>SUM(F60:N60)</f>
        <v>102659.51295881957</v>
      </c>
      <c r="F60" s="243">
        <f>'10d-1. Fuel by class'!F60+'10d-2. Trans by class'!F60+'10e. OM excl Fuel by class'!F60+'10f. AG by class'!F60+'10i. STP-DC by class'!F60+'10j. PAYTAX by class'!F60+'10h. Int-CD by class'!F60</f>
        <v>40830.253680156369</v>
      </c>
      <c r="G60" s="243">
        <f>'10d-1. Fuel by class'!G60+'10d-2. Trans by class'!G60+'10e. OM excl Fuel by class'!G60+'10f. AG by class'!G60+'10i. STP-DC by class'!G60+'10j. PAYTAX by class'!G60+'10h. Int-CD by class'!G60</f>
        <v>10466.899527794279</v>
      </c>
      <c r="H60" s="243">
        <f>'10d-1. Fuel by class'!H60+'10d-2. Trans by class'!H60+'10e. OM excl Fuel by class'!H60+'10f. AG by class'!H60+'10i. STP-DC by class'!H60+'10j. PAYTAX by class'!H60+'10h. Int-CD by class'!H60</f>
        <v>24070.361552101764</v>
      </c>
      <c r="I60" s="243">
        <f>'10d-1. Fuel by class'!I60+'10d-2. Trans by class'!I60+'10e. OM excl Fuel by class'!I60+'10f. AG by class'!I60+'10i. STP-DC by class'!I60+'10j. PAYTAX by class'!I60+'10h. Int-CD by class'!I60</f>
        <v>13537.003406008163</v>
      </c>
      <c r="J60" s="243">
        <f>'10d-1. Fuel by class'!J60+'10d-2. Trans by class'!J60+'10e. OM excl Fuel by class'!J60+'10f. AG by class'!J60+'10i. STP-DC by class'!J60+'10j. PAYTAX by class'!J60+'10h. Int-CD by class'!J60</f>
        <v>5871.5889078799146</v>
      </c>
      <c r="K60" s="243">
        <f>'10d-1. Fuel by class'!K60+'10d-2. Trans by class'!K60+'10e. OM excl Fuel by class'!K60+'10f. AG by class'!K60+'10i. STP-DC by class'!K60+'10j. PAYTAX by class'!K60+'10h. Int-CD by class'!K60</f>
        <v>7883.214413132926</v>
      </c>
      <c r="L60" s="243">
        <f>'10d-1. Fuel by class'!L60+'10d-2. Trans by class'!L60+'10e. OM excl Fuel by class'!L60+'10f. AG by class'!L60+'10i. STP-DC by class'!L60+'10j. PAYTAX by class'!L60+'10h. Int-CD by class'!L60</f>
        <v>0</v>
      </c>
      <c r="M60" s="243">
        <f>'10d-1. Fuel by class'!M60+'10d-2. Trans by class'!M60+'10e. OM excl Fuel by class'!M60+'10f. AG by class'!M60+'10i. STP-DC by class'!M60+'10j. PAYTAX by class'!M60+'10h. Int-CD by class'!M60</f>
        <v>0</v>
      </c>
      <c r="N60" s="244">
        <f>'10d-1. Fuel by class'!N60+'10d-2. Trans by class'!N60+'10e. OM excl Fuel by class'!N60+'10f. AG by class'!N60+'10i. STP-DC by class'!N60+'10j. PAYTAX by class'!N60+'10h. Int-CD by class'!N60</f>
        <v>0.19147174616585427</v>
      </c>
      <c r="P60" s="32">
        <f>SUM(F60:O60)</f>
        <v>102659.51295881957</v>
      </c>
      <c r="Q60" s="32">
        <f>E60-P60</f>
        <v>0</v>
      </c>
    </row>
    <row r="62" spans="1:17" x14ac:dyDescent="0.3">
      <c r="A62" s="32" t="s">
        <v>341</v>
      </c>
      <c r="E62" s="32">
        <f t="shared" ref="E62:N62" si="12">SUM(E18,E20,E22,E41,E46,E48,E54,E58,E60)</f>
        <v>931893181.76488066</v>
      </c>
      <c r="F62" s="32">
        <f t="shared" si="12"/>
        <v>372801149.74316114</v>
      </c>
      <c r="G62" s="32">
        <f t="shared" si="12"/>
        <v>101980664.95025848</v>
      </c>
      <c r="H62" s="32">
        <f t="shared" si="12"/>
        <v>191105769.7724112</v>
      </c>
      <c r="I62" s="32">
        <f t="shared" si="12"/>
        <v>112221599.29734658</v>
      </c>
      <c r="J62" s="32">
        <f t="shared" si="12"/>
        <v>50368511.426471874</v>
      </c>
      <c r="K62" s="32">
        <f t="shared" si="12"/>
        <v>77363193.214069381</v>
      </c>
      <c r="L62" s="32">
        <f t="shared" si="12"/>
        <v>15426979.41611046</v>
      </c>
      <c r="M62" s="32">
        <f t="shared" si="12"/>
        <v>322439.43631016207</v>
      </c>
      <c r="N62" s="32">
        <f t="shared" si="12"/>
        <v>10302874.508741295</v>
      </c>
      <c r="P62" s="32">
        <f>SUM(F62:O62)</f>
        <v>931893181.76488054</v>
      </c>
      <c r="Q62" s="32">
        <f>E62-P62</f>
        <v>0</v>
      </c>
    </row>
    <row r="65" spans="1:17" x14ac:dyDescent="0.3">
      <c r="A65" s="32" t="s">
        <v>1010</v>
      </c>
      <c r="E65" s="32">
        <f>SUMIF($C$10:$C$60,"=C",E$10:E$60)</f>
        <v>117850671.46949187</v>
      </c>
      <c r="F65" s="32">
        <f t="shared" ref="F65:N65" si="13">SUMIF($C$10:$C$60,"=C",F$10:F$60)</f>
        <v>69404024.122529581</v>
      </c>
      <c r="G65" s="32">
        <f t="shared" si="13"/>
        <v>17177617.255614609</v>
      </c>
      <c r="H65" s="32">
        <f t="shared" si="13"/>
        <v>16941324.918840136</v>
      </c>
      <c r="I65" s="32">
        <f t="shared" si="13"/>
        <v>3584600.8535685209</v>
      </c>
      <c r="J65" s="32">
        <f t="shared" si="13"/>
        <v>1310987.0706072256</v>
      </c>
      <c r="K65" s="32">
        <f t="shared" si="13"/>
        <v>2043639.6383310126</v>
      </c>
      <c r="L65" s="32">
        <f t="shared" si="13"/>
        <v>16291.810195618973</v>
      </c>
      <c r="M65" s="32">
        <f t="shared" si="13"/>
        <v>199995.61045393307</v>
      </c>
      <c r="N65" s="32">
        <f t="shared" si="13"/>
        <v>7172190.1893512355</v>
      </c>
      <c r="P65" s="32">
        <f>SUM(F65:O65)</f>
        <v>117850671.46949188</v>
      </c>
      <c r="Q65" s="32">
        <f>E65-P65</f>
        <v>0</v>
      </c>
    </row>
    <row r="66" spans="1:17" x14ac:dyDescent="0.3">
      <c r="A66" s="32" t="s">
        <v>336</v>
      </c>
      <c r="E66" s="32">
        <f>SUMIF($C$10:$C$60,"=D",E$10:E$60)</f>
        <v>401913973.65067303</v>
      </c>
      <c r="F66" s="32">
        <f t="shared" ref="F66:N66" si="14">SUMIF($C$10:$C$60,"=D",F$10:F$60)</f>
        <v>163627517.56835768</v>
      </c>
      <c r="G66" s="32">
        <f t="shared" si="14"/>
        <v>47297298.485573582</v>
      </c>
      <c r="H66" s="32">
        <f t="shared" si="14"/>
        <v>83002949.450627506</v>
      </c>
      <c r="I66" s="32">
        <f t="shared" si="14"/>
        <v>49449146.984710753</v>
      </c>
      <c r="J66" s="32">
        <f t="shared" si="14"/>
        <v>20434157.301797383</v>
      </c>
      <c r="K66" s="32">
        <f t="shared" si="14"/>
        <v>29701955.650170118</v>
      </c>
      <c r="L66" s="32">
        <f t="shared" si="14"/>
        <v>6912950.9817135027</v>
      </c>
      <c r="M66" s="32">
        <f t="shared" si="14"/>
        <v>42038.321183878725</v>
      </c>
      <c r="N66" s="32">
        <f t="shared" si="14"/>
        <v>1445958.9065386509</v>
      </c>
      <c r="P66" s="32">
        <f>SUM(F66:O66)</f>
        <v>401913973.65067309</v>
      </c>
      <c r="Q66" s="32">
        <f>E66-P66</f>
        <v>0</v>
      </c>
    </row>
    <row r="67" spans="1:17" x14ac:dyDescent="0.3">
      <c r="A67" s="32" t="s">
        <v>927</v>
      </c>
      <c r="E67" s="32">
        <f>SUMIF($C$10:$C$60,"=e",E$10:E$60)</f>
        <v>412128536.64471573</v>
      </c>
      <c r="F67" s="32">
        <f t="shared" ref="F67:N67" si="15">SUMIF($C$10:$C$60,"=e",F$10:F$60)</f>
        <v>139769608.05227387</v>
      </c>
      <c r="G67" s="32">
        <f t="shared" si="15"/>
        <v>37505749.209070295</v>
      </c>
      <c r="H67" s="32">
        <f t="shared" si="15"/>
        <v>91161495.402943596</v>
      </c>
      <c r="I67" s="32">
        <f t="shared" si="15"/>
        <v>59187851.459067322</v>
      </c>
      <c r="J67" s="32">
        <f t="shared" si="15"/>
        <v>28623367.054067273</v>
      </c>
      <c r="K67" s="32">
        <f t="shared" si="15"/>
        <v>45617597.925568245</v>
      </c>
      <c r="L67" s="32">
        <f t="shared" si="15"/>
        <v>8497736.6242013387</v>
      </c>
      <c r="M67" s="32">
        <f t="shared" si="15"/>
        <v>80405.504672350333</v>
      </c>
      <c r="N67" s="32">
        <f t="shared" si="15"/>
        <v>1684725.4128514077</v>
      </c>
      <c r="P67" s="32">
        <f>SUM(F67:O67)</f>
        <v>412128536.64471567</v>
      </c>
      <c r="Q67" s="32">
        <f>E67-P67</f>
        <v>0</v>
      </c>
    </row>
    <row r="69" spans="1:17" x14ac:dyDescent="0.3">
      <c r="A69" s="32" t="s">
        <v>341</v>
      </c>
      <c r="E69" s="32">
        <f>SUM(E65:E67)</f>
        <v>931893181.76488066</v>
      </c>
      <c r="F69" s="32">
        <f t="shared" ref="F69:N69" si="16">SUM(F65:F67)</f>
        <v>372801149.74316114</v>
      </c>
      <c r="G69" s="32">
        <f t="shared" si="16"/>
        <v>101980664.95025849</v>
      </c>
      <c r="H69" s="32">
        <f t="shared" si="16"/>
        <v>191105769.77241123</v>
      </c>
      <c r="I69" s="32">
        <f t="shared" si="16"/>
        <v>112221599.29734659</v>
      </c>
      <c r="J69" s="32">
        <f t="shared" si="16"/>
        <v>50368511.426471882</v>
      </c>
      <c r="K69" s="32">
        <f t="shared" si="16"/>
        <v>77363193.214069366</v>
      </c>
      <c r="L69" s="32">
        <f t="shared" si="16"/>
        <v>15426979.41611046</v>
      </c>
      <c r="M69" s="32">
        <f t="shared" si="16"/>
        <v>322439.43631016213</v>
      </c>
      <c r="N69" s="32">
        <f t="shared" si="16"/>
        <v>10302874.508741295</v>
      </c>
      <c r="P69" s="32">
        <f>SUM(F69:O69)</f>
        <v>931893181.76488054</v>
      </c>
      <c r="Q69" s="32">
        <f>E69-P69</f>
        <v>0</v>
      </c>
    </row>
  </sheetData>
  <phoneticPr fontId="0" type="noConversion"/>
  <printOptions horizontalCentered="1" gridLines="1" gridLinesSet="0"/>
  <pageMargins left="0" right="0" top="0.5" bottom="0.4" header="0.2" footer="0.2"/>
  <pageSetup scale="61" orientation="landscape" horizontalDpi="300" verticalDpi="300" r:id="rId1"/>
  <headerFooter alignWithMargins="0">
    <oddFooter>&amp;L&amp;F &amp;C&amp;A
&amp;P&amp;R&amp;D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B63"/>
  <sheetViews>
    <sheetView zoomScale="75" zoomScaleNormal="75" workbookViewId="0">
      <pane xSplit="2" ySplit="7" topLeftCell="C8" activePane="bottomRight" state="frozen"/>
      <selection activeCell="C9" sqref="C9"/>
      <selection pane="topRight" activeCell="C9" sqref="C9"/>
      <selection pane="bottomLeft" activeCell="C9" sqref="C9"/>
      <selection pane="bottomRight" activeCell="C8" sqref="C8"/>
    </sheetView>
  </sheetViews>
  <sheetFormatPr defaultColWidth="9.1796875" defaultRowHeight="13" x14ac:dyDescent="0.3"/>
  <cols>
    <col min="1" max="1" width="4.54296875" style="32" customWidth="1"/>
    <col min="2" max="2" width="32.1796875" style="32" customWidth="1"/>
    <col min="3" max="3" width="15.1796875" style="32" customWidth="1"/>
    <col min="4" max="4" width="11.453125" style="32" customWidth="1"/>
    <col min="5" max="8" width="15" style="32" customWidth="1"/>
    <col min="9" max="16" width="12.54296875" style="32" customWidth="1"/>
    <col min="17" max="17" width="12.453125" style="32" customWidth="1"/>
    <col min="18" max="18" width="13.81640625" style="32" customWidth="1"/>
    <col min="19" max="20" width="9.1796875" style="32"/>
    <col min="21" max="21" width="11.453125" style="32" bestFit="1" customWidth="1"/>
    <col min="22" max="22" width="8.54296875" style="32" bestFit="1" customWidth="1"/>
    <col min="23" max="16384" width="9.1796875" style="32"/>
  </cols>
  <sheetData>
    <row r="1" spans="1:54" x14ac:dyDescent="0.3">
      <c r="A1" s="301" t="str">
        <f>'1. RB-i'!$A$1</f>
        <v>CPS Energy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3"/>
      <c r="O1" s="42"/>
      <c r="P1" s="42"/>
    </row>
    <row r="2" spans="1:54" x14ac:dyDescent="0.3">
      <c r="A2" s="307" t="s">
        <v>1260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98"/>
      <c r="O2" s="35"/>
      <c r="P2" s="35"/>
      <c r="S2" s="1"/>
      <c r="T2" s="1"/>
    </row>
    <row r="3" spans="1:54" x14ac:dyDescent="0.3">
      <c r="A3" s="307" t="str">
        <f>'10k.G-Tot Exp  by class'!A3</f>
        <v>Based on FYE 2017 Test Year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98"/>
      <c r="O3" s="31"/>
      <c r="P3" s="31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</row>
    <row r="4" spans="1:54" s="5" customFormat="1" x14ac:dyDescent="0.3">
      <c r="A4" s="304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305"/>
    </row>
    <row r="5" spans="1:54" s="5" customFormat="1" x14ac:dyDescent="0.3">
      <c r="A5" s="304"/>
      <c r="B5" s="196"/>
      <c r="C5" s="196"/>
      <c r="D5" s="196"/>
      <c r="E5" s="196"/>
      <c r="F5" s="196"/>
      <c r="G5" s="196"/>
      <c r="H5" s="199"/>
      <c r="I5" s="199"/>
      <c r="J5" s="199"/>
      <c r="K5" s="196"/>
      <c r="L5" s="196"/>
      <c r="M5" s="196"/>
      <c r="N5" s="305"/>
      <c r="P5" s="5" t="s">
        <v>832</v>
      </c>
    </row>
    <row r="6" spans="1:54" s="5" customFormat="1" x14ac:dyDescent="0.3">
      <c r="A6" s="304"/>
      <c r="B6" s="196"/>
      <c r="C6" s="196" t="s">
        <v>359</v>
      </c>
      <c r="D6" s="196"/>
      <c r="E6" s="196" t="s">
        <v>355</v>
      </c>
      <c r="F6" s="196" t="s">
        <v>961</v>
      </c>
      <c r="G6" s="196" t="s">
        <v>962</v>
      </c>
      <c r="H6" s="196" t="s">
        <v>963</v>
      </c>
      <c r="I6" s="196" t="s">
        <v>964</v>
      </c>
      <c r="J6" s="196" t="s">
        <v>965</v>
      </c>
      <c r="K6" s="196" t="s">
        <v>966</v>
      </c>
      <c r="L6" s="196" t="s">
        <v>967</v>
      </c>
      <c r="M6" s="196" t="s">
        <v>968</v>
      </c>
      <c r="N6" s="305" t="s">
        <v>932</v>
      </c>
      <c r="P6" s="5" t="s">
        <v>833</v>
      </c>
      <c r="Q6" s="5" t="s">
        <v>824</v>
      </c>
    </row>
    <row r="7" spans="1:54" s="5" customFormat="1" ht="13.5" thickBot="1" x14ac:dyDescent="0.35">
      <c r="A7" s="299"/>
      <c r="B7" s="282"/>
      <c r="C7" s="282"/>
      <c r="D7" s="282"/>
      <c r="E7" s="282" t="s">
        <v>816</v>
      </c>
      <c r="F7" s="282" t="s">
        <v>817</v>
      </c>
      <c r="G7" s="282" t="s">
        <v>818</v>
      </c>
      <c r="H7" s="282" t="s">
        <v>819</v>
      </c>
      <c r="I7" s="282" t="s">
        <v>820</v>
      </c>
      <c r="J7" s="282" t="s">
        <v>821</v>
      </c>
      <c r="K7" s="282" t="s">
        <v>822</v>
      </c>
      <c r="L7" s="282" t="s">
        <v>823</v>
      </c>
      <c r="M7" s="282" t="s">
        <v>908</v>
      </c>
      <c r="N7" s="300" t="s">
        <v>914</v>
      </c>
    </row>
    <row r="8" spans="1:54" x14ac:dyDescent="0.3">
      <c r="A8" s="157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158"/>
      <c r="O8" s="35"/>
      <c r="P8" s="35"/>
    </row>
    <row r="9" spans="1:54" x14ac:dyDescent="0.3">
      <c r="A9" s="157" t="s">
        <v>544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158"/>
    </row>
    <row r="10" spans="1:54" x14ac:dyDescent="0.3">
      <c r="A10" s="157"/>
      <c r="B10" s="35" t="s">
        <v>969</v>
      </c>
      <c r="C10" s="35"/>
      <c r="D10" s="35"/>
      <c r="E10" s="243">
        <f>'9b. Summary Schedules-sf'!E$198</f>
        <v>79367399.035865888</v>
      </c>
      <c r="F10" s="243">
        <f>$E10*'11a. AF by class'!F$10/'11a. AF by class'!$E$10</f>
        <v>31594748.969618015</v>
      </c>
      <c r="G10" s="243">
        <f>$E10*'11a. AF by class'!G10/'11a. AF by class'!$E10</f>
        <v>9367814.1251180079</v>
      </c>
      <c r="H10" s="243">
        <f>$E10*'11a. AF by class'!H10/'11a. AF by class'!$E10</f>
        <v>16591612.117557203</v>
      </c>
      <c r="I10" s="243">
        <f>$E10*'11a. AF by class'!I10/'11a. AF by class'!$E10</f>
        <v>9734323.8297634628</v>
      </c>
      <c r="J10" s="243">
        <f>$E10*'11a. AF by class'!J10/'11a. AF by class'!$E10</f>
        <v>4091321.4859773573</v>
      </c>
      <c r="K10" s="243">
        <f>$E10*'11a. AF by class'!K10/'11a. AF by class'!$E10</f>
        <v>6061419.3935765158</v>
      </c>
      <c r="L10" s="243">
        <f>$E10*'11a. AF by class'!L10/'11a. AF by class'!$E10</f>
        <v>1577847.3177615735</v>
      </c>
      <c r="M10" s="243">
        <f>$E10*'11a. AF by class'!M10/'11a. AF by class'!$E10</f>
        <v>8482.564225983826</v>
      </c>
      <c r="N10" s="244">
        <f>$E10*'11a. AF by class'!N10/'11a. AF by class'!$E10</f>
        <v>339829.23226777243</v>
      </c>
      <c r="P10" s="32">
        <f>SUM(F10:O10)</f>
        <v>79367399.035865888</v>
      </c>
      <c r="Q10" s="32">
        <f>E10-P10</f>
        <v>0</v>
      </c>
    </row>
    <row r="11" spans="1:54" x14ac:dyDescent="0.3">
      <c r="A11" s="157"/>
      <c r="B11" s="35" t="s">
        <v>1140</v>
      </c>
      <c r="C11" s="35"/>
      <c r="D11" s="35"/>
      <c r="E11" s="642"/>
      <c r="F11" s="642"/>
      <c r="G11" s="642"/>
      <c r="H11" s="642"/>
      <c r="I11" s="642"/>
      <c r="J11" s="642"/>
      <c r="K11" s="642"/>
      <c r="L11" s="642"/>
      <c r="M11" s="642"/>
      <c r="N11" s="643"/>
      <c r="O11" s="641"/>
      <c r="P11" s="641"/>
      <c r="Q11" s="32">
        <f t="shared" ref="Q11:Q13" si="0">E11-P11</f>
        <v>0</v>
      </c>
    </row>
    <row r="12" spans="1:54" x14ac:dyDescent="0.3">
      <c r="A12" s="157"/>
      <c r="B12" s="35" t="s">
        <v>1139</v>
      </c>
      <c r="C12" s="35"/>
      <c r="D12" s="35"/>
      <c r="E12" s="642"/>
      <c r="F12" s="642"/>
      <c r="G12" s="642"/>
      <c r="H12" s="642"/>
      <c r="I12" s="642"/>
      <c r="J12" s="642"/>
      <c r="K12" s="642"/>
      <c r="L12" s="642"/>
      <c r="M12" s="642"/>
      <c r="N12" s="643"/>
      <c r="O12" s="641"/>
      <c r="P12" s="641"/>
      <c r="Q12" s="32">
        <f t="shared" si="0"/>
        <v>0</v>
      </c>
    </row>
    <row r="13" spans="1:54" x14ac:dyDescent="0.3">
      <c r="A13" s="157"/>
      <c r="B13" s="35" t="s">
        <v>947</v>
      </c>
      <c r="C13" s="35"/>
      <c r="D13" s="35"/>
      <c r="E13" s="642"/>
      <c r="F13" s="642"/>
      <c r="G13" s="642"/>
      <c r="H13" s="642"/>
      <c r="I13" s="642"/>
      <c r="J13" s="642"/>
      <c r="K13" s="642"/>
      <c r="L13" s="642"/>
      <c r="M13" s="642"/>
      <c r="N13" s="643"/>
      <c r="O13" s="641"/>
      <c r="P13" s="641"/>
      <c r="Q13" s="32">
        <f t="shared" si="0"/>
        <v>0</v>
      </c>
    </row>
    <row r="14" spans="1:54" x14ac:dyDescent="0.3">
      <c r="A14" s="157"/>
      <c r="B14" s="35"/>
      <c r="C14" s="35"/>
      <c r="D14" s="35"/>
      <c r="E14" s="243"/>
      <c r="F14" s="243"/>
      <c r="G14" s="243"/>
      <c r="H14" s="243"/>
      <c r="I14" s="243"/>
      <c r="J14" s="243"/>
      <c r="K14" s="243"/>
      <c r="L14" s="243"/>
      <c r="M14" s="243"/>
      <c r="N14" s="244"/>
    </row>
    <row r="15" spans="1:54" x14ac:dyDescent="0.3">
      <c r="A15" s="157"/>
      <c r="B15" s="35" t="s">
        <v>970</v>
      </c>
      <c r="C15" s="35"/>
      <c r="D15" s="35"/>
      <c r="E15" s="243">
        <f>'9b. Summary Schedules-sf'!I198</f>
        <v>16647166.377540609</v>
      </c>
      <c r="F15" s="243">
        <f>$E15*'11a. AF by class'!F11/'11a. AF by class'!$E11</f>
        <v>5663295.633884225</v>
      </c>
      <c r="G15" s="243">
        <f>$E15*'11a. AF by class'!G11/'11a. AF by class'!$E11</f>
        <v>1519687.6395463925</v>
      </c>
      <c r="H15" s="243">
        <f>$E15*'11a. AF by class'!H11/'11a. AF by class'!$E11</f>
        <v>3693753.6427859231</v>
      </c>
      <c r="I15" s="243">
        <f>$E15*'11a. AF by class'!I11/'11a. AF by class'!$E11</f>
        <v>2396889.8833650555</v>
      </c>
      <c r="J15" s="243">
        <f>$E15*'11a. AF by class'!J11/'11a. AF by class'!$E11</f>
        <v>1156164.7800322417</v>
      </c>
      <c r="K15" s="243">
        <f>$E15*'11a. AF by class'!K11/'11a. AF by class'!$E11</f>
        <v>1813542.2575148388</v>
      </c>
      <c r="L15" s="243">
        <f>$E15*'11a. AF by class'!L11/'11a. AF by class'!$E11</f>
        <v>332311.5684513633</v>
      </c>
      <c r="M15" s="243">
        <f>$E15*'11a. AF by class'!M11/'11a. AF by class'!$E11</f>
        <v>3257.93389490564</v>
      </c>
      <c r="N15" s="244">
        <f>$E15*'11a. AF by class'!N11/'11a. AF by class'!$E11</f>
        <v>68263.038065663044</v>
      </c>
      <c r="P15" s="32">
        <f>SUM(F15:O15)</f>
        <v>16647166.377540609</v>
      </c>
      <c r="Q15" s="32">
        <f>E15-P15</f>
        <v>0</v>
      </c>
    </row>
    <row r="16" spans="1:54" x14ac:dyDescent="0.3">
      <c r="A16" s="157"/>
      <c r="B16" s="35" t="s">
        <v>971</v>
      </c>
      <c r="C16" s="35"/>
      <c r="D16" s="35"/>
      <c r="E16" s="35">
        <f>E10+E15</f>
        <v>96014565.413406491</v>
      </c>
      <c r="F16" s="35">
        <f t="shared" ref="F16:P16" si="1">F10+F15</f>
        <v>37258044.603502244</v>
      </c>
      <c r="G16" s="35">
        <f t="shared" si="1"/>
        <v>10887501.7646644</v>
      </c>
      <c r="H16" s="35">
        <f t="shared" si="1"/>
        <v>20285365.760343127</v>
      </c>
      <c r="I16" s="35">
        <f t="shared" si="1"/>
        <v>12131213.713128518</v>
      </c>
      <c r="J16" s="35">
        <f t="shared" si="1"/>
        <v>5247486.266009599</v>
      </c>
      <c r="K16" s="35">
        <f t="shared" si="1"/>
        <v>7874961.6510913549</v>
      </c>
      <c r="L16" s="35">
        <f t="shared" si="1"/>
        <v>1910158.8862129368</v>
      </c>
      <c r="M16" s="35">
        <f t="shared" si="1"/>
        <v>11740.498120889466</v>
      </c>
      <c r="N16" s="158">
        <f t="shared" si="1"/>
        <v>408092.2703334355</v>
      </c>
      <c r="O16" s="35"/>
      <c r="P16" s="35">
        <f t="shared" si="1"/>
        <v>96014565.413406491</v>
      </c>
      <c r="Q16" s="32">
        <f>E16-P16</f>
        <v>0</v>
      </c>
    </row>
    <row r="17" spans="1:17" x14ac:dyDescent="0.3">
      <c r="A17" s="157"/>
      <c r="B17" s="35" t="s">
        <v>617</v>
      </c>
      <c r="C17" s="35"/>
      <c r="D17" s="35"/>
      <c r="E17" s="243">
        <f>'9b. Summary Schedules-sf'!J198</f>
        <v>51611557.11201489</v>
      </c>
      <c r="F17" s="243">
        <f>$E17*'11a. AF by class'!F13/'11a. AF by class'!$E13</f>
        <v>17487255.746031631</v>
      </c>
      <c r="G17" s="243">
        <f>$E17*'11a. AF by class'!G13/'11a. AF by class'!$E13</f>
        <v>4692526.776781396</v>
      </c>
      <c r="H17" s="243">
        <f>$E17*'11a. AF by class'!H13/'11a. AF by class'!$E13</f>
        <v>11405658.258022327</v>
      </c>
      <c r="I17" s="243">
        <f>$E17*'11a. AF by class'!I13/'11a. AF by class'!$E13</f>
        <v>7406517.0874995366</v>
      </c>
      <c r="J17" s="243">
        <f>$E17*'11a. AF by class'!J13/'11a. AF by class'!$E13</f>
        <v>3584574.2369972095</v>
      </c>
      <c r="K17" s="243">
        <f>$E17*'11a. AF by class'!K13/'11a. AF by class'!$E13</f>
        <v>5739823.6808483722</v>
      </c>
      <c r="L17" s="243">
        <f>$E17*'11a. AF by class'!L13/'11a. AF by class'!$E13</f>
        <v>1074357.2080744188</v>
      </c>
      <c r="M17" s="243">
        <f>$E17*'11a. AF by class'!M13/'11a. AF by class'!$E13</f>
        <v>10059.923921860467</v>
      </c>
      <c r="N17" s="244">
        <f>$E17*'11a. AF by class'!N13/'11a. AF by class'!$E13</f>
        <v>210784.19383813953</v>
      </c>
      <c r="P17" s="32">
        <f>SUM(F17:O17)</f>
        <v>51611557.112014897</v>
      </c>
      <c r="Q17" s="32">
        <f>E17-P17</f>
        <v>0</v>
      </c>
    </row>
    <row r="18" spans="1:17" x14ac:dyDescent="0.3">
      <c r="A18" s="157"/>
      <c r="B18" s="35" t="s">
        <v>972</v>
      </c>
      <c r="C18" s="35"/>
      <c r="D18" s="35"/>
      <c r="E18" s="243">
        <f>SUM(E16:E17)</f>
        <v>147626122.52542138</v>
      </c>
      <c r="F18" s="243">
        <f t="shared" ref="F18:N18" si="2">SUM(F16:F17)</f>
        <v>54745300.349533871</v>
      </c>
      <c r="G18" s="243">
        <f t="shared" si="2"/>
        <v>15580028.541445795</v>
      </c>
      <c r="H18" s="243">
        <f t="shared" si="2"/>
        <v>31691024.018365454</v>
      </c>
      <c r="I18" s="243">
        <f t="shared" si="2"/>
        <v>19537730.800628055</v>
      </c>
      <c r="J18" s="243">
        <f t="shared" si="2"/>
        <v>8832060.5030068085</v>
      </c>
      <c r="K18" s="243">
        <f t="shared" si="2"/>
        <v>13614785.331939727</v>
      </c>
      <c r="L18" s="243">
        <f t="shared" si="2"/>
        <v>2984516.0942873554</v>
      </c>
      <c r="M18" s="243">
        <f t="shared" si="2"/>
        <v>21800.422042749931</v>
      </c>
      <c r="N18" s="244">
        <f t="shared" si="2"/>
        <v>618876.46417157503</v>
      </c>
      <c r="P18" s="32">
        <f>SUM(F18:O18)</f>
        <v>147626122.52542141</v>
      </c>
      <c r="Q18" s="32">
        <f>E18-P18</f>
        <v>0</v>
      </c>
    </row>
    <row r="19" spans="1:17" x14ac:dyDescent="0.3">
      <c r="A19" s="157"/>
      <c r="B19" s="35"/>
      <c r="C19" s="35"/>
      <c r="D19" s="35"/>
      <c r="E19" s="243"/>
      <c r="F19" s="243"/>
      <c r="G19" s="243"/>
      <c r="H19" s="243"/>
      <c r="I19" s="243"/>
      <c r="J19" s="243"/>
      <c r="K19" s="243"/>
      <c r="L19" s="243"/>
      <c r="M19" s="243"/>
      <c r="N19" s="244"/>
    </row>
    <row r="20" spans="1:17" x14ac:dyDescent="0.3">
      <c r="A20" s="157" t="s">
        <v>984</v>
      </c>
      <c r="B20" s="35"/>
      <c r="C20" s="35"/>
      <c r="D20" s="35"/>
      <c r="E20" s="243">
        <f>'9b. Summary Schedules-sf'!K198</f>
        <v>4353225.6144186044</v>
      </c>
      <c r="F20" s="243">
        <f>$E20*'11a. AF by class'!F16/'11a. AF by class'!$E16</f>
        <v>1732932.0525877581</v>
      </c>
      <c r="G20" s="243">
        <f>$E20*'11a. AF by class'!G16/'11a. AF by class'!$E16</f>
        <v>513811.21926982788</v>
      </c>
      <c r="H20" s="243">
        <f>$E20*'11a. AF by class'!H16/'11a. AF by class'!$E16</f>
        <v>910041.81469420926</v>
      </c>
      <c r="I20" s="243">
        <f>$E20*'11a. AF by class'!I16/'11a. AF by class'!$E16</f>
        <v>533923.12160844181</v>
      </c>
      <c r="J20" s="243">
        <f>$E20*'11a. AF by class'!J16/'11a. AF by class'!$E16</f>
        <v>224408.78042327904</v>
      </c>
      <c r="K20" s="243">
        <f>$E20*'11a. AF by class'!K16/'11a. AF by class'!$E16</f>
        <v>332455.84017314878</v>
      </c>
      <c r="L20" s="243">
        <f>$E20*'11a. AF by class'!L16/'11a. AF by class'!$E16</f>
        <v>86542.125214641856</v>
      </c>
      <c r="M20" s="243">
        <f>$E20*'11a. AF by class'!M16/'11a. AF by class'!$E16</f>
        <v>478.85481758604652</v>
      </c>
      <c r="N20" s="244">
        <f>$E20*'11a. AF by class'!N16/'11a. AF by class'!$E16</f>
        <v>18631.805629711627</v>
      </c>
      <c r="P20" s="32">
        <f>SUM(F20:O20)</f>
        <v>4353225.6144186035</v>
      </c>
      <c r="Q20" s="32">
        <f>E20-P20</f>
        <v>0</v>
      </c>
    </row>
    <row r="21" spans="1:17" x14ac:dyDescent="0.3">
      <c r="A21" s="157"/>
      <c r="B21" s="35"/>
      <c r="C21" s="35"/>
      <c r="D21" s="35"/>
      <c r="E21" s="243"/>
      <c r="F21" s="243"/>
      <c r="G21" s="243"/>
      <c r="H21" s="243"/>
      <c r="I21" s="243"/>
      <c r="J21" s="243"/>
      <c r="K21" s="243"/>
      <c r="L21" s="243"/>
      <c r="M21" s="243"/>
      <c r="N21" s="244"/>
    </row>
    <row r="22" spans="1:17" s="16" customFormat="1" x14ac:dyDescent="0.3">
      <c r="A22" s="153" t="s">
        <v>366</v>
      </c>
      <c r="B22" s="53"/>
      <c r="C22" s="53"/>
      <c r="D22" s="35"/>
      <c r="E22" s="243">
        <f>'9b. Summary Schedules-sf'!L198</f>
        <v>9802564.3713753</v>
      </c>
      <c r="F22" s="243">
        <f>$E22*'11a. AF by class'!F18/'11a. AF by class'!$E18</f>
        <v>4131728.9027146767</v>
      </c>
      <c r="G22" s="243">
        <f>$E22*'11a. AF by class'!G18/'11a. AF by class'!$E18</f>
        <v>937830.2847532446</v>
      </c>
      <c r="H22" s="243">
        <f>$E22*'11a. AF by class'!H18/'11a. AF by class'!$E18</f>
        <v>1943343.1417518081</v>
      </c>
      <c r="I22" s="243">
        <f>$E22*'11a. AF by class'!I18/'11a. AF by class'!$E18</f>
        <v>1304727.9471844467</v>
      </c>
      <c r="J22" s="243">
        <f>$E22*'11a. AF by class'!J18/'11a. AF by class'!$E18</f>
        <v>517179.98004123609</v>
      </c>
      <c r="K22" s="243">
        <f>$E22*'11a. AF by class'!K18/'11a. AF by class'!$E18</f>
        <v>761553.91866619478</v>
      </c>
      <c r="L22" s="243">
        <f>$E22*'11a. AF by class'!L18/'11a. AF by class'!$E18</f>
        <v>205136.9074499803</v>
      </c>
      <c r="M22" s="243">
        <f>$E22*'11a. AF by class'!M18/'11a. AF by class'!$E18</f>
        <v>1063.2888137110122</v>
      </c>
      <c r="N22" s="244">
        <f>$E22*'11a. AF by class'!N18/'11a. AF by class'!$E18</f>
        <v>0</v>
      </c>
      <c r="P22" s="16">
        <f>SUM(F22:O22)</f>
        <v>9802564.3713752981</v>
      </c>
      <c r="Q22" s="16">
        <f>E22-P22</f>
        <v>0</v>
      </c>
    </row>
    <row r="23" spans="1:17" x14ac:dyDescent="0.3">
      <c r="A23" s="157"/>
      <c r="B23" s="35"/>
      <c r="C23" s="35"/>
      <c r="D23" s="35"/>
      <c r="E23" s="243"/>
      <c r="F23" s="243"/>
      <c r="G23" s="243"/>
      <c r="H23" s="243"/>
      <c r="I23" s="243"/>
      <c r="J23" s="243"/>
      <c r="K23" s="243"/>
      <c r="L23" s="243"/>
      <c r="M23" s="243"/>
      <c r="N23" s="244"/>
    </row>
    <row r="24" spans="1:17" x14ac:dyDescent="0.3">
      <c r="A24" s="157" t="s">
        <v>367</v>
      </c>
      <c r="B24" s="35"/>
      <c r="C24" s="35"/>
      <c r="D24" s="35"/>
      <c r="E24" s="243"/>
      <c r="F24" s="243"/>
      <c r="G24" s="243"/>
      <c r="H24" s="243"/>
      <c r="I24" s="243"/>
      <c r="J24" s="243"/>
      <c r="K24" s="243"/>
      <c r="L24" s="243"/>
      <c r="M24" s="243"/>
      <c r="N24" s="244"/>
    </row>
    <row r="25" spans="1:17" x14ac:dyDescent="0.3">
      <c r="A25" s="157"/>
      <c r="B25" s="35" t="s">
        <v>973</v>
      </c>
      <c r="C25" s="35"/>
      <c r="D25" s="35"/>
      <c r="E25" s="243"/>
      <c r="F25" s="243"/>
      <c r="G25" s="243"/>
      <c r="H25" s="243"/>
      <c r="I25" s="243"/>
      <c r="J25" s="243"/>
      <c r="K25" s="243"/>
      <c r="L25" s="243"/>
      <c r="M25" s="243"/>
      <c r="N25" s="244"/>
    </row>
    <row r="26" spans="1:17" x14ac:dyDescent="0.3">
      <c r="A26" s="157"/>
      <c r="B26" s="35" t="s">
        <v>974</v>
      </c>
      <c r="C26" s="35"/>
      <c r="D26" s="35"/>
      <c r="E26" s="243">
        <f>'9b. Summary Schedules-sf'!N198</f>
        <v>10459074.133085193</v>
      </c>
      <c r="F26" s="243">
        <f>$E26*'11a. AF by class'!F22/'11a. AF by class'!$E22</f>
        <v>4217548.2093053963</v>
      </c>
      <c r="G26" s="243">
        <f>$E26*'11a. AF by class'!G22/'11a. AF by class'!$E22</f>
        <v>1258486.7364099477</v>
      </c>
      <c r="H26" s="243">
        <f>$E26*'11a. AF by class'!H22/'11a. AF by class'!$E22</f>
        <v>2178745.4853215381</v>
      </c>
      <c r="I26" s="243">
        <f>$E26*'11a. AF by class'!I22/'11a. AF by class'!$E22</f>
        <v>1266763.1807082996</v>
      </c>
      <c r="J26" s="243">
        <f>$E26*'11a. AF by class'!J22/'11a. AF by class'!$E22</f>
        <v>524968.27852860768</v>
      </c>
      <c r="K26" s="243">
        <f>$E26*'11a. AF by class'!K22/'11a. AF by class'!$E22</f>
        <v>772715.25018118566</v>
      </c>
      <c r="L26" s="243">
        <f>$E26*'11a. AF by class'!L22/'11a. AF by class'!$E22</f>
        <v>193808.18526310904</v>
      </c>
      <c r="M26" s="243">
        <f>$E26*'11a. AF by class'!M22/'11a. AF by class'!$E22</f>
        <v>1044.4498169835238</v>
      </c>
      <c r="N26" s="244">
        <f>$E26*'11a. AF by class'!N22/'11a. AF by class'!$E22</f>
        <v>44994.3575501257</v>
      </c>
      <c r="P26" s="32">
        <f>SUM(F26:O26)</f>
        <v>10459074.133085193</v>
      </c>
      <c r="Q26" s="32">
        <f>E26-P26</f>
        <v>0</v>
      </c>
    </row>
    <row r="27" spans="1:17" x14ac:dyDescent="0.3">
      <c r="A27" s="157"/>
      <c r="B27" s="35" t="s">
        <v>975</v>
      </c>
      <c r="C27" s="35"/>
      <c r="D27" s="35"/>
      <c r="E27" s="243">
        <f>'9b. Summary Schedules-sf'!O198</f>
        <v>14929983.831557419</v>
      </c>
      <c r="F27" s="243">
        <f>$E27*'11a. AF by class'!F23/'11a. AF by class'!$E23</f>
        <v>6125520.3826244976</v>
      </c>
      <c r="G27" s="243">
        <f>$E27*'11a. AF by class'!G23/'11a. AF by class'!$E23</f>
        <v>1827812.2199369769</v>
      </c>
      <c r="H27" s="243">
        <f>$E27*'11a. AF by class'!H23/'11a. AF by class'!$E23</f>
        <v>3164385.8508700198</v>
      </c>
      <c r="I27" s="243">
        <f>$E27*'11a. AF by class'!I23/'11a. AF by class'!$E23</f>
        <v>1839832.8361170965</v>
      </c>
      <c r="J27" s="243">
        <f>$E27*'11a. AF by class'!J23/'11a. AF by class'!$E23</f>
        <v>762458.12276983727</v>
      </c>
      <c r="K27" s="243">
        <f>$E27*'11a. AF by class'!K23/'11a. AF by class'!$E23</f>
        <v>1122283.0848753199</v>
      </c>
      <c r="L27" s="243">
        <f>$E27*'11a. AF by class'!L23/'11a. AF by class'!$E23</f>
        <v>20825.079629052489</v>
      </c>
      <c r="M27" s="243">
        <f>$E27*'11a. AF by class'!M23/'11a. AF by class'!$E23</f>
        <v>1516.9473649276147</v>
      </c>
      <c r="N27" s="244">
        <f>$E27*'11a. AF by class'!N23/'11a. AF by class'!$E23</f>
        <v>65349.307369691298</v>
      </c>
      <c r="P27" s="32">
        <f>SUM(F27:O27)</f>
        <v>14929983.831557417</v>
      </c>
      <c r="Q27" s="32">
        <f>E27-P27</f>
        <v>0</v>
      </c>
    </row>
    <row r="28" spans="1:17" x14ac:dyDescent="0.3">
      <c r="A28" s="157"/>
      <c r="B28" s="35" t="s">
        <v>976</v>
      </c>
      <c r="C28" s="35"/>
      <c r="D28" s="35"/>
      <c r="E28" s="243">
        <f>'9b. Summary Schedules-sf'!P198</f>
        <v>4050294.0498107523</v>
      </c>
      <c r="F28" s="243">
        <f>$E28*'11a. AF by class'!F24/'11a. AF by class'!$E24</f>
        <v>2057678.4332391743</v>
      </c>
      <c r="G28" s="243">
        <f>$E28*'11a. AF by class'!G24/'11a. AF by class'!$E24</f>
        <v>756639.79888637236</v>
      </c>
      <c r="H28" s="243">
        <f>$E28*'11a. AF by class'!H24/'11a. AF by class'!$E24</f>
        <v>701134.22220265376</v>
      </c>
      <c r="I28" s="243">
        <f>$E28*'11a. AF by class'!I24/'11a. AF by class'!$E24</f>
        <v>360508.32795491803</v>
      </c>
      <c r="J28" s="243">
        <f>$E28*'11a. AF by class'!J24/'11a. AF by class'!$E24</f>
        <v>122559.22072483059</v>
      </c>
      <c r="K28" s="243">
        <f>$E28*'11a. AF by class'!K24/'11a. AF by class'!$E24</f>
        <v>40923.011674709524</v>
      </c>
      <c r="L28" s="243">
        <f>$E28*'11a. AF by class'!L24/'11a. AF by class'!$E24</f>
        <v>0</v>
      </c>
      <c r="M28" s="243">
        <f>$E28*'11a. AF by class'!M24/'11a. AF by class'!$E24</f>
        <v>246.16974899562155</v>
      </c>
      <c r="N28" s="244">
        <f>$E28*'11a. AF by class'!N24/'11a. AF by class'!$E24</f>
        <v>10604.865379097884</v>
      </c>
      <c r="P28" s="32">
        <f>SUM(F28:O28)</f>
        <v>4050294.0498107523</v>
      </c>
      <c r="Q28" s="32">
        <f>E28-P28</f>
        <v>0</v>
      </c>
    </row>
    <row r="29" spans="1:17" x14ac:dyDescent="0.3">
      <c r="A29" s="157"/>
      <c r="B29" s="35" t="s">
        <v>931</v>
      </c>
      <c r="C29" s="35"/>
      <c r="D29" s="35"/>
      <c r="E29" s="580">
        <f>'9b. Summary Schedules-sf'!Q198</f>
        <v>2504230.8033146462</v>
      </c>
      <c r="F29" s="580">
        <f>$E29*'11a. AF by class'!F25/'11a. AF by class'!$E25</f>
        <v>1212845.6095603954</v>
      </c>
      <c r="G29" s="580">
        <f>$E29*'11a. AF by class'!G25/'11a. AF by class'!$E25</f>
        <v>418595.13257358217</v>
      </c>
      <c r="H29" s="580">
        <f>$E29*'11a. AF by class'!H25/'11a. AF by class'!$E25</f>
        <v>482737.52575437393</v>
      </c>
      <c r="I29" s="580">
        <f>$E29*'11a. AF by class'!I25/'11a. AF by class'!$E25</f>
        <v>258932.51669460762</v>
      </c>
      <c r="J29" s="580">
        <f>$E29*'11a. AF by class'!J25/'11a. AF by class'!$E25</f>
        <v>91503.081438547058</v>
      </c>
      <c r="K29" s="580">
        <f>$E29*'11a. AF by class'!K25/'11a. AF by class'!$E25</f>
        <v>30991.896659281036</v>
      </c>
      <c r="L29" s="580">
        <f>$E29*'11a. AF by class'!L25/'11a. AF by class'!$E25</f>
        <v>0</v>
      </c>
      <c r="M29" s="580">
        <f>$E29*'11a. AF by class'!M25/'11a. AF by class'!$E25</f>
        <v>195.67018840599184</v>
      </c>
      <c r="N29" s="600">
        <f>$E29*'11a. AF by class'!N25/'11a. AF by class'!$E25</f>
        <v>8429.3704454529507</v>
      </c>
      <c r="P29" s="32">
        <f>SUM(F29:O29)</f>
        <v>2504230.8033146462</v>
      </c>
      <c r="Q29" s="32">
        <f>E29-P29</f>
        <v>0</v>
      </c>
    </row>
    <row r="30" spans="1:17" x14ac:dyDescent="0.3">
      <c r="A30" s="157"/>
      <c r="B30" s="35" t="s">
        <v>977</v>
      </c>
      <c r="C30" s="35"/>
      <c r="D30" s="35"/>
      <c r="E30" s="243">
        <f>SUM(E26:E29)</f>
        <v>31943582.817768011</v>
      </c>
      <c r="F30" s="243">
        <f t="shared" ref="F30:N30" si="3">SUM(F26:F29)</f>
        <v>13613592.634729464</v>
      </c>
      <c r="G30" s="243">
        <f t="shared" si="3"/>
        <v>4261533.8878068784</v>
      </c>
      <c r="H30" s="243">
        <f t="shared" si="3"/>
        <v>6527003.0841485849</v>
      </c>
      <c r="I30" s="243">
        <f t="shared" si="3"/>
        <v>3726036.8614749219</v>
      </c>
      <c r="J30" s="243">
        <f t="shared" si="3"/>
        <v>1501488.7034618226</v>
      </c>
      <c r="K30" s="243">
        <f t="shared" si="3"/>
        <v>1966913.2433904964</v>
      </c>
      <c r="L30" s="243">
        <f t="shared" si="3"/>
        <v>214633.26489216153</v>
      </c>
      <c r="M30" s="243">
        <f t="shared" si="3"/>
        <v>3003.2371193127515</v>
      </c>
      <c r="N30" s="244">
        <f t="shared" si="3"/>
        <v>129377.90074436784</v>
      </c>
      <c r="P30" s="32">
        <f>SUM(F30:O30)</f>
        <v>31943582.817768008</v>
      </c>
      <c r="Q30" s="32">
        <f>E30-P30</f>
        <v>0</v>
      </c>
    </row>
    <row r="31" spans="1:17" x14ac:dyDescent="0.3">
      <c r="A31" s="157"/>
      <c r="B31" s="35"/>
      <c r="C31" s="35"/>
      <c r="D31" s="35"/>
      <c r="E31" s="243"/>
      <c r="F31" s="243"/>
      <c r="G31" s="243"/>
      <c r="H31" s="243"/>
      <c r="I31" s="243"/>
      <c r="J31" s="243"/>
      <c r="K31" s="243"/>
      <c r="L31" s="243"/>
      <c r="M31" s="243"/>
      <c r="N31" s="244"/>
    </row>
    <row r="32" spans="1:17" x14ac:dyDescent="0.3">
      <c r="A32" s="157"/>
      <c r="B32" s="35" t="s">
        <v>978</v>
      </c>
      <c r="C32" s="35"/>
      <c r="D32" s="35"/>
      <c r="E32" s="243"/>
      <c r="F32" s="243"/>
      <c r="G32" s="243"/>
      <c r="H32" s="243"/>
      <c r="I32" s="243"/>
      <c r="J32" s="243"/>
      <c r="K32" s="243"/>
      <c r="L32" s="243"/>
      <c r="M32" s="243"/>
      <c r="N32" s="244"/>
    </row>
    <row r="33" spans="1:17" x14ac:dyDescent="0.3">
      <c r="A33" s="157"/>
      <c r="B33" s="35" t="s">
        <v>975</v>
      </c>
      <c r="C33" s="35"/>
      <c r="D33" s="35"/>
      <c r="E33" s="243">
        <f>'9b. Summary Schedules-sf'!R198</f>
        <v>8473297.0726455078</v>
      </c>
      <c r="F33" s="243">
        <f>$E33*'11a. AF by class'!F29/'11a. AF by class'!$E29</f>
        <v>6077130.4679655656</v>
      </c>
      <c r="G33" s="243">
        <f>$E33*'11a. AF by class'!G29/'11a. AF by class'!$E29</f>
        <v>1494566.8010062429</v>
      </c>
      <c r="H33" s="243">
        <f>$E33*'11a. AF by class'!H29/'11a. AF by class'!$E29</f>
        <v>796390.83834911045</v>
      </c>
      <c r="I33" s="243">
        <f>$E33*'11a. AF by class'!I29/'11a. AF by class'!$E29</f>
        <v>21673.174408651921</v>
      </c>
      <c r="J33" s="243">
        <f>$E33*'11a. AF by class'!J29/'11a. AF by class'!$E29</f>
        <v>1913.2767991943824</v>
      </c>
      <c r="K33" s="243">
        <f>$E33*'11a. AF by class'!K29/'11a. AF by class'!$E29</f>
        <v>414.54330649211619</v>
      </c>
      <c r="L33" s="243">
        <f>$E33*'11a. AF by class'!L29/'11a. AF by class'!$E29</f>
        <v>21.258631102159804</v>
      </c>
      <c r="M33" s="243">
        <f>$E33*'11a. AF by class'!M29/'11a. AF by class'!$E29</f>
        <v>19249.690463005703</v>
      </c>
      <c r="N33" s="244">
        <f>$E33*'11a. AF by class'!N29/'11a. AF by class'!$E29</f>
        <v>61937.02171614259</v>
      </c>
      <c r="P33" s="32">
        <f t="shared" ref="P33:P39" si="4">SUM(F33:O33)</f>
        <v>8473297.0726455096</v>
      </c>
      <c r="Q33" s="32">
        <f t="shared" ref="Q33:Q39" si="5">E33-P33</f>
        <v>0</v>
      </c>
    </row>
    <row r="34" spans="1:17" x14ac:dyDescent="0.3">
      <c r="A34" s="157"/>
      <c r="B34" s="35" t="s">
        <v>976</v>
      </c>
      <c r="C34" s="35"/>
      <c r="D34" s="35"/>
      <c r="E34" s="243">
        <f>'9b. Summary Schedules-sf'!S198</f>
        <v>2421174.704197736</v>
      </c>
      <c r="F34" s="243">
        <f>$E34*'11a. AF by class'!F30/'11a. AF by class'!$E30</f>
        <v>1736679.4096862585</v>
      </c>
      <c r="G34" s="243">
        <f>$E34*'11a. AF by class'!G30/'11a. AF by class'!$E30</f>
        <v>427106.74114869256</v>
      </c>
      <c r="H34" s="243">
        <f>$E34*'11a. AF by class'!H30/'11a. AF by class'!$E30</f>
        <v>227586.94721370505</v>
      </c>
      <c r="I34" s="243">
        <f>$E34*'11a. AF by class'!I30/'11a. AF by class'!$E30</f>
        <v>6072.1038316186596</v>
      </c>
      <c r="J34" s="243">
        <f>$E34*'11a. AF by class'!J30/'11a. AF by class'!$E30</f>
        <v>495.12402428906523</v>
      </c>
      <c r="K34" s="243">
        <f>$E34*'11a. AF by class'!K30/'11a. AF by class'!$E30</f>
        <v>33.413277712759005</v>
      </c>
      <c r="L34" s="243">
        <f>$E34*'11a. AF by class'!L30/'11a. AF by class'!$E30</f>
        <v>0</v>
      </c>
      <c r="M34" s="243">
        <f>$E34*'11a. AF by class'!M30/'11a. AF by class'!$E30</f>
        <v>5501.040539800596</v>
      </c>
      <c r="N34" s="244">
        <f>$E34*'11a. AF by class'!N30/'11a. AF by class'!$E30</f>
        <v>17699.924475658794</v>
      </c>
      <c r="P34" s="32">
        <f t="shared" si="4"/>
        <v>2421174.704197736</v>
      </c>
      <c r="Q34" s="32">
        <f t="shared" si="5"/>
        <v>0</v>
      </c>
    </row>
    <row r="35" spans="1:17" x14ac:dyDescent="0.3">
      <c r="A35" s="157"/>
      <c r="B35" s="35" t="s">
        <v>931</v>
      </c>
      <c r="C35" s="35"/>
      <c r="D35" s="35"/>
      <c r="E35" s="243">
        <f>'9b. Summary Schedules-sf'!T198</f>
        <v>2737494.9846482472</v>
      </c>
      <c r="F35" s="243">
        <f>$E35*'11a. AF by class'!F31/'11a. AF by class'!$E31</f>
        <v>1963572.13121195</v>
      </c>
      <c r="G35" s="243">
        <f>$E35*'11a. AF by class'!G31/'11a. AF by class'!$E31</f>
        <v>482907.14411351085</v>
      </c>
      <c r="H35" s="243">
        <f>$E35*'11a. AF by class'!H31/'11a. AF by class'!$E31</f>
        <v>257320.5995786917</v>
      </c>
      <c r="I35" s="243">
        <f>$E35*'11a. AF by class'!I31/'11a. AF by class'!$E31</f>
        <v>6865.4086615477645</v>
      </c>
      <c r="J35" s="243">
        <f>$E35*'11a. AF by class'!J31/'11a. AF by class'!$E31</f>
        <v>559.8107112717787</v>
      </c>
      <c r="K35" s="243">
        <f>$E35*'11a. AF by class'!K31/'11a. AF by class'!$E31</f>
        <v>37.778636956991207</v>
      </c>
      <c r="L35" s="243">
        <f>$E35*'11a. AF by class'!L31/'11a. AF by class'!$E31</f>
        <v>0</v>
      </c>
      <c r="M35" s="243">
        <f>$E35*'11a. AF by class'!M31/'11a. AF by class'!$E31</f>
        <v>6219.7374117373702</v>
      </c>
      <c r="N35" s="244">
        <f>$E35*'11a. AF by class'!N31/'11a. AF by class'!$E31</f>
        <v>20012.374322580701</v>
      </c>
      <c r="P35" s="32">
        <f t="shared" si="4"/>
        <v>2737494.9846482468</v>
      </c>
      <c r="Q35" s="32">
        <f t="shared" si="5"/>
        <v>0</v>
      </c>
    </row>
    <row r="36" spans="1:17" x14ac:dyDescent="0.3">
      <c r="A36" s="157"/>
      <c r="B36" s="35" t="s">
        <v>456</v>
      </c>
      <c r="C36" s="35"/>
      <c r="D36" s="35"/>
      <c r="E36" s="243">
        <f>'9b. Summary Schedules-sf'!U198</f>
        <v>1602222.1449738401</v>
      </c>
      <c r="F36" s="243">
        <f>$E36*'11a. AF by class'!F32/'11a. AF by class'!$E32</f>
        <v>874669.35752825195</v>
      </c>
      <c r="G36" s="243">
        <f>$E36*'11a. AF by class'!G32/'11a. AF by class'!$E32</f>
        <v>215110.04091653353</v>
      </c>
      <c r="H36" s="243">
        <f>$E36*'11a. AF by class'!H32/'11a. AF by class'!$E32</f>
        <v>343868.87031243654</v>
      </c>
      <c r="I36" s="243">
        <f>$E36*'11a. AF by class'!I32/'11a. AF by class'!$E32</f>
        <v>152909.1416534445</v>
      </c>
      <c r="J36" s="243">
        <f>$E36*'11a. AF by class'!J32/'11a. AF by class'!$E32</f>
        <v>12468.329209360407</v>
      </c>
      <c r="K36" s="243">
        <f>$E36*'11a. AF by class'!K32/'11a. AF by class'!$E32</f>
        <v>841.42098958873919</v>
      </c>
      <c r="L36" s="243">
        <f>$E36*'11a. AF by class'!L32/'11a. AF by class'!$E32</f>
        <v>0</v>
      </c>
      <c r="M36" s="243">
        <f>$E36*'11a. AF by class'!M32/'11a. AF by class'!$E32</f>
        <v>2354.98436422441</v>
      </c>
      <c r="N36" s="244">
        <f>$E36*'11a. AF by class'!N32/'11a. AF by class'!$E32</f>
        <v>0</v>
      </c>
      <c r="P36" s="32">
        <f t="shared" si="4"/>
        <v>1602222.1449738399</v>
      </c>
      <c r="Q36" s="32">
        <f t="shared" si="5"/>
        <v>0</v>
      </c>
    </row>
    <row r="37" spans="1:17" x14ac:dyDescent="0.3">
      <c r="A37" s="157"/>
      <c r="B37" s="35" t="s">
        <v>932</v>
      </c>
      <c r="C37" s="35"/>
      <c r="D37" s="35"/>
      <c r="E37" s="243">
        <f>'9b. Summary Schedules-sf'!V198</f>
        <v>2458673.9305071835</v>
      </c>
      <c r="F37" s="243">
        <f>$E37*'11a. AF by class'!F33/'11a. AF by class'!$E33</f>
        <v>0</v>
      </c>
      <c r="G37" s="243">
        <f>$E37*'11a. AF by class'!G33/'11a. AF by class'!$E33</f>
        <v>0</v>
      </c>
      <c r="H37" s="243">
        <f>$E37*'11a. AF by class'!H33/'11a. AF by class'!$E33</f>
        <v>0</v>
      </c>
      <c r="I37" s="243">
        <f>$E37*'11a. AF by class'!I33/'11a. AF by class'!$E33</f>
        <v>0</v>
      </c>
      <c r="J37" s="243">
        <f>$E37*'11a. AF by class'!J33/'11a. AF by class'!$E33</f>
        <v>0</v>
      </c>
      <c r="K37" s="243">
        <f>$E37*'11a. AF by class'!K33/'11a. AF by class'!$E33</f>
        <v>0</v>
      </c>
      <c r="L37" s="243">
        <f>$E37*'11a. AF by class'!L33/'11a. AF by class'!$E33</f>
        <v>0</v>
      </c>
      <c r="M37" s="243">
        <f>$E37*'11a. AF by class'!M33/'11a. AF by class'!$E33</f>
        <v>0</v>
      </c>
      <c r="N37" s="244">
        <f>$E37*'11a. AF by class'!N33/'11a. AF by class'!$E33</f>
        <v>2458673.9305071835</v>
      </c>
      <c r="P37" s="32">
        <f t="shared" si="4"/>
        <v>2458673.9305071835</v>
      </c>
      <c r="Q37" s="32">
        <f t="shared" si="5"/>
        <v>0</v>
      </c>
    </row>
    <row r="38" spans="1:17" x14ac:dyDescent="0.3">
      <c r="A38" s="157"/>
      <c r="B38" s="35" t="s">
        <v>1013</v>
      </c>
      <c r="C38" s="35"/>
      <c r="D38" s="35"/>
      <c r="E38" s="580">
        <f>'9b. Summary Schedules-sf'!W198</f>
        <v>270572.53306637221</v>
      </c>
      <c r="F38" s="580">
        <f>$E38*'11a. AF by class'!F34/'11a. AF by class'!$E34</f>
        <v>94336.067985083675</v>
      </c>
      <c r="G38" s="580">
        <f>$E38*'11a. AF by class'!G34/'11a. AF by class'!$E34</f>
        <v>25314.121979186537</v>
      </c>
      <c r="H38" s="580">
        <f>$E38*'11a. AF by class'!H34/'11a. AF by class'!$E34</f>
        <v>61528.519309703195</v>
      </c>
      <c r="I38" s="580">
        <f>$E38*'11a. AF by class'!I34/'11a. AF by class'!$E34</f>
        <v>39926.075134948114</v>
      </c>
      <c r="J38" s="580">
        <f>$E38*'11a. AF by class'!J34/'11a. AF by class'!$E34</f>
        <v>19258.757857971032</v>
      </c>
      <c r="K38" s="580">
        <f>$E38*'11a. AF by class'!K34/'11a. AF by class'!$E34</f>
        <v>30208.990799479674</v>
      </c>
      <c r="L38" s="580">
        <f>$E38*'11a. AF by class'!L34/'11a. AF by class'!$E34</f>
        <v>0</v>
      </c>
      <c r="M38" s="580">
        <f>$E38*'11a. AF by class'!M34/'11a. AF by class'!$E34</f>
        <v>0</v>
      </c>
      <c r="N38" s="600">
        <f>$E38*'11a. AF by class'!N34/'11a. AF by class'!$E34</f>
        <v>0</v>
      </c>
      <c r="P38" s="32">
        <f t="shared" si="4"/>
        <v>270572.53306637227</v>
      </c>
      <c r="Q38" s="32">
        <f t="shared" si="5"/>
        <v>0</v>
      </c>
    </row>
    <row r="39" spans="1:17" x14ac:dyDescent="0.3">
      <c r="A39" s="157"/>
      <c r="B39" s="35" t="s">
        <v>979</v>
      </c>
      <c r="C39" s="35"/>
      <c r="D39" s="35"/>
      <c r="E39" s="243">
        <f t="shared" ref="E39:N39" si="6">SUM(E33:E38)</f>
        <v>17963435.370038889</v>
      </c>
      <c r="F39" s="243">
        <f t="shared" si="6"/>
        <v>10746387.43437711</v>
      </c>
      <c r="G39" s="243">
        <f t="shared" si="6"/>
        <v>2645004.849164166</v>
      </c>
      <c r="H39" s="243">
        <f t="shared" si="6"/>
        <v>1686695.774763647</v>
      </c>
      <c r="I39" s="243">
        <f t="shared" si="6"/>
        <v>227445.90369021095</v>
      </c>
      <c r="J39" s="243">
        <f t="shared" si="6"/>
        <v>34695.298602086667</v>
      </c>
      <c r="K39" s="243">
        <f t="shared" si="6"/>
        <v>31536.147010230281</v>
      </c>
      <c r="L39" s="243">
        <f t="shared" si="6"/>
        <v>21.258631102159804</v>
      </c>
      <c r="M39" s="243">
        <f t="shared" si="6"/>
        <v>33325.452778768078</v>
      </c>
      <c r="N39" s="244">
        <f t="shared" si="6"/>
        <v>2558323.2510215654</v>
      </c>
      <c r="P39" s="32">
        <f t="shared" si="4"/>
        <v>17963435.370038886</v>
      </c>
      <c r="Q39" s="32">
        <f t="shared" si="5"/>
        <v>0</v>
      </c>
    </row>
    <row r="40" spans="1:17" x14ac:dyDescent="0.3">
      <c r="A40" s="157"/>
      <c r="B40" s="35"/>
      <c r="C40" s="35"/>
      <c r="D40" s="35"/>
      <c r="E40" s="243"/>
      <c r="F40" s="243"/>
      <c r="G40" s="243"/>
      <c r="H40" s="243"/>
      <c r="I40" s="243"/>
      <c r="J40" s="243"/>
      <c r="K40" s="243"/>
      <c r="L40" s="243"/>
      <c r="M40" s="243"/>
      <c r="N40" s="244"/>
    </row>
    <row r="41" spans="1:17" x14ac:dyDescent="0.3">
      <c r="A41" s="157"/>
      <c r="B41" s="35" t="s">
        <v>543</v>
      </c>
      <c r="C41" s="35"/>
      <c r="D41" s="35"/>
      <c r="E41" s="243">
        <f t="shared" ref="E41:N41" si="7">SUM(E30,E39)</f>
        <v>49907018.187806904</v>
      </c>
      <c r="F41" s="243">
        <f t="shared" si="7"/>
        <v>24359980.069106571</v>
      </c>
      <c r="G41" s="243">
        <f t="shared" si="7"/>
        <v>6906538.7369710449</v>
      </c>
      <c r="H41" s="243">
        <f t="shared" si="7"/>
        <v>8213698.8589122314</v>
      </c>
      <c r="I41" s="243">
        <f t="shared" si="7"/>
        <v>3953482.7651651329</v>
      </c>
      <c r="J41" s="243">
        <f t="shared" si="7"/>
        <v>1536184.0020639093</v>
      </c>
      <c r="K41" s="243">
        <f t="shared" si="7"/>
        <v>1998449.3904007266</v>
      </c>
      <c r="L41" s="243">
        <f t="shared" si="7"/>
        <v>214654.52352326369</v>
      </c>
      <c r="M41" s="243">
        <f t="shared" si="7"/>
        <v>36328.689898080833</v>
      </c>
      <c r="N41" s="244">
        <f t="shared" si="7"/>
        <v>2687701.1517659333</v>
      </c>
      <c r="P41" s="32">
        <f>SUM(F41:O41)</f>
        <v>49907018.187806897</v>
      </c>
      <c r="Q41" s="32">
        <f>E41-P41</f>
        <v>0</v>
      </c>
    </row>
    <row r="42" spans="1:17" x14ac:dyDescent="0.3">
      <c r="A42" s="157"/>
      <c r="B42" s="35"/>
      <c r="C42" s="35"/>
      <c r="D42" s="35"/>
      <c r="E42" s="243"/>
      <c r="F42" s="243"/>
      <c r="G42" s="243"/>
      <c r="H42" s="243"/>
      <c r="I42" s="243"/>
      <c r="J42" s="243"/>
      <c r="K42" s="243"/>
      <c r="L42" s="243"/>
      <c r="M42" s="243"/>
      <c r="N42" s="244"/>
    </row>
    <row r="43" spans="1:17" x14ac:dyDescent="0.3">
      <c r="A43" s="157" t="s">
        <v>907</v>
      </c>
      <c r="B43" s="35"/>
      <c r="C43" s="35"/>
      <c r="D43" s="35"/>
      <c r="E43" s="243"/>
      <c r="F43" s="243"/>
      <c r="G43" s="243"/>
      <c r="H43" s="243"/>
      <c r="I43" s="243"/>
      <c r="J43" s="243"/>
      <c r="K43" s="243"/>
      <c r="L43" s="243"/>
      <c r="M43" s="243"/>
      <c r="N43" s="244"/>
    </row>
    <row r="44" spans="1:17" x14ac:dyDescent="0.3">
      <c r="A44" s="157"/>
      <c r="B44" s="35" t="s">
        <v>907</v>
      </c>
      <c r="C44" s="35"/>
      <c r="D44" s="35"/>
      <c r="E44" s="243">
        <f>'9b. Summary Schedules-sf'!Y198</f>
        <v>7143171.7531899298</v>
      </c>
      <c r="F44" s="243">
        <f>$E44*'11a. AF by class'!F40/'11a. AF by class'!$E40</f>
        <v>3794851.7897890192</v>
      </c>
      <c r="G44" s="243">
        <f>$E44*'11a. AF by class'!G40/'11a. AF by class'!$E40</f>
        <v>919823.72461991804</v>
      </c>
      <c r="H44" s="243">
        <f>$E44*'11a. AF by class'!H40/'11a. AF by class'!$E40</f>
        <v>1997189.9880888723</v>
      </c>
      <c r="I44" s="243">
        <f>$E44*'11a. AF by class'!I40/'11a. AF by class'!$E40</f>
        <v>312872.87554691691</v>
      </c>
      <c r="J44" s="243">
        <f>$E44*'11a. AF by class'!J40/'11a. AF by class'!$E40</f>
        <v>27811.34915064463</v>
      </c>
      <c r="K44" s="243">
        <f>$E44*'11a. AF by class'!K40/'11a. AF by class'!$E40</f>
        <v>69481.695490342478</v>
      </c>
      <c r="L44" s="243">
        <f>$E44*'11a. AF by class'!L40/'11a. AF by class'!$E40</f>
        <v>8423.9565143284017</v>
      </c>
      <c r="M44" s="243">
        <f>$E44*'11a. AF by class'!M40/'11a. AF by class'!$E40</f>
        <v>12716.37398988663</v>
      </c>
      <c r="N44" s="244">
        <f>$E44*'11a. AF by class'!N40/'11a. AF by class'!$E40</f>
        <v>0</v>
      </c>
      <c r="P44" s="32">
        <f>SUM(F44:O44)</f>
        <v>7143171.7531899288</v>
      </c>
      <c r="Q44" s="32">
        <f>E44-P44</f>
        <v>0</v>
      </c>
    </row>
    <row r="45" spans="1:17" x14ac:dyDescent="0.3">
      <c r="A45" s="157"/>
      <c r="B45" s="35" t="s">
        <v>996</v>
      </c>
      <c r="C45" s="35"/>
      <c r="D45" s="35"/>
      <c r="E45" s="580">
        <f>'9b. Summary Schedules-sf'!Z198</f>
        <v>2159005.0916639189</v>
      </c>
      <c r="F45" s="580">
        <f>$E45*'11a. AF by class'!F41/'11a. AF by class'!$E41</f>
        <v>1392659.4677697839</v>
      </c>
      <c r="G45" s="580">
        <f>$E45*'11a. AF by class'!G41/'11a. AF by class'!$E41</f>
        <v>342500.89192712994</v>
      </c>
      <c r="H45" s="580">
        <f>$E45*'11a. AF by class'!H41/'11a. AF by class'!$E41</f>
        <v>365008.20475006092</v>
      </c>
      <c r="I45" s="580">
        <f>$E45*'11a. AF by class'!I41/'11a. AF by class'!$E41</f>
        <v>49667.111305147497</v>
      </c>
      <c r="J45" s="580">
        <f>$E45*'11a. AF by class'!J41/'11a. AF by class'!$E41</f>
        <v>4384.541459012531</v>
      </c>
      <c r="K45" s="580">
        <f>$E45*'11a. AF by class'!K41/'11a. AF by class'!$E41</f>
        <v>949.98398278604839</v>
      </c>
      <c r="L45" s="580">
        <f>$E45*'11a. AF by class'!L41/'11a. AF by class'!$E41</f>
        <v>85.254972814132529</v>
      </c>
      <c r="M45" s="580">
        <f>$E45*'11a. AF by class'!M41/'11a. AF by class'!$E41</f>
        <v>3749.6354971838546</v>
      </c>
      <c r="N45" s="600">
        <f>$E45*'11a. AF by class'!N41/'11a. AF by class'!$E41</f>
        <v>0</v>
      </c>
      <c r="P45" s="32">
        <f>SUM(F45:O45)</f>
        <v>2159005.0916639189</v>
      </c>
      <c r="Q45" s="32">
        <f>E45-P45</f>
        <v>0</v>
      </c>
    </row>
    <row r="46" spans="1:17" x14ac:dyDescent="0.3">
      <c r="A46" s="157"/>
      <c r="B46" s="35" t="s">
        <v>997</v>
      </c>
      <c r="C46" s="35"/>
      <c r="D46" s="35"/>
      <c r="E46" s="243">
        <f>E44+E45</f>
        <v>9302176.8448538482</v>
      </c>
      <c r="F46" s="243">
        <f t="shared" ref="F46:N46" si="8">SUM(F44:F45)</f>
        <v>5187511.2575588031</v>
      </c>
      <c r="G46" s="243">
        <f t="shared" si="8"/>
        <v>1262324.6165470481</v>
      </c>
      <c r="H46" s="243">
        <f t="shared" si="8"/>
        <v>2362198.1928389333</v>
      </c>
      <c r="I46" s="243">
        <f t="shared" si="8"/>
        <v>362539.98685206438</v>
      </c>
      <c r="J46" s="243">
        <f t="shared" si="8"/>
        <v>32195.890609657159</v>
      </c>
      <c r="K46" s="243">
        <f t="shared" si="8"/>
        <v>70431.679473128519</v>
      </c>
      <c r="L46" s="243">
        <f t="shared" si="8"/>
        <v>8509.2114871425347</v>
      </c>
      <c r="M46" s="243">
        <f t="shared" si="8"/>
        <v>16466.009487070485</v>
      </c>
      <c r="N46" s="244">
        <f t="shared" si="8"/>
        <v>0</v>
      </c>
      <c r="P46" s="32">
        <f>SUM(F46:O46)</f>
        <v>9302176.8448538482</v>
      </c>
      <c r="Q46" s="32">
        <f>E46-P46</f>
        <v>0</v>
      </c>
    </row>
    <row r="47" spans="1:17" x14ac:dyDescent="0.3">
      <c r="A47" s="157"/>
      <c r="B47" s="35"/>
      <c r="C47" s="35"/>
      <c r="D47" s="35"/>
      <c r="E47" s="243"/>
      <c r="F47" s="243"/>
      <c r="G47" s="243"/>
      <c r="H47" s="243"/>
      <c r="I47" s="243"/>
      <c r="J47" s="243"/>
      <c r="K47" s="243"/>
      <c r="L47" s="243"/>
      <c r="M47" s="243"/>
      <c r="N47" s="244"/>
    </row>
    <row r="48" spans="1:17" x14ac:dyDescent="0.3">
      <c r="A48" s="157" t="s">
        <v>84</v>
      </c>
      <c r="B48" s="35"/>
      <c r="C48" s="35"/>
      <c r="D48" s="35"/>
      <c r="E48" s="243">
        <f>'9b. Summary Schedules-sf'!AA198</f>
        <v>805306.66363347939</v>
      </c>
      <c r="F48" s="243">
        <f>$E48*'11a. AF by class'!F44/'11a. AF by class'!$E44</f>
        <v>483182.72204960318</v>
      </c>
      <c r="G48" s="243">
        <f>$E48*'11a. AF by class'!G44/'11a. AF by class'!$E44</f>
        <v>118830.566334199</v>
      </c>
      <c r="H48" s="243">
        <f>$E48*'11a. AF by class'!H44/'11a. AF by class'!$E44</f>
        <v>189959.20613386563</v>
      </c>
      <c r="I48" s="243">
        <f>$E48*'11a. AF by class'!I44/'11a. AF by class'!$E44</f>
        <v>8615.9935691934934</v>
      </c>
      <c r="J48" s="243">
        <f>$E48*'11a. AF by class'!J44/'11a. AF by class'!$E44</f>
        <v>760.60757354331975</v>
      </c>
      <c r="K48" s="243">
        <f>$E48*'11a. AF by class'!K44/'11a. AF by class'!$E44</f>
        <v>164.79830760105261</v>
      </c>
      <c r="L48" s="243">
        <f>$E48*'11a. AF by class'!L44/'11a. AF by class'!$E44</f>
        <v>29.579183415573546</v>
      </c>
      <c r="M48" s="243">
        <f>$E48*'11a. AF by class'!M44/'11a. AF by class'!$E44</f>
        <v>1300.9347425932326</v>
      </c>
      <c r="N48" s="244">
        <f>$E48*'11a. AF by class'!N44/'11a. AF by class'!$E44</f>
        <v>2462.255739464958</v>
      </c>
      <c r="P48" s="32">
        <f>SUM(F48:O48)</f>
        <v>805306.6636334795</v>
      </c>
      <c r="Q48" s="32">
        <f>E48-P48</f>
        <v>0</v>
      </c>
    </row>
    <row r="49" spans="1:17" x14ac:dyDescent="0.3">
      <c r="A49" s="157"/>
      <c r="B49" s="35"/>
      <c r="C49" s="35"/>
      <c r="D49" s="35"/>
      <c r="E49" s="243"/>
      <c r="F49" s="243"/>
      <c r="G49" s="243"/>
      <c r="H49" s="243"/>
      <c r="I49" s="243"/>
      <c r="J49" s="243"/>
      <c r="K49" s="243"/>
      <c r="L49" s="243"/>
      <c r="M49" s="243"/>
      <c r="N49" s="244"/>
    </row>
    <row r="50" spans="1:17" x14ac:dyDescent="0.3">
      <c r="A50" s="157" t="s">
        <v>82</v>
      </c>
      <c r="B50" s="35"/>
      <c r="C50" s="35"/>
      <c r="D50" s="35"/>
      <c r="E50" s="243"/>
      <c r="F50" s="243"/>
      <c r="G50" s="243"/>
      <c r="H50" s="243"/>
      <c r="I50" s="243"/>
      <c r="J50" s="243"/>
      <c r="K50" s="243"/>
      <c r="L50" s="243"/>
      <c r="M50" s="243"/>
      <c r="N50" s="244"/>
    </row>
    <row r="51" spans="1:17" x14ac:dyDescent="0.3">
      <c r="A51" s="157"/>
      <c r="B51" s="35" t="s">
        <v>81</v>
      </c>
      <c r="C51" s="35"/>
      <c r="D51" s="35"/>
      <c r="E51" s="243">
        <f>'9b. Summary Schedules-sf'!AC198</f>
        <v>4729186.4168819031</v>
      </c>
      <c r="F51" s="243">
        <f>$E51*'11a. AF by class'!F47/'11a. AF by class'!$E47</f>
        <v>3404238.7391990111</v>
      </c>
      <c r="G51" s="243">
        <f>$E51*'11a. AF by class'!G47/'11a. AF by class'!$E47</f>
        <v>837214.57505740377</v>
      </c>
      <c r="H51" s="243">
        <f>$E51*'11a. AF by class'!H47/'11a. AF by class'!$E47</f>
        <v>446115.90252048901</v>
      </c>
      <c r="I51" s="243">
        <f>$E51*'11a. AF by class'!I47/'11a. AF by class'!$E47</f>
        <v>12140.706919535489</v>
      </c>
      <c r="J51" s="243">
        <f>$E51*'11a. AF by class'!J47/'11a. AF by class'!$E47</f>
        <v>1071.7642204592389</v>
      </c>
      <c r="K51" s="243">
        <f>$E51*'11a. AF by class'!K47/'11a. AF by class'!$E47</f>
        <v>232.21558109950175</v>
      </c>
      <c r="L51" s="243">
        <f>$E51*'11a. AF by class'!L47/'11a. AF by class'!$E47</f>
        <v>41.679719684525956</v>
      </c>
      <c r="M51" s="243">
        <f>$E51*'11a. AF by class'!M47/'11a. AF by class'!$E47</f>
        <v>10783.138906953787</v>
      </c>
      <c r="N51" s="244">
        <f>$E51*'11a. AF by class'!N47/'11a. AF by class'!$E47</f>
        <v>17347.694757266625</v>
      </c>
      <c r="P51" s="32">
        <f>SUM(F51:O51)</f>
        <v>4729186.4168819031</v>
      </c>
      <c r="Q51" s="32">
        <f>E51-P51</f>
        <v>0</v>
      </c>
    </row>
    <row r="52" spans="1:17" x14ac:dyDescent="0.3">
      <c r="A52" s="157"/>
      <c r="B52" s="35" t="s">
        <v>1007</v>
      </c>
      <c r="C52" s="35"/>
      <c r="D52" s="35"/>
      <c r="E52" s="243">
        <f>'9b. Summary Schedules-sf'!AD198</f>
        <v>172964.8758875379</v>
      </c>
      <c r="F52" s="243">
        <f>$E52*'11a. AF by class'!F48/'11a. AF by class'!$E48</f>
        <v>60040.450123006791</v>
      </c>
      <c r="G52" s="243">
        <f>$E52*'11a. AF by class'!G48/'11a. AF by class'!$E48</f>
        <v>16111.242609129942</v>
      </c>
      <c r="H52" s="243">
        <f>$E52*'11a. AF by class'!H48/'11a. AF by class'!$E48</f>
        <v>39159.995467913905</v>
      </c>
      <c r="I52" s="243">
        <f>$E52*'11a. AF by class'!I48/'11a. AF by class'!$E48</f>
        <v>25411.060413566454</v>
      </c>
      <c r="J52" s="243">
        <f>$E52*'11a. AF by class'!J48/'11a. AF by class'!$E48</f>
        <v>12257.289447185871</v>
      </c>
      <c r="K52" s="243">
        <f>$E52*'11a. AF by class'!K48/'11a. AF by class'!$E48</f>
        <v>19226.59534261403</v>
      </c>
      <c r="L52" s="243">
        <f>$E52*'11a. AF by class'!L48/'11a. AF by class'!$E48</f>
        <v>0</v>
      </c>
      <c r="M52" s="243">
        <f>$E52*'11a. AF by class'!M48/'11a. AF by class'!$E48</f>
        <v>34.539573804127158</v>
      </c>
      <c r="N52" s="244">
        <f>$E52*'11a. AF by class'!N48/'11a. AF by class'!$E48</f>
        <v>723.70291031678505</v>
      </c>
      <c r="P52" s="32">
        <f>SUM(F52:O52)</f>
        <v>172964.8758875379</v>
      </c>
      <c r="Q52" s="32">
        <f>E52-P52</f>
        <v>0</v>
      </c>
    </row>
    <row r="53" spans="1:17" x14ac:dyDescent="0.3">
      <c r="A53" s="157"/>
      <c r="B53" s="35" t="s">
        <v>1008</v>
      </c>
      <c r="C53" s="35"/>
      <c r="D53" s="35"/>
      <c r="E53" s="580">
        <f>'9b. Summary Schedules-sf'!AE198</f>
        <v>0</v>
      </c>
      <c r="F53" s="580">
        <f>$E53*'11a. AF by class'!F49/'11a. AF by class'!$E49</f>
        <v>0</v>
      </c>
      <c r="G53" s="580">
        <f>$E53*'11a. AF by class'!G49/'11a. AF by class'!$E49</f>
        <v>0</v>
      </c>
      <c r="H53" s="580">
        <f>$E53*'11a. AF by class'!H49/'11a. AF by class'!$E49</f>
        <v>0</v>
      </c>
      <c r="I53" s="580">
        <f>$E53*'11a. AF by class'!I49/'11a. AF by class'!$E49</f>
        <v>0</v>
      </c>
      <c r="J53" s="580">
        <f>$E53*'11a. AF by class'!J49/'11a. AF by class'!$E49</f>
        <v>0</v>
      </c>
      <c r="K53" s="580">
        <f>$E53*'11a. AF by class'!K49/'11a. AF by class'!$E49</f>
        <v>0</v>
      </c>
      <c r="L53" s="580">
        <f>$E53*'11a. AF by class'!L49/'11a. AF by class'!$E49</f>
        <v>0</v>
      </c>
      <c r="M53" s="580">
        <f>$E53*'11a. AF by class'!M49/'11a. AF by class'!$E49</f>
        <v>0</v>
      </c>
      <c r="N53" s="600">
        <f>$E53*'11a. AF by class'!N49/'11a. AF by class'!$E49</f>
        <v>0</v>
      </c>
      <c r="P53" s="32">
        <f>SUM(F53:O53)</f>
        <v>0</v>
      </c>
      <c r="Q53" s="32">
        <f>E53-P53</f>
        <v>0</v>
      </c>
    </row>
    <row r="54" spans="1:17" x14ac:dyDescent="0.3">
      <c r="A54" s="157"/>
      <c r="B54" s="35" t="s">
        <v>83</v>
      </c>
      <c r="C54" s="35"/>
      <c r="D54" s="35"/>
      <c r="E54" s="243">
        <f t="shared" ref="E54:N54" si="9">SUM(E51:E53)</f>
        <v>4902151.2927694414</v>
      </c>
      <c r="F54" s="243">
        <f t="shared" si="9"/>
        <v>3464279.1893220181</v>
      </c>
      <c r="G54" s="243">
        <f t="shared" si="9"/>
        <v>853325.81766653375</v>
      </c>
      <c r="H54" s="243">
        <f t="shared" si="9"/>
        <v>485275.89798840292</v>
      </c>
      <c r="I54" s="243">
        <f t="shared" si="9"/>
        <v>37551.767333101947</v>
      </c>
      <c r="J54" s="243">
        <f t="shared" si="9"/>
        <v>13329.05366764511</v>
      </c>
      <c r="K54" s="243">
        <f t="shared" si="9"/>
        <v>19458.810923713532</v>
      </c>
      <c r="L54" s="243">
        <f t="shared" si="9"/>
        <v>41.679719684525956</v>
      </c>
      <c r="M54" s="243">
        <f t="shared" si="9"/>
        <v>10817.678480757915</v>
      </c>
      <c r="N54" s="244">
        <f t="shared" si="9"/>
        <v>18071.397667583409</v>
      </c>
      <c r="P54" s="32">
        <f>SUM(F54:O54)</f>
        <v>4902151.2927694404</v>
      </c>
      <c r="Q54" s="32">
        <f>E54-P54</f>
        <v>0</v>
      </c>
    </row>
    <row r="55" spans="1:17" x14ac:dyDescent="0.3">
      <c r="A55" s="157"/>
      <c r="B55" s="35"/>
      <c r="C55" s="35"/>
      <c r="D55" s="35"/>
      <c r="E55" s="243"/>
      <c r="F55" s="243"/>
      <c r="G55" s="243"/>
      <c r="H55" s="243"/>
      <c r="I55" s="243"/>
      <c r="J55" s="243"/>
      <c r="K55" s="243"/>
      <c r="L55" s="243"/>
      <c r="M55" s="243"/>
      <c r="N55" s="244"/>
    </row>
    <row r="56" spans="1:17" x14ac:dyDescent="0.3">
      <c r="A56" s="157" t="s">
        <v>912</v>
      </c>
      <c r="B56" s="35"/>
      <c r="C56" s="35"/>
      <c r="D56" s="53"/>
      <c r="E56" s="243"/>
      <c r="F56" s="243"/>
      <c r="G56" s="243"/>
      <c r="H56" s="243"/>
      <c r="I56" s="243"/>
      <c r="J56" s="243"/>
      <c r="K56" s="243"/>
      <c r="L56" s="243"/>
      <c r="M56" s="243"/>
      <c r="N56" s="244"/>
    </row>
    <row r="57" spans="1:17" x14ac:dyDescent="0.3">
      <c r="A57" s="157"/>
      <c r="B57" s="35" t="s">
        <v>1006</v>
      </c>
      <c r="C57" s="35"/>
      <c r="D57" s="53"/>
      <c r="E57" s="580">
        <f>'9b. Summary Schedules-sf'!AG198</f>
        <v>2882773.7500933162</v>
      </c>
      <c r="F57" s="580">
        <f>$E57*'11a. AF by class'!F53/'11a. AF by class'!$E53</f>
        <v>1000683.1310128531</v>
      </c>
      <c r="G57" s="580">
        <f>$E57*'11a. AF by class'!G53/'11a. AF by class'!$E53</f>
        <v>268523.11509293609</v>
      </c>
      <c r="H57" s="580">
        <f>$E57*'11a. AF by class'!H53/'11a. AF by class'!$E53</f>
        <v>652672.43658230559</v>
      </c>
      <c r="I57" s="580">
        <f>$E57*'11a. AF by class'!I53/'11a. AF by class'!$E53</f>
        <v>423521.46669301169</v>
      </c>
      <c r="J57" s="580">
        <f>$E57*'11a. AF by class'!J53/'11a. AF by class'!$E53</f>
        <v>204289.98711055142</v>
      </c>
      <c r="K57" s="580">
        <f>$E57*'11a. AF by class'!K53/'11a. AF by class'!$E53</f>
        <v>320446.12568272057</v>
      </c>
      <c r="L57" s="580">
        <f>$E57*'11a. AF by class'!L53/'11a. AF by class'!$E53</f>
        <v>0</v>
      </c>
      <c r="M57" s="580">
        <f>$E57*'11a. AF by class'!M53/'11a. AF by class'!$E53</f>
        <v>575.6647191577149</v>
      </c>
      <c r="N57" s="600">
        <f>$E57*'11a. AF by class'!N53/'11a. AF by class'!$E53</f>
        <v>12061.823199779956</v>
      </c>
      <c r="P57" s="32">
        <f>SUM(F57:O57)</f>
        <v>2882773.7500933157</v>
      </c>
      <c r="Q57" s="32">
        <f>E57-P57</f>
        <v>0</v>
      </c>
    </row>
    <row r="58" spans="1:17" x14ac:dyDescent="0.3">
      <c r="A58" s="157"/>
      <c r="B58" s="35" t="s">
        <v>1014</v>
      </c>
      <c r="C58" s="35"/>
      <c r="D58" s="53"/>
      <c r="E58" s="243">
        <f t="shared" ref="E58:N58" si="10">SUM(E57:E57)</f>
        <v>2882773.7500933162</v>
      </c>
      <c r="F58" s="243">
        <f t="shared" si="10"/>
        <v>1000683.1310128531</v>
      </c>
      <c r="G58" s="243">
        <f t="shared" si="10"/>
        <v>268523.11509293609</v>
      </c>
      <c r="H58" s="243">
        <f t="shared" si="10"/>
        <v>652672.43658230559</v>
      </c>
      <c r="I58" s="243">
        <f t="shared" si="10"/>
        <v>423521.46669301169</v>
      </c>
      <c r="J58" s="243">
        <f t="shared" si="10"/>
        <v>204289.98711055142</v>
      </c>
      <c r="K58" s="243">
        <f t="shared" si="10"/>
        <v>320446.12568272057</v>
      </c>
      <c r="L58" s="243">
        <f t="shared" si="10"/>
        <v>0</v>
      </c>
      <c r="M58" s="243">
        <f t="shared" si="10"/>
        <v>575.6647191577149</v>
      </c>
      <c r="N58" s="244">
        <f t="shared" si="10"/>
        <v>12061.823199779956</v>
      </c>
      <c r="P58" s="32">
        <f>SUM(F58:O58)</f>
        <v>2882773.7500933157</v>
      </c>
      <c r="Q58" s="32">
        <f>E58-P58</f>
        <v>0</v>
      </c>
    </row>
    <row r="59" spans="1:17" x14ac:dyDescent="0.3">
      <c r="A59" s="157"/>
      <c r="B59" s="35"/>
      <c r="C59" s="35"/>
      <c r="D59" s="35"/>
      <c r="E59" s="243"/>
      <c r="F59" s="243"/>
      <c r="G59" s="243"/>
      <c r="H59" s="243"/>
      <c r="I59" s="243"/>
      <c r="J59" s="243"/>
      <c r="K59" s="243"/>
      <c r="L59" s="243"/>
      <c r="M59" s="243"/>
      <c r="N59" s="244"/>
    </row>
    <row r="60" spans="1:17" x14ac:dyDescent="0.3">
      <c r="A60" s="157" t="s">
        <v>913</v>
      </c>
      <c r="B60" s="35"/>
      <c r="C60" s="35"/>
      <c r="D60" s="35"/>
      <c r="E60" s="243">
        <f>'9b. Summary Schedules-sf'!AH198</f>
        <v>-539249.03863159684</v>
      </c>
      <c r="F60" s="243">
        <f>$E60*'11a. AF by class'!F56/'11a. AF by class'!$E56</f>
        <v>-214472.81805185089</v>
      </c>
      <c r="G60" s="243">
        <f>$E60*'11a. AF by class'!G56/'11a. AF by class'!$E56</f>
        <v>-54980.443069905239</v>
      </c>
      <c r="H60" s="243">
        <f>$E60*'11a. AF by class'!H56/'11a. AF by class'!$E56</f>
        <v>-126436.59561966301</v>
      </c>
      <c r="I60" s="243">
        <f>$E60*'11a. AF by class'!I56/'11a. AF by class'!$E56</f>
        <v>-71107.0592704913</v>
      </c>
      <c r="J60" s="243">
        <f>$E60*'11a. AF by class'!J56/'11a. AF by class'!$E56</f>
        <v>-30842.233540346981</v>
      </c>
      <c r="K60" s="243">
        <f>$E60*'11a. AF by class'!K56/'11a. AF by class'!$E56</f>
        <v>-41408.883318138403</v>
      </c>
      <c r="L60" s="243">
        <f>$E60*'11a. AF by class'!L56/'11a. AF by class'!$E56</f>
        <v>0</v>
      </c>
      <c r="M60" s="243">
        <f>$E60*'11a. AF by class'!M56/'11a. AF by class'!$E56</f>
        <v>0</v>
      </c>
      <c r="N60" s="244">
        <f>$E60*'11a. AF by class'!N56/'11a. AF by class'!$E56</f>
        <v>-1.0057612009757702</v>
      </c>
      <c r="P60" s="32">
        <f>SUM(F60:O60)</f>
        <v>-539249.03863159684</v>
      </c>
      <c r="Q60" s="32">
        <f>E60-P60</f>
        <v>0</v>
      </c>
    </row>
    <row r="61" spans="1:17" x14ac:dyDescent="0.3">
      <c r="A61" s="157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158"/>
    </row>
    <row r="62" spans="1:17" x14ac:dyDescent="0.3">
      <c r="A62" s="157" t="s">
        <v>1001</v>
      </c>
      <c r="B62" s="35"/>
      <c r="C62" s="35"/>
      <c r="D62" s="35"/>
      <c r="E62" s="35">
        <f>SUM(E18,E20,E22,E41,E46,E48,E54,E58,E60)</f>
        <v>229042090.21174064</v>
      </c>
      <c r="F62" s="35">
        <f t="shared" ref="F62:N62" si="11">SUM(F18,F20,F22,F41,F46,F48,F54,F58,F60)</f>
        <v>94891124.855834335</v>
      </c>
      <c r="G62" s="35">
        <f t="shared" si="11"/>
        <v>26386232.455010723</v>
      </c>
      <c r="H62" s="35">
        <f t="shared" si="11"/>
        <v>46321776.971647538</v>
      </c>
      <c r="I62" s="35">
        <f t="shared" si="11"/>
        <v>26090986.789762959</v>
      </c>
      <c r="J62" s="35">
        <f t="shared" si="11"/>
        <v>11329566.570956284</v>
      </c>
      <c r="K62" s="35">
        <f t="shared" si="11"/>
        <v>17076337.012248825</v>
      </c>
      <c r="L62" s="35">
        <f t="shared" si="11"/>
        <v>3499430.1208654838</v>
      </c>
      <c r="M62" s="35">
        <f t="shared" si="11"/>
        <v>88831.543001707178</v>
      </c>
      <c r="N62" s="158">
        <f t="shared" si="11"/>
        <v>3357803.8924128469</v>
      </c>
      <c r="P62" s="32">
        <f>SUM(F62:O62)</f>
        <v>229042090.2117407</v>
      </c>
      <c r="Q62" s="32">
        <f>E62-P62</f>
        <v>0</v>
      </c>
    </row>
    <row r="63" spans="1:17" ht="13.5" thickBot="1" x14ac:dyDescent="0.35">
      <c r="A63" s="33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161"/>
    </row>
  </sheetData>
  <customSheetViews>
    <customSheetView guid="{121E4431-22F3-11D5-8242-00600818425F}" scale="75" showRuler="0">
      <pane xSplit="2" ySplit="7" topLeftCell="C56" activePane="bottomRight" state="frozen"/>
      <selection pane="bottomRight" activeCell="E59" sqref="E59"/>
      <pageMargins left="0" right="0" top="0.5" bottom="0.4" header="0.2" footer="0.2"/>
      <printOptions horizontalCentered="1" gridLines="1"/>
      <pageSetup scale="65" orientation="landscape" horizontalDpi="300" vertic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showRuler="0">
      <pane xSplit="2" ySplit="7" topLeftCell="C56" activePane="bottomRight" state="frozen"/>
      <selection pane="bottomRight" activeCell="E59" sqref="E59"/>
      <pageMargins left="0" right="0" top="0.5" bottom="0.4" header="0.2" footer="0.2"/>
      <printOptions horizontalCentered="1" gridLines="1"/>
      <pageSetup scale="65" orientation="landscape" horizontalDpi="300" vertic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showRuler="0">
      <pane xSplit="2" ySplit="7" topLeftCell="C56" activePane="bottomRight" state="frozen"/>
      <selection pane="bottomRight" activeCell="E59" sqref="E59"/>
      <pageMargins left="0" right="0" top="0.5" bottom="0.4" header="0.2" footer="0.2"/>
      <printOptions horizontalCentered="1" gridLines="1"/>
      <pageSetup scale="65" orientation="landscape" horizontalDpi="300" verticalDpi="30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65" orientation="landscape" horizontalDpi="300" verticalDpi="300" r:id="rId4"/>
  <headerFooter alignWithMargins="0">
    <oddFooter>&amp;L&amp;8&amp;F&amp;C&amp;8&amp;A
page &amp;P&amp;R&amp;8&amp;D
&amp;T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BB63"/>
  <sheetViews>
    <sheetView zoomScale="75" zoomScaleNormal="75" workbookViewId="0">
      <pane xSplit="2" ySplit="7" topLeftCell="C8" activePane="bottomRight" state="frozen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defaultColWidth="9.1796875" defaultRowHeight="13" x14ac:dyDescent="0.3"/>
  <cols>
    <col min="1" max="1" width="4.54296875" style="32" customWidth="1"/>
    <col min="2" max="2" width="32.1796875" style="32" customWidth="1"/>
    <col min="3" max="3" width="15.1796875" style="32" customWidth="1"/>
    <col min="4" max="4" width="11.453125" style="32" customWidth="1"/>
    <col min="5" max="8" width="15" style="32" customWidth="1"/>
    <col min="9" max="16" width="12.54296875" style="32" customWidth="1"/>
    <col min="17" max="17" width="12.453125" style="32" customWidth="1"/>
    <col min="18" max="18" width="13.81640625" style="32" customWidth="1"/>
    <col min="19" max="20" width="9.1796875" style="32"/>
    <col min="21" max="21" width="11.453125" style="32" bestFit="1" customWidth="1"/>
    <col min="22" max="22" width="8.54296875" style="32" bestFit="1" customWidth="1"/>
    <col min="23" max="16384" width="9.1796875" style="32"/>
  </cols>
  <sheetData>
    <row r="1" spans="1:54" x14ac:dyDescent="0.3">
      <c r="A1" s="301" t="str">
        <f>'1. RB-i'!$A$1</f>
        <v>CPS Energy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3"/>
      <c r="O1" s="42"/>
      <c r="P1" s="42"/>
    </row>
    <row r="2" spans="1:54" x14ac:dyDescent="0.3">
      <c r="A2" s="307" t="s">
        <v>1261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98"/>
      <c r="O2" s="35"/>
      <c r="P2" s="35"/>
      <c r="S2" s="1"/>
      <c r="T2" s="1"/>
    </row>
    <row r="3" spans="1:54" x14ac:dyDescent="0.3">
      <c r="A3" s="307" t="str">
        <f>'10l. CP by class'!A3</f>
        <v>Based on FYE 2017 Test Year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98"/>
      <c r="O3" s="31"/>
      <c r="P3" s="31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</row>
    <row r="4" spans="1:54" s="179" customFormat="1" x14ac:dyDescent="0.3">
      <c r="A4" s="304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305"/>
    </row>
    <row r="5" spans="1:54" s="179" customFormat="1" x14ac:dyDescent="0.3">
      <c r="A5" s="304"/>
      <c r="B5" s="196"/>
      <c r="C5" s="196"/>
      <c r="D5" s="196"/>
      <c r="E5" s="196"/>
      <c r="F5" s="196"/>
      <c r="G5" s="196"/>
      <c r="H5" s="199"/>
      <c r="I5" s="199"/>
      <c r="J5" s="199"/>
      <c r="K5" s="196"/>
      <c r="L5" s="196"/>
      <c r="M5" s="196"/>
      <c r="N5" s="305"/>
      <c r="P5" s="179" t="s">
        <v>832</v>
      </c>
    </row>
    <row r="6" spans="1:54" s="179" customFormat="1" x14ac:dyDescent="0.3">
      <c r="A6" s="304"/>
      <c r="B6" s="196"/>
      <c r="C6" s="196" t="s">
        <v>359</v>
      </c>
      <c r="D6" s="196"/>
      <c r="E6" s="196" t="s">
        <v>355</v>
      </c>
      <c r="F6" s="196" t="s">
        <v>961</v>
      </c>
      <c r="G6" s="196" t="s">
        <v>962</v>
      </c>
      <c r="H6" s="196" t="s">
        <v>963</v>
      </c>
      <c r="I6" s="196" t="s">
        <v>964</v>
      </c>
      <c r="J6" s="196" t="s">
        <v>965</v>
      </c>
      <c r="K6" s="196" t="s">
        <v>966</v>
      </c>
      <c r="L6" s="196" t="s">
        <v>967</v>
      </c>
      <c r="M6" s="196" t="s">
        <v>968</v>
      </c>
      <c r="N6" s="305" t="s">
        <v>932</v>
      </c>
      <c r="P6" s="179" t="s">
        <v>833</v>
      </c>
      <c r="Q6" s="179" t="s">
        <v>824</v>
      </c>
    </row>
    <row r="7" spans="1:54" s="179" customFormat="1" ht="13.5" thickBot="1" x14ac:dyDescent="0.35">
      <c r="A7" s="299"/>
      <c r="B7" s="282"/>
      <c r="C7" s="282"/>
      <c r="D7" s="282"/>
      <c r="E7" s="282" t="s">
        <v>816</v>
      </c>
      <c r="F7" s="282" t="s">
        <v>817</v>
      </c>
      <c r="G7" s="282" t="s">
        <v>818</v>
      </c>
      <c r="H7" s="282" t="s">
        <v>819</v>
      </c>
      <c r="I7" s="282" t="s">
        <v>820</v>
      </c>
      <c r="J7" s="282" t="s">
        <v>821</v>
      </c>
      <c r="K7" s="282" t="s">
        <v>822</v>
      </c>
      <c r="L7" s="282" t="s">
        <v>823</v>
      </c>
      <c r="M7" s="282" t="s">
        <v>908</v>
      </c>
      <c r="N7" s="300" t="s">
        <v>914</v>
      </c>
    </row>
    <row r="8" spans="1:54" x14ac:dyDescent="0.3">
      <c r="A8" s="157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158"/>
      <c r="O8" s="35"/>
      <c r="P8" s="35"/>
    </row>
    <row r="9" spans="1:54" x14ac:dyDescent="0.3">
      <c r="A9" s="157" t="s">
        <v>544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158"/>
    </row>
    <row r="10" spans="1:54" x14ac:dyDescent="0.3">
      <c r="A10" s="157"/>
      <c r="B10" s="32" t="s">
        <v>969</v>
      </c>
      <c r="C10" s="35"/>
      <c r="D10" s="35"/>
      <c r="E10" s="243">
        <f>'9b. Summary Schedules-sf'!E208</f>
        <v>0</v>
      </c>
      <c r="F10" s="243">
        <f>$E10*'11a. AF by class'!F10/'11a. AF by class'!$E10</f>
        <v>0</v>
      </c>
      <c r="G10" s="243">
        <f>$E10*'11a. AF by class'!G10/'11a. AF by class'!$E10</f>
        <v>0</v>
      </c>
      <c r="H10" s="243">
        <f>$E10*'11a. AF by class'!H10/'11a. AF by class'!$E10</f>
        <v>0</v>
      </c>
      <c r="I10" s="243">
        <f>$E10*'11a. AF by class'!I10/'11a. AF by class'!$E10</f>
        <v>0</v>
      </c>
      <c r="J10" s="243">
        <f>$E10*'11a. AF by class'!J10/'11a. AF by class'!$E10</f>
        <v>0</v>
      </c>
      <c r="K10" s="243">
        <f>$E10*'11a. AF by class'!K10/'11a. AF by class'!$E10</f>
        <v>0</v>
      </c>
      <c r="L10" s="243">
        <f>$E10*'11a. AF by class'!L10/'11a. AF by class'!$E10</f>
        <v>0</v>
      </c>
      <c r="M10" s="243">
        <f>$E10*'11a. AF by class'!M10/'11a. AF by class'!$E10</f>
        <v>0</v>
      </c>
      <c r="N10" s="244">
        <f>$E10*'11a. AF by class'!N10/'11a. AF by class'!$E10</f>
        <v>0</v>
      </c>
      <c r="P10" s="32">
        <f>SUM(F10:O10)</f>
        <v>0</v>
      </c>
      <c r="Q10" s="32">
        <f>E10-P10</f>
        <v>0</v>
      </c>
    </row>
    <row r="11" spans="1:54" x14ac:dyDescent="0.3">
      <c r="A11" s="157"/>
      <c r="B11" s="32" t="s">
        <v>1140</v>
      </c>
      <c r="C11" s="35"/>
      <c r="D11" s="35"/>
      <c r="E11" s="642"/>
      <c r="F11" s="642"/>
      <c r="G11" s="642"/>
      <c r="H11" s="642"/>
      <c r="I11" s="642"/>
      <c r="J11" s="642"/>
      <c r="K11" s="642"/>
      <c r="L11" s="642"/>
      <c r="M11" s="642"/>
      <c r="N11" s="643"/>
      <c r="O11" s="641"/>
      <c r="P11" s="641"/>
    </row>
    <row r="12" spans="1:54" x14ac:dyDescent="0.3">
      <c r="A12" s="157"/>
      <c r="B12" s="32" t="s">
        <v>1139</v>
      </c>
      <c r="C12" s="35"/>
      <c r="D12" s="35"/>
      <c r="E12" s="642"/>
      <c r="F12" s="642"/>
      <c r="G12" s="642"/>
      <c r="H12" s="642"/>
      <c r="I12" s="642"/>
      <c r="J12" s="642"/>
      <c r="K12" s="642"/>
      <c r="L12" s="642"/>
      <c r="M12" s="642"/>
      <c r="N12" s="643"/>
      <c r="O12" s="641"/>
      <c r="P12" s="641"/>
    </row>
    <row r="13" spans="1:54" x14ac:dyDescent="0.3">
      <c r="A13" s="157"/>
      <c r="B13" s="32" t="s">
        <v>947</v>
      </c>
      <c r="C13" s="35"/>
      <c r="D13" s="35"/>
      <c r="E13" s="642"/>
      <c r="F13" s="642"/>
      <c r="G13" s="642"/>
      <c r="H13" s="642"/>
      <c r="I13" s="642"/>
      <c r="J13" s="642"/>
      <c r="K13" s="642"/>
      <c r="L13" s="642"/>
      <c r="M13" s="642"/>
      <c r="N13" s="643"/>
      <c r="O13" s="641"/>
      <c r="P13" s="641"/>
    </row>
    <row r="14" spans="1:54" x14ac:dyDescent="0.3">
      <c r="A14" s="157"/>
      <c r="C14" s="35"/>
      <c r="D14" s="35"/>
      <c r="E14" s="243"/>
      <c r="F14" s="243"/>
      <c r="G14" s="243"/>
      <c r="H14" s="243"/>
      <c r="I14" s="243"/>
      <c r="J14" s="243"/>
      <c r="K14" s="243"/>
      <c r="L14" s="243"/>
      <c r="M14" s="243"/>
      <c r="N14" s="244"/>
    </row>
    <row r="15" spans="1:54" x14ac:dyDescent="0.3">
      <c r="A15" s="157"/>
      <c r="B15" s="32" t="s">
        <v>970</v>
      </c>
      <c r="C15" s="35"/>
      <c r="D15" s="35"/>
      <c r="E15" s="243">
        <f>'9b. Summary Schedules-sf'!I208</f>
        <v>0</v>
      </c>
      <c r="F15" s="243">
        <f>$E15*'11a. AF by class'!F11/'11a. AF by class'!$E11</f>
        <v>0</v>
      </c>
      <c r="G15" s="243">
        <f>$E15*'11a. AF by class'!G11/'11a. AF by class'!$E11</f>
        <v>0</v>
      </c>
      <c r="H15" s="243">
        <f>$E15*'11a. AF by class'!H11/'11a. AF by class'!$E11</f>
        <v>0</v>
      </c>
      <c r="I15" s="243">
        <f>$E15*'11a. AF by class'!I11/'11a. AF by class'!$E11</f>
        <v>0</v>
      </c>
      <c r="J15" s="243">
        <f>$E15*'11a. AF by class'!J11/'11a. AF by class'!$E11</f>
        <v>0</v>
      </c>
      <c r="K15" s="243">
        <f>$E15*'11a. AF by class'!K11/'11a. AF by class'!$E11</f>
        <v>0</v>
      </c>
      <c r="L15" s="243">
        <f>$E15*'11a. AF by class'!L11/'11a. AF by class'!$E11</f>
        <v>0</v>
      </c>
      <c r="M15" s="243">
        <f>$E15*'11a. AF by class'!M11/'11a. AF by class'!$E11</f>
        <v>0</v>
      </c>
      <c r="N15" s="244">
        <f>$E15*'11a. AF by class'!N11/'11a. AF by class'!$E11</f>
        <v>0</v>
      </c>
      <c r="P15" s="32">
        <f>SUM(F15:O15)</f>
        <v>0</v>
      </c>
      <c r="Q15" s="32">
        <f>E15-P15</f>
        <v>0</v>
      </c>
    </row>
    <row r="16" spans="1:54" x14ac:dyDescent="0.3">
      <c r="A16" s="157"/>
      <c r="B16" s="32" t="s">
        <v>971</v>
      </c>
      <c r="C16" s="35"/>
      <c r="D16" s="35"/>
      <c r="E16" s="35">
        <f>E10+E15</f>
        <v>0</v>
      </c>
      <c r="F16" s="35">
        <f t="shared" ref="F16:P16" si="0">F10+F15</f>
        <v>0</v>
      </c>
      <c r="G16" s="35">
        <f t="shared" si="0"/>
        <v>0</v>
      </c>
      <c r="H16" s="35">
        <f t="shared" si="0"/>
        <v>0</v>
      </c>
      <c r="I16" s="35">
        <f t="shared" si="0"/>
        <v>0</v>
      </c>
      <c r="J16" s="35">
        <f t="shared" si="0"/>
        <v>0</v>
      </c>
      <c r="K16" s="35">
        <f t="shared" si="0"/>
        <v>0</v>
      </c>
      <c r="L16" s="35">
        <f t="shared" si="0"/>
        <v>0</v>
      </c>
      <c r="M16" s="35">
        <f t="shared" si="0"/>
        <v>0</v>
      </c>
      <c r="N16" s="158">
        <f t="shared" si="0"/>
        <v>0</v>
      </c>
      <c r="O16" s="35"/>
      <c r="P16" s="35">
        <f t="shared" si="0"/>
        <v>0</v>
      </c>
      <c r="Q16" s="32">
        <f>E16-P16</f>
        <v>0</v>
      </c>
    </row>
    <row r="17" spans="1:17" x14ac:dyDescent="0.3">
      <c r="A17" s="157"/>
      <c r="B17" s="32" t="s">
        <v>617</v>
      </c>
      <c r="C17" s="35"/>
      <c r="D17" s="35"/>
      <c r="E17" s="243">
        <f>'9b. Summary Schedules-sf'!J208</f>
        <v>0</v>
      </c>
      <c r="F17" s="243">
        <f>$E17*'11a. AF by class'!F13/'11a. AF by class'!$E13</f>
        <v>0</v>
      </c>
      <c r="G17" s="243">
        <f>$E17*'11a. AF by class'!G13/'11a. AF by class'!$E13</f>
        <v>0</v>
      </c>
      <c r="H17" s="243">
        <f>$E17*'11a. AF by class'!H13/'11a. AF by class'!$E13</f>
        <v>0</v>
      </c>
      <c r="I17" s="243">
        <f>$E17*'11a. AF by class'!I13/'11a. AF by class'!$E13</f>
        <v>0</v>
      </c>
      <c r="J17" s="243">
        <f>$E17*'11a. AF by class'!J13/'11a. AF by class'!$E13</f>
        <v>0</v>
      </c>
      <c r="K17" s="243">
        <f>$E17*'11a. AF by class'!K13/'11a. AF by class'!$E13</f>
        <v>0</v>
      </c>
      <c r="L17" s="243">
        <f>$E17*'11a. AF by class'!L13/'11a. AF by class'!$E13</f>
        <v>0</v>
      </c>
      <c r="M17" s="243">
        <f>$E17*'11a. AF by class'!M13/'11a. AF by class'!$E13</f>
        <v>0</v>
      </c>
      <c r="N17" s="244">
        <f>$E17*'11a. AF by class'!N13/'11a. AF by class'!$E13</f>
        <v>0</v>
      </c>
      <c r="P17" s="32">
        <f>SUM(F17:O17)</f>
        <v>0</v>
      </c>
      <c r="Q17" s="32">
        <f>E17-P17</f>
        <v>0</v>
      </c>
    </row>
    <row r="18" spans="1:17" x14ac:dyDescent="0.3">
      <c r="A18" s="157"/>
      <c r="B18" s="32" t="s">
        <v>972</v>
      </c>
      <c r="C18" s="35"/>
      <c r="D18" s="35"/>
      <c r="E18" s="243">
        <f t="shared" ref="E18:N18" si="1">SUM(E16:E17)</f>
        <v>0</v>
      </c>
      <c r="F18" s="243">
        <f t="shared" si="1"/>
        <v>0</v>
      </c>
      <c r="G18" s="243">
        <f t="shared" si="1"/>
        <v>0</v>
      </c>
      <c r="H18" s="243">
        <f t="shared" si="1"/>
        <v>0</v>
      </c>
      <c r="I18" s="243">
        <f t="shared" si="1"/>
        <v>0</v>
      </c>
      <c r="J18" s="243">
        <f t="shared" si="1"/>
        <v>0</v>
      </c>
      <c r="K18" s="243">
        <f t="shared" si="1"/>
        <v>0</v>
      </c>
      <c r="L18" s="243">
        <f t="shared" si="1"/>
        <v>0</v>
      </c>
      <c r="M18" s="243">
        <f t="shared" si="1"/>
        <v>0</v>
      </c>
      <c r="N18" s="244">
        <f t="shared" si="1"/>
        <v>0</v>
      </c>
      <c r="P18" s="32">
        <f>SUM(F18:O18)</f>
        <v>0</v>
      </c>
      <c r="Q18" s="32">
        <f>E18-P18</f>
        <v>0</v>
      </c>
    </row>
    <row r="19" spans="1:17" x14ac:dyDescent="0.3">
      <c r="A19" s="157"/>
      <c r="B19" s="35"/>
      <c r="C19" s="35"/>
      <c r="D19" s="35"/>
      <c r="E19" s="243"/>
      <c r="F19" s="243"/>
      <c r="G19" s="243"/>
      <c r="H19" s="243"/>
      <c r="I19" s="243"/>
      <c r="J19" s="243"/>
      <c r="K19" s="243"/>
      <c r="L19" s="243"/>
      <c r="M19" s="243"/>
      <c r="N19" s="244"/>
    </row>
    <row r="20" spans="1:17" x14ac:dyDescent="0.3">
      <c r="A20" s="157" t="s">
        <v>984</v>
      </c>
      <c r="B20" s="35"/>
      <c r="C20" s="35"/>
      <c r="D20" s="35"/>
      <c r="E20" s="243">
        <f>'9b. Summary Schedules-sf'!K208</f>
        <v>0</v>
      </c>
      <c r="F20" s="243">
        <f>$E20*'11a. AF by class'!F16/'11a. AF by class'!$E16</f>
        <v>0</v>
      </c>
      <c r="G20" s="243">
        <f>$E20*'11a. AF by class'!G16/'11a. AF by class'!$E16</f>
        <v>0</v>
      </c>
      <c r="H20" s="243">
        <f>$E20*'11a. AF by class'!H16/'11a. AF by class'!$E16</f>
        <v>0</v>
      </c>
      <c r="I20" s="243">
        <f>$E20*'11a. AF by class'!I16/'11a. AF by class'!$E16</f>
        <v>0</v>
      </c>
      <c r="J20" s="243">
        <f>$E20*'11a. AF by class'!J16/'11a. AF by class'!$E16</f>
        <v>0</v>
      </c>
      <c r="K20" s="243">
        <f>$E20*'11a. AF by class'!K16/'11a. AF by class'!$E16</f>
        <v>0</v>
      </c>
      <c r="L20" s="243">
        <f>$E20*'11a. AF by class'!L16/'11a. AF by class'!$E16</f>
        <v>0</v>
      </c>
      <c r="M20" s="243">
        <f>$E20*'11a. AF by class'!M16/'11a. AF by class'!$E16</f>
        <v>0</v>
      </c>
      <c r="N20" s="244">
        <f>$E20*'11a. AF by class'!N16/'11a. AF by class'!$E16</f>
        <v>0</v>
      </c>
      <c r="P20" s="32">
        <f>SUM(F20:O20)</f>
        <v>0</v>
      </c>
      <c r="Q20" s="32">
        <f>E20-P20</f>
        <v>0</v>
      </c>
    </row>
    <row r="21" spans="1:17" x14ac:dyDescent="0.3">
      <c r="A21" s="157"/>
      <c r="B21" s="35"/>
      <c r="C21" s="35"/>
      <c r="D21" s="35"/>
      <c r="E21" s="243"/>
      <c r="F21" s="243"/>
      <c r="G21" s="243"/>
      <c r="H21" s="243"/>
      <c r="I21" s="243"/>
      <c r="J21" s="243"/>
      <c r="K21" s="243"/>
      <c r="L21" s="243"/>
      <c r="M21" s="243"/>
      <c r="N21" s="244"/>
    </row>
    <row r="22" spans="1:17" s="16" customFormat="1" x14ac:dyDescent="0.3">
      <c r="A22" s="153" t="s">
        <v>366</v>
      </c>
      <c r="B22" s="53"/>
      <c r="C22" s="53"/>
      <c r="D22" s="35"/>
      <c r="E22" s="243">
        <f>'9b. Summary Schedules-sf'!L208</f>
        <v>0</v>
      </c>
      <c r="F22" s="243">
        <f>$E22*'11a. AF by class'!F18/'11a. AF by class'!$E18</f>
        <v>0</v>
      </c>
      <c r="G22" s="243">
        <f>$E22*'11a. AF by class'!G18/'11a. AF by class'!$E18</f>
        <v>0</v>
      </c>
      <c r="H22" s="243">
        <f>$E22*'11a. AF by class'!H18/'11a. AF by class'!$E18</f>
        <v>0</v>
      </c>
      <c r="I22" s="243">
        <f>$E22*'11a. AF by class'!I18/'11a. AF by class'!$E18</f>
        <v>0</v>
      </c>
      <c r="J22" s="243">
        <f>$E22*'11a. AF by class'!J18/'11a. AF by class'!$E18</f>
        <v>0</v>
      </c>
      <c r="K22" s="243">
        <f>$E22*'11a. AF by class'!K18/'11a. AF by class'!$E18</f>
        <v>0</v>
      </c>
      <c r="L22" s="243">
        <f>$E22*'11a. AF by class'!L18/'11a. AF by class'!$E18</f>
        <v>0</v>
      </c>
      <c r="M22" s="243">
        <f>$E22*'11a. AF by class'!M18/'11a. AF by class'!$E18</f>
        <v>0</v>
      </c>
      <c r="N22" s="244">
        <f>$E22*'11a. AF by class'!N18/'11a. AF by class'!$E18</f>
        <v>0</v>
      </c>
      <c r="P22" s="16">
        <f>SUM(F22:O22)</f>
        <v>0</v>
      </c>
      <c r="Q22" s="16">
        <f>E22-P22</f>
        <v>0</v>
      </c>
    </row>
    <row r="23" spans="1:17" x14ac:dyDescent="0.3">
      <c r="A23" s="157"/>
      <c r="B23" s="35"/>
      <c r="C23" s="35"/>
      <c r="D23" s="35"/>
      <c r="E23" s="243"/>
      <c r="F23" s="243"/>
      <c r="G23" s="243"/>
      <c r="H23" s="243"/>
      <c r="I23" s="243"/>
      <c r="J23" s="243"/>
      <c r="K23" s="243"/>
      <c r="L23" s="243"/>
      <c r="M23" s="243"/>
      <c r="N23" s="244"/>
    </row>
    <row r="24" spans="1:17" x14ac:dyDescent="0.3">
      <c r="A24" s="157" t="s">
        <v>367</v>
      </c>
      <c r="B24" s="35"/>
      <c r="C24" s="35"/>
      <c r="D24" s="35"/>
      <c r="E24" s="243"/>
      <c r="F24" s="243"/>
      <c r="G24" s="243"/>
      <c r="H24" s="243"/>
      <c r="I24" s="243"/>
      <c r="J24" s="243"/>
      <c r="K24" s="243"/>
      <c r="L24" s="243"/>
      <c r="M24" s="243"/>
      <c r="N24" s="244"/>
    </row>
    <row r="25" spans="1:17" x14ac:dyDescent="0.3">
      <c r="A25" s="157"/>
      <c r="B25" s="35" t="s">
        <v>973</v>
      </c>
      <c r="C25" s="35"/>
      <c r="D25" s="35"/>
      <c r="E25" s="243"/>
      <c r="F25" s="243"/>
      <c r="G25" s="243"/>
      <c r="H25" s="243"/>
      <c r="I25" s="243"/>
      <c r="J25" s="243"/>
      <c r="K25" s="243"/>
      <c r="L25" s="243"/>
      <c r="M25" s="243"/>
      <c r="N25" s="244"/>
    </row>
    <row r="26" spans="1:17" x14ac:dyDescent="0.3">
      <c r="A26" s="157"/>
      <c r="B26" s="35" t="s">
        <v>974</v>
      </c>
      <c r="C26" s="35"/>
      <c r="D26" s="35"/>
      <c r="E26" s="243">
        <f>'9b. Summary Schedules-sf'!N208</f>
        <v>0</v>
      </c>
      <c r="F26" s="243">
        <f>$E26*'11a. AF by class'!F22/'11a. AF by class'!$E22</f>
        <v>0</v>
      </c>
      <c r="G26" s="243">
        <f>$E26*'11a. AF by class'!G22/'11a. AF by class'!$E22</f>
        <v>0</v>
      </c>
      <c r="H26" s="243">
        <f>$E26*'11a. AF by class'!H22/'11a. AF by class'!$E22</f>
        <v>0</v>
      </c>
      <c r="I26" s="243">
        <f>$E26*'11a. AF by class'!I22/'11a. AF by class'!$E22</f>
        <v>0</v>
      </c>
      <c r="J26" s="243">
        <f>$E26*'11a. AF by class'!J22/'11a. AF by class'!$E22</f>
        <v>0</v>
      </c>
      <c r="K26" s="243">
        <f>$E26*'11a. AF by class'!K22/'11a. AF by class'!$E22</f>
        <v>0</v>
      </c>
      <c r="L26" s="243">
        <f>$E26*'11a. AF by class'!L22/'11a. AF by class'!$E22</f>
        <v>0</v>
      </c>
      <c r="M26" s="243">
        <f>$E26*'11a. AF by class'!M22/'11a. AF by class'!$E22</f>
        <v>0</v>
      </c>
      <c r="N26" s="244">
        <f>$E26*'11a. AF by class'!N22/'11a. AF by class'!$E22</f>
        <v>0</v>
      </c>
      <c r="P26" s="32">
        <f>SUM(F26:O26)</f>
        <v>0</v>
      </c>
      <c r="Q26" s="32">
        <f>E26-P26</f>
        <v>0</v>
      </c>
    </row>
    <row r="27" spans="1:17" x14ac:dyDescent="0.3">
      <c r="A27" s="157"/>
      <c r="B27" s="35" t="s">
        <v>975</v>
      </c>
      <c r="C27" s="35"/>
      <c r="D27" s="35"/>
      <c r="E27" s="243">
        <f>'9b. Summary Schedules-sf'!O208</f>
        <v>0</v>
      </c>
      <c r="F27" s="243">
        <f>$E27*'11a. AF by class'!F23/'11a. AF by class'!$E23</f>
        <v>0</v>
      </c>
      <c r="G27" s="243">
        <f>$E27*'11a. AF by class'!G23/'11a. AF by class'!$E23</f>
        <v>0</v>
      </c>
      <c r="H27" s="243">
        <f>$E27*'11a. AF by class'!H23/'11a. AF by class'!$E23</f>
        <v>0</v>
      </c>
      <c r="I27" s="243">
        <f>$E27*'11a. AF by class'!I23/'11a. AF by class'!$E23</f>
        <v>0</v>
      </c>
      <c r="J27" s="243">
        <f>$E27*'11a. AF by class'!J23/'11a. AF by class'!$E23</f>
        <v>0</v>
      </c>
      <c r="K27" s="243">
        <f>$E27*'11a. AF by class'!K23/'11a. AF by class'!$E23</f>
        <v>0</v>
      </c>
      <c r="L27" s="243">
        <f>$E27*'11a. AF by class'!L23/'11a. AF by class'!$E23</f>
        <v>0</v>
      </c>
      <c r="M27" s="243">
        <f>$E27*'11a. AF by class'!M23/'11a. AF by class'!$E23</f>
        <v>0</v>
      </c>
      <c r="N27" s="244">
        <f>$E27*'11a. AF by class'!N23/'11a. AF by class'!$E23</f>
        <v>0</v>
      </c>
      <c r="P27" s="32">
        <f>SUM(F27:O27)</f>
        <v>0</v>
      </c>
      <c r="Q27" s="32">
        <f>E27-P27</f>
        <v>0</v>
      </c>
    </row>
    <row r="28" spans="1:17" x14ac:dyDescent="0.3">
      <c r="A28" s="157"/>
      <c r="B28" s="35" t="s">
        <v>976</v>
      </c>
      <c r="C28" s="35"/>
      <c r="D28" s="35"/>
      <c r="E28" s="243">
        <f>'9b. Summary Schedules-sf'!P208</f>
        <v>0</v>
      </c>
      <c r="F28" s="243">
        <f>$E28*'11a. AF by class'!F24/'11a. AF by class'!$E24</f>
        <v>0</v>
      </c>
      <c r="G28" s="243">
        <f>$E28*'11a. AF by class'!G24/'11a. AF by class'!$E24</f>
        <v>0</v>
      </c>
      <c r="H28" s="243">
        <f>$E28*'11a. AF by class'!H24/'11a. AF by class'!$E24</f>
        <v>0</v>
      </c>
      <c r="I28" s="243">
        <f>$E28*'11a. AF by class'!I24/'11a. AF by class'!$E24</f>
        <v>0</v>
      </c>
      <c r="J28" s="243">
        <f>$E28*'11a. AF by class'!J24/'11a. AF by class'!$E24</f>
        <v>0</v>
      </c>
      <c r="K28" s="243">
        <f>$E28*'11a. AF by class'!K24/'11a. AF by class'!$E24</f>
        <v>0</v>
      </c>
      <c r="L28" s="243">
        <f>$E28*'11a. AF by class'!L24/'11a. AF by class'!$E24</f>
        <v>0</v>
      </c>
      <c r="M28" s="243">
        <f>$E28*'11a. AF by class'!M24/'11a. AF by class'!$E24</f>
        <v>0</v>
      </c>
      <c r="N28" s="244">
        <f>$E28*'11a. AF by class'!N24/'11a. AF by class'!$E24</f>
        <v>0</v>
      </c>
      <c r="P28" s="32">
        <f>SUM(F28:O28)</f>
        <v>0</v>
      </c>
      <c r="Q28" s="32">
        <f>E28-P28</f>
        <v>0</v>
      </c>
    </row>
    <row r="29" spans="1:17" x14ac:dyDescent="0.3">
      <c r="A29" s="157"/>
      <c r="B29" s="35" t="s">
        <v>931</v>
      </c>
      <c r="C29" s="35"/>
      <c r="D29" s="35"/>
      <c r="E29" s="580">
        <f>'9b. Summary Schedules-sf'!Q208</f>
        <v>0</v>
      </c>
      <c r="F29" s="580">
        <f>$E29*'11a. AF by class'!F25/'11a. AF by class'!$E25</f>
        <v>0</v>
      </c>
      <c r="G29" s="580">
        <f>$E29*'11a. AF by class'!G25/'11a. AF by class'!$E25</f>
        <v>0</v>
      </c>
      <c r="H29" s="580">
        <f>$E29*'11a. AF by class'!H25/'11a. AF by class'!$E25</f>
        <v>0</v>
      </c>
      <c r="I29" s="580">
        <f>$E29*'11a. AF by class'!I25/'11a. AF by class'!$E25</f>
        <v>0</v>
      </c>
      <c r="J29" s="580">
        <f>$E29*'11a. AF by class'!J25/'11a. AF by class'!$E25</f>
        <v>0</v>
      </c>
      <c r="K29" s="580">
        <f>$E29*'11a. AF by class'!K25/'11a. AF by class'!$E25</f>
        <v>0</v>
      </c>
      <c r="L29" s="580">
        <f>$E29*'11a. AF by class'!L25/'11a. AF by class'!$E25</f>
        <v>0</v>
      </c>
      <c r="M29" s="580">
        <f>$E29*'11a. AF by class'!M25/'11a. AF by class'!$E25</f>
        <v>0</v>
      </c>
      <c r="N29" s="600">
        <f>$E29*'11a. AF by class'!N25/'11a. AF by class'!$E25</f>
        <v>0</v>
      </c>
      <c r="P29" s="32">
        <f>SUM(F29:O29)</f>
        <v>0</v>
      </c>
      <c r="Q29" s="32">
        <f>E29-P29</f>
        <v>0</v>
      </c>
    </row>
    <row r="30" spans="1:17" x14ac:dyDescent="0.3">
      <c r="A30" s="157"/>
      <c r="B30" s="35" t="s">
        <v>977</v>
      </c>
      <c r="C30" s="35"/>
      <c r="D30" s="35"/>
      <c r="E30" s="243">
        <f t="shared" ref="E30:N30" si="2">SUM(E26:E29)</f>
        <v>0</v>
      </c>
      <c r="F30" s="243">
        <f t="shared" si="2"/>
        <v>0</v>
      </c>
      <c r="G30" s="243">
        <f t="shared" si="2"/>
        <v>0</v>
      </c>
      <c r="H30" s="243">
        <f t="shared" si="2"/>
        <v>0</v>
      </c>
      <c r="I30" s="243">
        <f t="shared" si="2"/>
        <v>0</v>
      </c>
      <c r="J30" s="243">
        <f t="shared" si="2"/>
        <v>0</v>
      </c>
      <c r="K30" s="243">
        <f t="shared" si="2"/>
        <v>0</v>
      </c>
      <c r="L30" s="243">
        <f t="shared" si="2"/>
        <v>0</v>
      </c>
      <c r="M30" s="243">
        <f t="shared" si="2"/>
        <v>0</v>
      </c>
      <c r="N30" s="244">
        <f t="shared" si="2"/>
        <v>0</v>
      </c>
      <c r="P30" s="32">
        <f>SUM(F30:O30)</f>
        <v>0</v>
      </c>
      <c r="Q30" s="32">
        <f>E30-P30</f>
        <v>0</v>
      </c>
    </row>
    <row r="31" spans="1:17" x14ac:dyDescent="0.3">
      <c r="A31" s="157"/>
      <c r="B31" s="35"/>
      <c r="C31" s="35"/>
      <c r="D31" s="35"/>
      <c r="E31" s="243"/>
      <c r="F31" s="243"/>
      <c r="G31" s="243"/>
      <c r="H31" s="243"/>
      <c r="I31" s="243"/>
      <c r="J31" s="243"/>
      <c r="K31" s="243"/>
      <c r="L31" s="243"/>
      <c r="M31" s="243"/>
      <c r="N31" s="244"/>
    </row>
    <row r="32" spans="1:17" x14ac:dyDescent="0.3">
      <c r="A32" s="157"/>
      <c r="B32" s="35" t="s">
        <v>978</v>
      </c>
      <c r="C32" s="35"/>
      <c r="D32" s="35"/>
      <c r="E32" s="243"/>
      <c r="F32" s="243"/>
      <c r="G32" s="243"/>
      <c r="H32" s="243"/>
      <c r="I32" s="243"/>
      <c r="J32" s="243"/>
      <c r="K32" s="243"/>
      <c r="L32" s="243"/>
      <c r="M32" s="243"/>
      <c r="N32" s="244"/>
    </row>
    <row r="33" spans="1:17" x14ac:dyDescent="0.3">
      <c r="A33" s="157"/>
      <c r="B33" s="35" t="s">
        <v>975</v>
      </c>
      <c r="C33" s="35"/>
      <c r="D33" s="35"/>
      <c r="E33" s="243">
        <f>'9b. Summary Schedules-sf'!R208</f>
        <v>0</v>
      </c>
      <c r="F33" s="243">
        <f>$E33*'11a. AF by class'!F29/'11a. AF by class'!$E29</f>
        <v>0</v>
      </c>
      <c r="G33" s="243">
        <f>$E33*'11a. AF by class'!G29/'11a. AF by class'!$E29</f>
        <v>0</v>
      </c>
      <c r="H33" s="243">
        <f>$E33*'11a. AF by class'!H29/'11a. AF by class'!$E29</f>
        <v>0</v>
      </c>
      <c r="I33" s="243">
        <f>$E33*'11a. AF by class'!I29/'11a. AF by class'!$E29</f>
        <v>0</v>
      </c>
      <c r="J33" s="243">
        <f>$E33*'11a. AF by class'!J29/'11a. AF by class'!$E29</f>
        <v>0</v>
      </c>
      <c r="K33" s="243">
        <f>$E33*'11a. AF by class'!K29/'11a. AF by class'!$E29</f>
        <v>0</v>
      </c>
      <c r="L33" s="243">
        <f>$E33*'11a. AF by class'!L29/'11a. AF by class'!$E29</f>
        <v>0</v>
      </c>
      <c r="M33" s="243">
        <f>$E33*'11a. AF by class'!M29/'11a. AF by class'!$E29</f>
        <v>0</v>
      </c>
      <c r="N33" s="244">
        <f>$E33*'11a. AF by class'!N29/'11a. AF by class'!$E29</f>
        <v>0</v>
      </c>
      <c r="P33" s="32">
        <f t="shared" ref="P33:P39" si="3">SUM(F33:O33)</f>
        <v>0</v>
      </c>
      <c r="Q33" s="32">
        <f t="shared" ref="Q33:Q39" si="4">E33-P33</f>
        <v>0</v>
      </c>
    </row>
    <row r="34" spans="1:17" x14ac:dyDescent="0.3">
      <c r="A34" s="157"/>
      <c r="B34" s="35" t="s">
        <v>976</v>
      </c>
      <c r="C34" s="35"/>
      <c r="D34" s="35"/>
      <c r="E34" s="243">
        <f>'9b. Summary Schedules-sf'!S208</f>
        <v>0</v>
      </c>
      <c r="F34" s="243">
        <f>$E34*'11a. AF by class'!F30/'11a. AF by class'!$E30</f>
        <v>0</v>
      </c>
      <c r="G34" s="243">
        <f>$E34*'11a. AF by class'!G30/'11a. AF by class'!$E30</f>
        <v>0</v>
      </c>
      <c r="H34" s="243">
        <f>$E34*'11a. AF by class'!H30/'11a. AF by class'!$E30</f>
        <v>0</v>
      </c>
      <c r="I34" s="243">
        <f>$E34*'11a. AF by class'!I30/'11a. AF by class'!$E30</f>
        <v>0</v>
      </c>
      <c r="J34" s="243">
        <f>$E34*'11a. AF by class'!J30/'11a. AF by class'!$E30</f>
        <v>0</v>
      </c>
      <c r="K34" s="243">
        <f>$E34*'11a. AF by class'!K30/'11a. AF by class'!$E30</f>
        <v>0</v>
      </c>
      <c r="L34" s="243">
        <f>$E34*'11a. AF by class'!L30/'11a. AF by class'!$E30</f>
        <v>0</v>
      </c>
      <c r="M34" s="243">
        <f>$E34*'11a. AF by class'!M30/'11a. AF by class'!$E30</f>
        <v>0</v>
      </c>
      <c r="N34" s="244">
        <f>$E34*'11a. AF by class'!N30/'11a. AF by class'!$E30</f>
        <v>0</v>
      </c>
      <c r="P34" s="32">
        <f t="shared" si="3"/>
        <v>0</v>
      </c>
      <c r="Q34" s="32">
        <f t="shared" si="4"/>
        <v>0</v>
      </c>
    </row>
    <row r="35" spans="1:17" x14ac:dyDescent="0.3">
      <c r="A35" s="157"/>
      <c r="B35" s="35" t="s">
        <v>931</v>
      </c>
      <c r="C35" s="35"/>
      <c r="D35" s="35"/>
      <c r="E35" s="243">
        <f>'9b. Summary Schedules-sf'!T208</f>
        <v>0</v>
      </c>
      <c r="F35" s="243">
        <f>$E35*'11a. AF by class'!F31/'11a. AF by class'!$E31</f>
        <v>0</v>
      </c>
      <c r="G35" s="243">
        <f>$E35*'11a. AF by class'!G31/'11a. AF by class'!$E31</f>
        <v>0</v>
      </c>
      <c r="H35" s="243">
        <f>$E35*'11a. AF by class'!H31/'11a. AF by class'!$E31</f>
        <v>0</v>
      </c>
      <c r="I35" s="243">
        <f>$E35*'11a. AF by class'!I31/'11a. AF by class'!$E31</f>
        <v>0</v>
      </c>
      <c r="J35" s="243">
        <f>$E35*'11a. AF by class'!J31/'11a. AF by class'!$E31</f>
        <v>0</v>
      </c>
      <c r="K35" s="243">
        <f>$E35*'11a. AF by class'!K31/'11a. AF by class'!$E31</f>
        <v>0</v>
      </c>
      <c r="L35" s="243">
        <f>$E35*'11a. AF by class'!L31/'11a. AF by class'!$E31</f>
        <v>0</v>
      </c>
      <c r="M35" s="243">
        <f>$E35*'11a. AF by class'!M31/'11a. AF by class'!$E31</f>
        <v>0</v>
      </c>
      <c r="N35" s="244">
        <f>$E35*'11a. AF by class'!N31/'11a. AF by class'!$E31</f>
        <v>0</v>
      </c>
      <c r="P35" s="32">
        <f t="shared" si="3"/>
        <v>0</v>
      </c>
      <c r="Q35" s="32">
        <f t="shared" si="4"/>
        <v>0</v>
      </c>
    </row>
    <row r="36" spans="1:17" x14ac:dyDescent="0.3">
      <c r="A36" s="157"/>
      <c r="B36" s="35" t="s">
        <v>456</v>
      </c>
      <c r="C36" s="35"/>
      <c r="D36" s="35"/>
      <c r="E36" s="243">
        <f>'9b. Summary Schedules-sf'!U208</f>
        <v>0</v>
      </c>
      <c r="F36" s="243">
        <f>$E36*'11a. AF by class'!F32/'11a. AF by class'!$E32</f>
        <v>0</v>
      </c>
      <c r="G36" s="243">
        <f>$E36*'11a. AF by class'!G32/'11a. AF by class'!$E32</f>
        <v>0</v>
      </c>
      <c r="H36" s="243">
        <f>$E36*'11a. AF by class'!H32/'11a. AF by class'!$E32</f>
        <v>0</v>
      </c>
      <c r="I36" s="243">
        <f>$E36*'11a. AF by class'!I32/'11a. AF by class'!$E32</f>
        <v>0</v>
      </c>
      <c r="J36" s="243">
        <f>$E36*'11a. AF by class'!J32/'11a. AF by class'!$E32</f>
        <v>0</v>
      </c>
      <c r="K36" s="243">
        <f>$E36*'11a. AF by class'!K32/'11a. AF by class'!$E32</f>
        <v>0</v>
      </c>
      <c r="L36" s="243">
        <f>$E36*'11a. AF by class'!L32/'11a. AF by class'!$E32</f>
        <v>0</v>
      </c>
      <c r="M36" s="243">
        <f>$E36*'11a. AF by class'!M32/'11a. AF by class'!$E32</f>
        <v>0</v>
      </c>
      <c r="N36" s="244">
        <f>$E36*'11a. AF by class'!N32/'11a. AF by class'!$E32</f>
        <v>0</v>
      </c>
      <c r="P36" s="32">
        <f t="shared" si="3"/>
        <v>0</v>
      </c>
      <c r="Q36" s="32">
        <f t="shared" si="4"/>
        <v>0</v>
      </c>
    </row>
    <row r="37" spans="1:17" x14ac:dyDescent="0.3">
      <c r="A37" s="157"/>
      <c r="B37" s="35" t="s">
        <v>932</v>
      </c>
      <c r="C37" s="35"/>
      <c r="D37" s="35"/>
      <c r="E37" s="243">
        <f>'9b. Summary Schedules-sf'!V208</f>
        <v>0</v>
      </c>
      <c r="F37" s="243">
        <f>$E37*'11a. AF by class'!F33/'11a. AF by class'!$E33</f>
        <v>0</v>
      </c>
      <c r="G37" s="243">
        <f>$E37*'11a. AF by class'!G33/'11a. AF by class'!$E33</f>
        <v>0</v>
      </c>
      <c r="H37" s="243">
        <f>$E37*'11a. AF by class'!H33/'11a. AF by class'!$E33</f>
        <v>0</v>
      </c>
      <c r="I37" s="243">
        <f>$E37*'11a. AF by class'!I33/'11a. AF by class'!$E33</f>
        <v>0</v>
      </c>
      <c r="J37" s="243">
        <f>$E37*'11a. AF by class'!J33/'11a. AF by class'!$E33</f>
        <v>0</v>
      </c>
      <c r="K37" s="243">
        <f>$E37*'11a. AF by class'!K33/'11a. AF by class'!$E33</f>
        <v>0</v>
      </c>
      <c r="L37" s="243">
        <f>$E37*'11a. AF by class'!L33/'11a. AF by class'!$E33</f>
        <v>0</v>
      </c>
      <c r="M37" s="243">
        <f>$E37*'11a. AF by class'!M33/'11a. AF by class'!$E33</f>
        <v>0</v>
      </c>
      <c r="N37" s="244">
        <f>$E37*'11a. AF by class'!N33/'11a. AF by class'!$E33</f>
        <v>0</v>
      </c>
      <c r="P37" s="32">
        <f t="shared" si="3"/>
        <v>0</v>
      </c>
      <c r="Q37" s="32">
        <f t="shared" si="4"/>
        <v>0</v>
      </c>
    </row>
    <row r="38" spans="1:17" x14ac:dyDescent="0.3">
      <c r="A38" s="157"/>
      <c r="B38" s="35" t="s">
        <v>1013</v>
      </c>
      <c r="C38" s="35"/>
      <c r="D38" s="35"/>
      <c r="E38" s="580">
        <f>'9b. Summary Schedules-sf'!W208</f>
        <v>0</v>
      </c>
      <c r="F38" s="580">
        <f>$E38*'11a. AF by class'!F34/'11a. AF by class'!$E34</f>
        <v>0</v>
      </c>
      <c r="G38" s="580">
        <f>$E38*'11a. AF by class'!G34/'11a. AF by class'!$E34</f>
        <v>0</v>
      </c>
      <c r="H38" s="580">
        <f>$E38*'11a. AF by class'!H34/'11a. AF by class'!$E34</f>
        <v>0</v>
      </c>
      <c r="I38" s="580">
        <f>$E38*'11a. AF by class'!I34/'11a. AF by class'!$E34</f>
        <v>0</v>
      </c>
      <c r="J38" s="580">
        <f>$E38*'11a. AF by class'!J34/'11a. AF by class'!$E34</f>
        <v>0</v>
      </c>
      <c r="K38" s="580">
        <f>$E38*'11a. AF by class'!K34/'11a. AF by class'!$E34</f>
        <v>0</v>
      </c>
      <c r="L38" s="580">
        <f>$E38*'11a. AF by class'!L34/'11a. AF by class'!$E34</f>
        <v>0</v>
      </c>
      <c r="M38" s="580">
        <f>$E38*'11a. AF by class'!M34/'11a. AF by class'!$E34</f>
        <v>0</v>
      </c>
      <c r="N38" s="600">
        <f>$E38*'11a. AF by class'!N34/'11a. AF by class'!$E34</f>
        <v>0</v>
      </c>
      <c r="P38" s="32">
        <f t="shared" si="3"/>
        <v>0</v>
      </c>
      <c r="Q38" s="32">
        <f t="shared" si="4"/>
        <v>0</v>
      </c>
    </row>
    <row r="39" spans="1:17" x14ac:dyDescent="0.3">
      <c r="A39" s="157"/>
      <c r="B39" s="35" t="s">
        <v>979</v>
      </c>
      <c r="C39" s="35"/>
      <c r="D39" s="35"/>
      <c r="E39" s="243">
        <f t="shared" ref="E39:N39" si="5">SUM(E33:E38)</f>
        <v>0</v>
      </c>
      <c r="F39" s="243">
        <f t="shared" si="5"/>
        <v>0</v>
      </c>
      <c r="G39" s="243">
        <f t="shared" si="5"/>
        <v>0</v>
      </c>
      <c r="H39" s="243">
        <f t="shared" si="5"/>
        <v>0</v>
      </c>
      <c r="I39" s="243">
        <f t="shared" si="5"/>
        <v>0</v>
      </c>
      <c r="J39" s="243">
        <f t="shared" si="5"/>
        <v>0</v>
      </c>
      <c r="K39" s="243">
        <f t="shared" si="5"/>
        <v>0</v>
      </c>
      <c r="L39" s="243">
        <f t="shared" si="5"/>
        <v>0</v>
      </c>
      <c r="M39" s="243">
        <f t="shared" si="5"/>
        <v>0</v>
      </c>
      <c r="N39" s="244">
        <f t="shared" si="5"/>
        <v>0</v>
      </c>
      <c r="P39" s="32">
        <f t="shared" si="3"/>
        <v>0</v>
      </c>
      <c r="Q39" s="32">
        <f t="shared" si="4"/>
        <v>0</v>
      </c>
    </row>
    <row r="40" spans="1:17" x14ac:dyDescent="0.3">
      <c r="A40" s="157"/>
      <c r="B40" s="35"/>
      <c r="C40" s="35"/>
      <c r="D40" s="35"/>
      <c r="E40" s="243"/>
      <c r="F40" s="243"/>
      <c r="G40" s="243"/>
      <c r="H40" s="243"/>
      <c r="I40" s="243"/>
      <c r="J40" s="243"/>
      <c r="K40" s="243"/>
      <c r="L40" s="243"/>
      <c r="M40" s="243"/>
      <c r="N40" s="244"/>
    </row>
    <row r="41" spans="1:17" x14ac:dyDescent="0.3">
      <c r="A41" s="157"/>
      <c r="B41" s="35" t="s">
        <v>543</v>
      </c>
      <c r="C41" s="35"/>
      <c r="D41" s="35"/>
      <c r="E41" s="243">
        <f t="shared" ref="E41:N41" si="6">SUM(E30,E39)</f>
        <v>0</v>
      </c>
      <c r="F41" s="243">
        <f t="shared" si="6"/>
        <v>0</v>
      </c>
      <c r="G41" s="243">
        <f t="shared" si="6"/>
        <v>0</v>
      </c>
      <c r="H41" s="243">
        <f t="shared" si="6"/>
        <v>0</v>
      </c>
      <c r="I41" s="243">
        <f t="shared" si="6"/>
        <v>0</v>
      </c>
      <c r="J41" s="243">
        <f t="shared" si="6"/>
        <v>0</v>
      </c>
      <c r="K41" s="243">
        <f t="shared" si="6"/>
        <v>0</v>
      </c>
      <c r="L41" s="243">
        <f t="shared" si="6"/>
        <v>0</v>
      </c>
      <c r="M41" s="243">
        <f t="shared" si="6"/>
        <v>0</v>
      </c>
      <c r="N41" s="244">
        <f t="shared" si="6"/>
        <v>0</v>
      </c>
      <c r="P41" s="32">
        <f>SUM(F41:O41)</f>
        <v>0</v>
      </c>
      <c r="Q41" s="32">
        <f>E41-P41</f>
        <v>0</v>
      </c>
    </row>
    <row r="42" spans="1:17" x14ac:dyDescent="0.3">
      <c r="A42" s="157"/>
      <c r="B42" s="35"/>
      <c r="C42" s="35"/>
      <c r="D42" s="35"/>
      <c r="E42" s="243"/>
      <c r="F42" s="243"/>
      <c r="G42" s="243"/>
      <c r="H42" s="243"/>
      <c r="I42" s="243"/>
      <c r="J42" s="243"/>
      <c r="K42" s="243"/>
      <c r="L42" s="243"/>
      <c r="M42" s="243"/>
      <c r="N42" s="244"/>
    </row>
    <row r="43" spans="1:17" x14ac:dyDescent="0.3">
      <c r="A43" s="157" t="s">
        <v>907</v>
      </c>
      <c r="B43" s="35"/>
      <c r="C43" s="35"/>
      <c r="D43" s="35"/>
      <c r="E43" s="243"/>
      <c r="F43" s="243"/>
      <c r="G43" s="243"/>
      <c r="H43" s="243"/>
      <c r="I43" s="243"/>
      <c r="J43" s="243"/>
      <c r="K43" s="243"/>
      <c r="L43" s="243"/>
      <c r="M43" s="243"/>
      <c r="N43" s="244"/>
    </row>
    <row r="44" spans="1:17" x14ac:dyDescent="0.3">
      <c r="A44" s="157"/>
      <c r="B44" s="35" t="s">
        <v>907</v>
      </c>
      <c r="C44" s="35"/>
      <c r="D44" s="35"/>
      <c r="E44" s="243">
        <f>'9b. Summary Schedules-sf'!Y208</f>
        <v>0</v>
      </c>
      <c r="F44" s="243">
        <f>$E44*'11a. AF by class'!F40/'11a. AF by class'!$E40</f>
        <v>0</v>
      </c>
      <c r="G44" s="243">
        <f>$E44*'11a. AF by class'!G40/'11a. AF by class'!$E40</f>
        <v>0</v>
      </c>
      <c r="H44" s="243">
        <f>$E44*'11a. AF by class'!H40/'11a. AF by class'!$E40</f>
        <v>0</v>
      </c>
      <c r="I44" s="243">
        <f>$E44*'11a. AF by class'!I40/'11a. AF by class'!$E40</f>
        <v>0</v>
      </c>
      <c r="J44" s="243">
        <f>$E44*'11a. AF by class'!J40/'11a. AF by class'!$E40</f>
        <v>0</v>
      </c>
      <c r="K44" s="243">
        <f>$E44*'11a. AF by class'!K40/'11a. AF by class'!$E40</f>
        <v>0</v>
      </c>
      <c r="L44" s="243">
        <f>$E44*'11a. AF by class'!L40/'11a. AF by class'!$E40</f>
        <v>0</v>
      </c>
      <c r="M44" s="243">
        <f>$E44*'11a. AF by class'!M40/'11a. AF by class'!$E40</f>
        <v>0</v>
      </c>
      <c r="N44" s="244">
        <f>$E44*'11a. AF by class'!N40/'11a. AF by class'!$E40</f>
        <v>0</v>
      </c>
      <c r="P44" s="32">
        <f>SUM(F44:O44)</f>
        <v>0</v>
      </c>
      <c r="Q44" s="32">
        <f>E44-P44</f>
        <v>0</v>
      </c>
    </row>
    <row r="45" spans="1:17" x14ac:dyDescent="0.3">
      <c r="A45" s="157"/>
      <c r="B45" s="35" t="s">
        <v>996</v>
      </c>
      <c r="C45" s="35"/>
      <c r="D45" s="35"/>
      <c r="E45" s="580">
        <f>'9b. Summary Schedules-sf'!Z208</f>
        <v>0</v>
      </c>
      <c r="F45" s="580">
        <f>$E45*'11a. AF by class'!F41/'11a. AF by class'!$E41</f>
        <v>0</v>
      </c>
      <c r="G45" s="580">
        <f>$E45*'11a. AF by class'!G41/'11a. AF by class'!$E41</f>
        <v>0</v>
      </c>
      <c r="H45" s="580">
        <f>$E45*'11a. AF by class'!H41/'11a. AF by class'!$E41</f>
        <v>0</v>
      </c>
      <c r="I45" s="580">
        <f>$E45*'11a. AF by class'!I41/'11a. AF by class'!$E41</f>
        <v>0</v>
      </c>
      <c r="J45" s="580">
        <f>$E45*'11a. AF by class'!J41/'11a. AF by class'!$E41</f>
        <v>0</v>
      </c>
      <c r="K45" s="580">
        <f>$E45*'11a. AF by class'!K41/'11a. AF by class'!$E41</f>
        <v>0</v>
      </c>
      <c r="L45" s="580">
        <f>$E45*'11a. AF by class'!L41/'11a. AF by class'!$E41</f>
        <v>0</v>
      </c>
      <c r="M45" s="580">
        <f>$E45*'11a. AF by class'!M41/'11a. AF by class'!$E41</f>
        <v>0</v>
      </c>
      <c r="N45" s="600">
        <f>$E45*'11a. AF by class'!N41/'11a. AF by class'!$E41</f>
        <v>0</v>
      </c>
      <c r="P45" s="32">
        <f>SUM(F45:O45)</f>
        <v>0</v>
      </c>
      <c r="Q45" s="32">
        <f>E45-P45</f>
        <v>0</v>
      </c>
    </row>
    <row r="46" spans="1:17" x14ac:dyDescent="0.3">
      <c r="A46" s="157"/>
      <c r="B46" s="35" t="s">
        <v>997</v>
      </c>
      <c r="C46" s="35"/>
      <c r="D46" s="35"/>
      <c r="E46" s="243">
        <f>E44+E45</f>
        <v>0</v>
      </c>
      <c r="F46" s="243">
        <f t="shared" ref="F46:N46" si="7">SUM(F44:F45)</f>
        <v>0</v>
      </c>
      <c r="G46" s="243">
        <f t="shared" si="7"/>
        <v>0</v>
      </c>
      <c r="H46" s="243">
        <f t="shared" si="7"/>
        <v>0</v>
      </c>
      <c r="I46" s="243">
        <f t="shared" si="7"/>
        <v>0</v>
      </c>
      <c r="J46" s="243">
        <f t="shared" si="7"/>
        <v>0</v>
      </c>
      <c r="K46" s="243">
        <f t="shared" si="7"/>
        <v>0</v>
      </c>
      <c r="L46" s="243">
        <f t="shared" si="7"/>
        <v>0</v>
      </c>
      <c r="M46" s="243">
        <f t="shared" si="7"/>
        <v>0</v>
      </c>
      <c r="N46" s="244">
        <f t="shared" si="7"/>
        <v>0</v>
      </c>
      <c r="P46" s="32">
        <f>SUM(F46:O46)</f>
        <v>0</v>
      </c>
      <c r="Q46" s="32">
        <f>E46-P46</f>
        <v>0</v>
      </c>
    </row>
    <row r="47" spans="1:17" x14ac:dyDescent="0.3">
      <c r="A47" s="157"/>
      <c r="B47" s="35"/>
      <c r="C47" s="35"/>
      <c r="D47" s="35"/>
      <c r="E47" s="243"/>
      <c r="F47" s="243"/>
      <c r="G47" s="243"/>
      <c r="H47" s="243"/>
      <c r="I47" s="243"/>
      <c r="J47" s="243"/>
      <c r="K47" s="243"/>
      <c r="L47" s="243"/>
      <c r="M47" s="243"/>
      <c r="N47" s="244"/>
    </row>
    <row r="48" spans="1:17" x14ac:dyDescent="0.3">
      <c r="A48" s="157" t="s">
        <v>84</v>
      </c>
      <c r="B48" s="35"/>
      <c r="C48" s="35"/>
      <c r="D48" s="35"/>
      <c r="E48" s="243">
        <f>'9b. Summary Schedules-sf'!AA208</f>
        <v>0</v>
      </c>
      <c r="F48" s="243">
        <f>$E48*'11a. AF by class'!F44/'11a. AF by class'!$E44</f>
        <v>0</v>
      </c>
      <c r="G48" s="243">
        <f>$E48*'11a. AF by class'!G44/'11a. AF by class'!$E44</f>
        <v>0</v>
      </c>
      <c r="H48" s="243">
        <f>$E48*'11a. AF by class'!H44/'11a. AF by class'!$E44</f>
        <v>0</v>
      </c>
      <c r="I48" s="243">
        <f>$E48*'11a. AF by class'!I44/'11a. AF by class'!$E44</f>
        <v>0</v>
      </c>
      <c r="J48" s="243">
        <f>$E48*'11a. AF by class'!J44/'11a. AF by class'!$E44</f>
        <v>0</v>
      </c>
      <c r="K48" s="243">
        <f>$E48*'11a. AF by class'!K44/'11a. AF by class'!$E44</f>
        <v>0</v>
      </c>
      <c r="L48" s="243">
        <f>$E48*'11a. AF by class'!L44/'11a. AF by class'!$E44</f>
        <v>0</v>
      </c>
      <c r="M48" s="243">
        <f>$E48*'11a. AF by class'!M44/'11a. AF by class'!$E44</f>
        <v>0</v>
      </c>
      <c r="N48" s="244">
        <f>$E48*'11a. AF by class'!N44/'11a. AF by class'!$E44</f>
        <v>0</v>
      </c>
      <c r="P48" s="32">
        <f>SUM(F48:O48)</f>
        <v>0</v>
      </c>
      <c r="Q48" s="32">
        <f>E48-P48</f>
        <v>0</v>
      </c>
    </row>
    <row r="49" spans="1:17" x14ac:dyDescent="0.3">
      <c r="A49" s="157"/>
      <c r="B49" s="35"/>
      <c r="C49" s="35"/>
      <c r="D49" s="35"/>
      <c r="E49" s="243"/>
      <c r="F49" s="243"/>
      <c r="G49" s="243"/>
      <c r="H49" s="243"/>
      <c r="I49" s="243"/>
      <c r="J49" s="243"/>
      <c r="K49" s="243"/>
      <c r="L49" s="243"/>
      <c r="M49" s="243"/>
      <c r="N49" s="244"/>
    </row>
    <row r="50" spans="1:17" x14ac:dyDescent="0.3">
      <c r="A50" s="157" t="s">
        <v>82</v>
      </c>
      <c r="B50" s="35"/>
      <c r="C50" s="35"/>
      <c r="D50" s="35"/>
      <c r="E50" s="243"/>
      <c r="F50" s="243"/>
      <c r="G50" s="243"/>
      <c r="H50" s="243"/>
      <c r="I50" s="243"/>
      <c r="J50" s="243"/>
      <c r="K50" s="243"/>
      <c r="L50" s="243"/>
      <c r="M50" s="243"/>
      <c r="N50" s="244"/>
    </row>
    <row r="51" spans="1:17" x14ac:dyDescent="0.3">
      <c r="A51" s="157"/>
      <c r="B51" s="35" t="s">
        <v>81</v>
      </c>
      <c r="C51" s="35"/>
      <c r="D51" s="35"/>
      <c r="E51" s="243">
        <f>'9b. Summary Schedules-sf'!AC208</f>
        <v>0</v>
      </c>
      <c r="F51" s="243">
        <f>$E51*'11a. AF by class'!F47/'11a. AF by class'!$E47</f>
        <v>0</v>
      </c>
      <c r="G51" s="243">
        <f>$E51*'11a. AF by class'!G47/'11a. AF by class'!$E47</f>
        <v>0</v>
      </c>
      <c r="H51" s="243">
        <f>$E51*'11a. AF by class'!H47/'11a. AF by class'!$E47</f>
        <v>0</v>
      </c>
      <c r="I51" s="243">
        <f>$E51*'11a. AF by class'!I47/'11a. AF by class'!$E47</f>
        <v>0</v>
      </c>
      <c r="J51" s="243">
        <f>$E51*'11a. AF by class'!J47/'11a. AF by class'!$E47</f>
        <v>0</v>
      </c>
      <c r="K51" s="243">
        <f>$E51*'11a. AF by class'!K47/'11a. AF by class'!$E47</f>
        <v>0</v>
      </c>
      <c r="L51" s="243">
        <f>$E51*'11a. AF by class'!L47/'11a. AF by class'!$E47</f>
        <v>0</v>
      </c>
      <c r="M51" s="243">
        <f>$E51*'11a. AF by class'!M47/'11a. AF by class'!$E47</f>
        <v>0</v>
      </c>
      <c r="N51" s="244">
        <f>$E51*'11a. AF by class'!N47/'11a. AF by class'!$E47</f>
        <v>0</v>
      </c>
      <c r="P51" s="32">
        <f>SUM(F51:O51)</f>
        <v>0</v>
      </c>
      <c r="Q51" s="32">
        <f>E51-P51</f>
        <v>0</v>
      </c>
    </row>
    <row r="52" spans="1:17" x14ac:dyDescent="0.3">
      <c r="A52" s="157"/>
      <c r="B52" s="35" t="s">
        <v>1007</v>
      </c>
      <c r="C52" s="35"/>
      <c r="D52" s="35"/>
      <c r="E52" s="243">
        <f>'9b. Summary Schedules-sf'!AD208</f>
        <v>0</v>
      </c>
      <c r="F52" s="243">
        <f>$E52*'11a. AF by class'!F48/'11a. AF by class'!$E48</f>
        <v>0</v>
      </c>
      <c r="G52" s="243">
        <f>$E52*'11a. AF by class'!G48/'11a. AF by class'!$E48</f>
        <v>0</v>
      </c>
      <c r="H52" s="243">
        <f>$E52*'11a. AF by class'!H48/'11a. AF by class'!$E48</f>
        <v>0</v>
      </c>
      <c r="I52" s="243">
        <f>$E52*'11a. AF by class'!I48/'11a. AF by class'!$E48</f>
        <v>0</v>
      </c>
      <c r="J52" s="243">
        <f>$E52*'11a. AF by class'!J48/'11a. AF by class'!$E48</f>
        <v>0</v>
      </c>
      <c r="K52" s="243">
        <f>$E52*'11a. AF by class'!K48/'11a. AF by class'!$E48</f>
        <v>0</v>
      </c>
      <c r="L52" s="243">
        <f>$E52*'11a. AF by class'!L48/'11a. AF by class'!$E48</f>
        <v>0</v>
      </c>
      <c r="M52" s="243">
        <f>$E52*'11a. AF by class'!M48/'11a. AF by class'!$E48</f>
        <v>0</v>
      </c>
      <c r="N52" s="244">
        <f>$E52*'11a. AF by class'!N48/'11a. AF by class'!$E48</f>
        <v>0</v>
      </c>
      <c r="P52" s="32">
        <f>SUM(F52:O52)</f>
        <v>0</v>
      </c>
      <c r="Q52" s="32">
        <f>E52-P52</f>
        <v>0</v>
      </c>
    </row>
    <row r="53" spans="1:17" x14ac:dyDescent="0.3">
      <c r="A53" s="157"/>
      <c r="B53" s="35" t="s">
        <v>1008</v>
      </c>
      <c r="C53" s="35"/>
      <c r="D53" s="35"/>
      <c r="E53" s="580">
        <f>'9b. Summary Schedules-sf'!AE208</f>
        <v>0</v>
      </c>
      <c r="F53" s="580">
        <f>$E53*'11a. AF by class'!F49/'11a. AF by class'!$E49</f>
        <v>0</v>
      </c>
      <c r="G53" s="580">
        <f>$E53*'11a. AF by class'!G49/'11a. AF by class'!$E49</f>
        <v>0</v>
      </c>
      <c r="H53" s="580">
        <f>$E53*'11a. AF by class'!H49/'11a. AF by class'!$E49</f>
        <v>0</v>
      </c>
      <c r="I53" s="580">
        <f>$E53*'11a. AF by class'!I49/'11a. AF by class'!$E49</f>
        <v>0</v>
      </c>
      <c r="J53" s="580">
        <f>$E53*'11a. AF by class'!J49/'11a. AF by class'!$E49</f>
        <v>0</v>
      </c>
      <c r="K53" s="580">
        <f>$E53*'11a. AF by class'!K49/'11a. AF by class'!$E49</f>
        <v>0</v>
      </c>
      <c r="L53" s="580">
        <f>$E53*'11a. AF by class'!L49/'11a. AF by class'!$E49</f>
        <v>0</v>
      </c>
      <c r="M53" s="580">
        <f>$E53*'11a. AF by class'!M49/'11a. AF by class'!$E49</f>
        <v>0</v>
      </c>
      <c r="N53" s="600">
        <f>$E53*'11a. AF by class'!N49/'11a. AF by class'!$E49</f>
        <v>0</v>
      </c>
      <c r="P53" s="32">
        <f>SUM(F53:O53)</f>
        <v>0</v>
      </c>
      <c r="Q53" s="32">
        <f>E53-P53</f>
        <v>0</v>
      </c>
    </row>
    <row r="54" spans="1:17" x14ac:dyDescent="0.3">
      <c r="A54" s="157"/>
      <c r="B54" s="35" t="s">
        <v>83</v>
      </c>
      <c r="C54" s="35"/>
      <c r="D54" s="35"/>
      <c r="E54" s="243">
        <f t="shared" ref="E54:N54" si="8">SUM(E51:E53)</f>
        <v>0</v>
      </c>
      <c r="F54" s="243">
        <f t="shared" si="8"/>
        <v>0</v>
      </c>
      <c r="G54" s="243">
        <f t="shared" si="8"/>
        <v>0</v>
      </c>
      <c r="H54" s="243">
        <f t="shared" si="8"/>
        <v>0</v>
      </c>
      <c r="I54" s="243">
        <f t="shared" si="8"/>
        <v>0</v>
      </c>
      <c r="J54" s="243">
        <f t="shared" si="8"/>
        <v>0</v>
      </c>
      <c r="K54" s="243">
        <f t="shared" si="8"/>
        <v>0</v>
      </c>
      <c r="L54" s="243">
        <f t="shared" si="8"/>
        <v>0</v>
      </c>
      <c r="M54" s="243">
        <f t="shared" si="8"/>
        <v>0</v>
      </c>
      <c r="N54" s="244">
        <f t="shared" si="8"/>
        <v>0</v>
      </c>
      <c r="P54" s="32">
        <f>SUM(F54:O54)</f>
        <v>0</v>
      </c>
      <c r="Q54" s="32">
        <f>E54-P54</f>
        <v>0</v>
      </c>
    </row>
    <row r="55" spans="1:17" x14ac:dyDescent="0.3">
      <c r="A55" s="157"/>
      <c r="B55" s="35"/>
      <c r="C55" s="35"/>
      <c r="D55" s="35"/>
      <c r="E55" s="243"/>
      <c r="F55" s="243"/>
      <c r="G55" s="243"/>
      <c r="H55" s="243"/>
      <c r="I55" s="243"/>
      <c r="J55" s="243"/>
      <c r="K55" s="243"/>
      <c r="L55" s="243"/>
      <c r="M55" s="243"/>
      <c r="N55" s="244"/>
    </row>
    <row r="56" spans="1:17" x14ac:dyDescent="0.3">
      <c r="A56" s="157" t="s">
        <v>912</v>
      </c>
      <c r="B56" s="35"/>
      <c r="C56" s="35"/>
      <c r="D56" s="53"/>
      <c r="E56" s="243"/>
      <c r="F56" s="243"/>
      <c r="G56" s="243"/>
      <c r="H56" s="243"/>
      <c r="I56" s="243"/>
      <c r="J56" s="243"/>
      <c r="K56" s="243"/>
      <c r="L56" s="243"/>
      <c r="M56" s="243"/>
      <c r="N56" s="244"/>
    </row>
    <row r="57" spans="1:17" x14ac:dyDescent="0.3">
      <c r="A57" s="157"/>
      <c r="B57" s="35" t="s">
        <v>1006</v>
      </c>
      <c r="C57" s="35"/>
      <c r="D57" s="53"/>
      <c r="E57" s="580">
        <f>'9b. Summary Schedules-sf'!AG208</f>
        <v>0</v>
      </c>
      <c r="F57" s="580">
        <f>$E57*'11a. AF by class'!F53/'11a. AF by class'!$E53</f>
        <v>0</v>
      </c>
      <c r="G57" s="580">
        <f>$E57*'11a. AF by class'!G53/'11a. AF by class'!$E53</f>
        <v>0</v>
      </c>
      <c r="H57" s="580">
        <f>$E57*'11a. AF by class'!H53/'11a. AF by class'!$E53</f>
        <v>0</v>
      </c>
      <c r="I57" s="580">
        <f>$E57*'11a. AF by class'!I53/'11a. AF by class'!$E53</f>
        <v>0</v>
      </c>
      <c r="J57" s="580">
        <f>$E57*'11a. AF by class'!J53/'11a. AF by class'!$E53</f>
        <v>0</v>
      </c>
      <c r="K57" s="580">
        <f>$E57*'11a. AF by class'!K53/'11a. AF by class'!$E53</f>
        <v>0</v>
      </c>
      <c r="L57" s="580">
        <f>$E57*'11a. AF by class'!L53/'11a. AF by class'!$E53</f>
        <v>0</v>
      </c>
      <c r="M57" s="580">
        <f>$E57*'11a. AF by class'!M53/'11a. AF by class'!$E53</f>
        <v>0</v>
      </c>
      <c r="N57" s="600">
        <f>$E57*'11a. AF by class'!N53/'11a. AF by class'!$E53</f>
        <v>0</v>
      </c>
      <c r="P57" s="32">
        <f>SUM(F57:O57)</f>
        <v>0</v>
      </c>
      <c r="Q57" s="32">
        <f>E57-P57</f>
        <v>0</v>
      </c>
    </row>
    <row r="58" spans="1:17" x14ac:dyDescent="0.3">
      <c r="A58" s="157"/>
      <c r="B58" s="35" t="s">
        <v>1014</v>
      </c>
      <c r="C58" s="35"/>
      <c r="D58" s="53"/>
      <c r="E58" s="243">
        <f t="shared" ref="E58:N58" si="9">SUM(E57:E57)</f>
        <v>0</v>
      </c>
      <c r="F58" s="243">
        <f t="shared" si="9"/>
        <v>0</v>
      </c>
      <c r="G58" s="243">
        <f t="shared" si="9"/>
        <v>0</v>
      </c>
      <c r="H58" s="243">
        <f t="shared" si="9"/>
        <v>0</v>
      </c>
      <c r="I58" s="243">
        <f t="shared" si="9"/>
        <v>0</v>
      </c>
      <c r="J58" s="243">
        <f t="shared" si="9"/>
        <v>0</v>
      </c>
      <c r="K58" s="243">
        <f t="shared" si="9"/>
        <v>0</v>
      </c>
      <c r="L58" s="243">
        <f t="shared" si="9"/>
        <v>0</v>
      </c>
      <c r="M58" s="243">
        <f t="shared" si="9"/>
        <v>0</v>
      </c>
      <c r="N58" s="244">
        <f t="shared" si="9"/>
        <v>0</v>
      </c>
      <c r="P58" s="32">
        <f>SUM(F58:O58)</f>
        <v>0</v>
      </c>
      <c r="Q58" s="32">
        <f>E58-P58</f>
        <v>0</v>
      </c>
    </row>
    <row r="59" spans="1:17" x14ac:dyDescent="0.3">
      <c r="A59" s="157"/>
      <c r="B59" s="35"/>
      <c r="C59" s="35"/>
      <c r="D59" s="35"/>
      <c r="E59" s="243"/>
      <c r="F59" s="243"/>
      <c r="G59" s="243"/>
      <c r="H59" s="243"/>
      <c r="I59" s="243"/>
      <c r="J59" s="243"/>
      <c r="K59" s="243"/>
      <c r="L59" s="243"/>
      <c r="M59" s="243"/>
      <c r="N59" s="244"/>
    </row>
    <row r="60" spans="1:17" x14ac:dyDescent="0.3">
      <c r="A60" s="157" t="s">
        <v>913</v>
      </c>
      <c r="B60" s="35"/>
      <c r="C60" s="35"/>
      <c r="D60" s="35"/>
      <c r="E60" s="243">
        <f>'9b. Summary Schedules-sf'!AH208</f>
        <v>6893316.1699999999</v>
      </c>
      <c r="F60" s="243">
        <f>$E60*'11a. AF by class'!F56/'11a. AF by class'!$E56</f>
        <v>2741644.0990863256</v>
      </c>
      <c r="G60" s="243">
        <f>$E60*'11a. AF by class'!G56/'11a. AF by class'!$E56</f>
        <v>702824.76202329423</v>
      </c>
      <c r="H60" s="243">
        <f>$E60*'11a. AF by class'!H56/'11a. AF by class'!$E56</f>
        <v>1616261.4425358484</v>
      </c>
      <c r="I60" s="243">
        <f>$E60*'11a. AF by class'!I56/'11a. AF by class'!$E56</f>
        <v>908974.15916450985</v>
      </c>
      <c r="J60" s="243">
        <f>$E60*'11a. AF by class'!J56/'11a. AF by class'!$E56</f>
        <v>394261.74541191431</v>
      </c>
      <c r="K60" s="243">
        <f>$E60*'11a. AF by class'!K56/'11a. AF by class'!$E56</f>
        <v>529337.10495416599</v>
      </c>
      <c r="L60" s="243">
        <f>$E60*'11a. AF by class'!L56/'11a. AF by class'!$E56</f>
        <v>0</v>
      </c>
      <c r="M60" s="243">
        <f>$E60*'11a. AF by class'!M56/'11a. AF by class'!$E56</f>
        <v>0</v>
      </c>
      <c r="N60" s="244">
        <f>$E60*'11a. AF by class'!N56/'11a. AF by class'!$E56</f>
        <v>12.856823940638289</v>
      </c>
      <c r="P60" s="32">
        <f>SUM(F60:O60)</f>
        <v>6893316.169999999</v>
      </c>
      <c r="Q60" s="32">
        <f>E60-P60</f>
        <v>0</v>
      </c>
    </row>
    <row r="61" spans="1:17" x14ac:dyDescent="0.3">
      <c r="A61" s="157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158"/>
    </row>
    <row r="62" spans="1:17" x14ac:dyDescent="0.3">
      <c r="A62" s="157" t="s">
        <v>1001</v>
      </c>
      <c r="B62" s="35"/>
      <c r="C62" s="35"/>
      <c r="D62" s="35"/>
      <c r="E62" s="35">
        <f t="shared" ref="E62:N62" si="10">SUM(E18,E20,E22,E41,E46,E48,E54,E58,E60)</f>
        <v>6893316.1699999999</v>
      </c>
      <c r="F62" s="35">
        <f t="shared" si="10"/>
        <v>2741644.0990863256</v>
      </c>
      <c r="G62" s="35">
        <f t="shared" si="10"/>
        <v>702824.76202329423</v>
      </c>
      <c r="H62" s="35">
        <f t="shared" si="10"/>
        <v>1616261.4425358484</v>
      </c>
      <c r="I62" s="35">
        <f t="shared" si="10"/>
        <v>908974.15916450985</v>
      </c>
      <c r="J62" s="35">
        <f t="shared" si="10"/>
        <v>394261.74541191431</v>
      </c>
      <c r="K62" s="35">
        <f t="shared" si="10"/>
        <v>529337.10495416599</v>
      </c>
      <c r="L62" s="35">
        <f t="shared" si="10"/>
        <v>0</v>
      </c>
      <c r="M62" s="35">
        <f t="shared" si="10"/>
        <v>0</v>
      </c>
      <c r="N62" s="158">
        <f t="shared" si="10"/>
        <v>12.856823940638289</v>
      </c>
      <c r="P62" s="32">
        <f>SUM(F62:O62)</f>
        <v>6893316.169999999</v>
      </c>
      <c r="Q62" s="32">
        <f>E62-P62</f>
        <v>0</v>
      </c>
    </row>
    <row r="63" spans="1:17" ht="13.5" thickBot="1" x14ac:dyDescent="0.35">
      <c r="A63" s="33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161"/>
    </row>
  </sheetData>
  <phoneticPr fontId="0" type="noConversion"/>
  <printOptions horizontalCentered="1" gridLines="1" gridLinesSet="0"/>
  <pageMargins left="0" right="0" top="0.5" bottom="0.4" header="0.2" footer="0.2"/>
  <pageSetup scale="65" orientation="landscape" horizontalDpi="300" verticalDpi="300" r:id="rId1"/>
  <headerFooter alignWithMargins="0">
    <oddFooter>&amp;L&amp;8&amp;F&amp;C&amp;8&amp;A
page &amp;P&amp;R&amp;8&amp;D
&amp;T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BB63"/>
  <sheetViews>
    <sheetView zoomScale="75" zoomScaleNormal="75" workbookViewId="0">
      <pane xSplit="2" ySplit="7" topLeftCell="C8" activePane="bottomRight" state="frozen"/>
      <selection activeCell="C9" sqref="C9"/>
      <selection pane="topRight" activeCell="C9" sqref="C9"/>
      <selection pane="bottomLeft" activeCell="C9" sqref="C9"/>
      <selection pane="bottomRight" activeCell="C8" sqref="C8"/>
    </sheetView>
  </sheetViews>
  <sheetFormatPr defaultColWidth="9.1796875" defaultRowHeight="13" x14ac:dyDescent="0.3"/>
  <cols>
    <col min="1" max="1" width="4.54296875" style="32" customWidth="1"/>
    <col min="2" max="2" width="32.1796875" style="32" customWidth="1"/>
    <col min="3" max="3" width="15.1796875" style="32" customWidth="1"/>
    <col min="4" max="4" width="11.453125" style="32" customWidth="1"/>
    <col min="5" max="8" width="15" style="32" customWidth="1"/>
    <col min="9" max="16" width="12.54296875" style="32" customWidth="1"/>
    <col min="17" max="17" width="12.453125" style="32" customWidth="1"/>
    <col min="18" max="18" width="13.81640625" style="32" customWidth="1"/>
    <col min="19" max="20" width="9.1796875" style="32"/>
    <col min="21" max="21" width="11.453125" style="32" bestFit="1" customWidth="1"/>
    <col min="22" max="22" width="8.54296875" style="32" bestFit="1" customWidth="1"/>
    <col min="23" max="16384" width="9.1796875" style="32"/>
  </cols>
  <sheetData>
    <row r="1" spans="1:54" x14ac:dyDescent="0.3">
      <c r="A1" s="301" t="str">
        <f>'1. RB-i'!$A$1</f>
        <v>CPS Energy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3"/>
      <c r="O1" s="42"/>
      <c r="P1" s="42"/>
    </row>
    <row r="2" spans="1:54" x14ac:dyDescent="0.3">
      <c r="A2" s="307" t="s">
        <v>1262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98"/>
      <c r="O2" s="35"/>
      <c r="P2" s="35"/>
      <c r="S2" s="1"/>
      <c r="T2" s="1"/>
    </row>
    <row r="3" spans="1:54" x14ac:dyDescent="0.3">
      <c r="A3" s="307" t="str">
        <f>'10m. Bad debt by class'!A3</f>
        <v>Based on FYE 2017 Test Year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98"/>
      <c r="O3" s="31"/>
      <c r="P3" s="31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</row>
    <row r="4" spans="1:54" s="179" customFormat="1" x14ac:dyDescent="0.3">
      <c r="A4" s="304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305"/>
    </row>
    <row r="5" spans="1:54" s="179" customFormat="1" x14ac:dyDescent="0.3">
      <c r="A5" s="304"/>
      <c r="B5" s="196"/>
      <c r="C5" s="196"/>
      <c r="D5" s="196"/>
      <c r="E5" s="196"/>
      <c r="F5" s="196"/>
      <c r="G5" s="196"/>
      <c r="H5" s="199"/>
      <c r="I5" s="199"/>
      <c r="J5" s="199"/>
      <c r="K5" s="196"/>
      <c r="L5" s="196"/>
      <c r="M5" s="196"/>
      <c r="N5" s="305"/>
      <c r="P5" s="179" t="s">
        <v>832</v>
      </c>
    </row>
    <row r="6" spans="1:54" s="179" customFormat="1" x14ac:dyDescent="0.3">
      <c r="A6" s="304"/>
      <c r="B6" s="196"/>
      <c r="C6" s="196" t="s">
        <v>359</v>
      </c>
      <c r="D6" s="196"/>
      <c r="E6" s="196" t="s">
        <v>355</v>
      </c>
      <c r="F6" s="196" t="s">
        <v>961</v>
      </c>
      <c r="G6" s="196" t="s">
        <v>962</v>
      </c>
      <c r="H6" s="196" t="s">
        <v>963</v>
      </c>
      <c r="I6" s="196" t="s">
        <v>964</v>
      </c>
      <c r="J6" s="196" t="s">
        <v>965</v>
      </c>
      <c r="K6" s="196" t="s">
        <v>966</v>
      </c>
      <c r="L6" s="196" t="s">
        <v>967</v>
      </c>
      <c r="M6" s="196" t="s">
        <v>968</v>
      </c>
      <c r="N6" s="305" t="s">
        <v>932</v>
      </c>
      <c r="P6" s="179" t="s">
        <v>833</v>
      </c>
      <c r="Q6" s="179" t="s">
        <v>824</v>
      </c>
    </row>
    <row r="7" spans="1:54" s="179" customFormat="1" ht="13.5" thickBot="1" x14ac:dyDescent="0.35">
      <c r="A7" s="299"/>
      <c r="B7" s="282"/>
      <c r="C7" s="282"/>
      <c r="D7" s="282"/>
      <c r="E7" s="282" t="s">
        <v>816</v>
      </c>
      <c r="F7" s="282" t="s">
        <v>817</v>
      </c>
      <c r="G7" s="282" t="s">
        <v>818</v>
      </c>
      <c r="H7" s="282" t="s">
        <v>819</v>
      </c>
      <c r="I7" s="282" t="s">
        <v>820</v>
      </c>
      <c r="J7" s="282" t="s">
        <v>821</v>
      </c>
      <c r="K7" s="282" t="s">
        <v>822</v>
      </c>
      <c r="L7" s="282" t="s">
        <v>823</v>
      </c>
      <c r="M7" s="282" t="s">
        <v>908</v>
      </c>
      <c r="N7" s="300" t="s">
        <v>914</v>
      </c>
    </row>
    <row r="8" spans="1:54" x14ac:dyDescent="0.3">
      <c r="A8" s="157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158"/>
      <c r="O8" s="35"/>
      <c r="P8" s="35"/>
    </row>
    <row r="9" spans="1:54" x14ac:dyDescent="0.3">
      <c r="A9" s="157" t="s">
        <v>544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158"/>
    </row>
    <row r="10" spans="1:54" x14ac:dyDescent="0.3">
      <c r="A10" s="157"/>
      <c r="B10" s="32" t="s">
        <v>969</v>
      </c>
      <c r="C10" s="35"/>
      <c r="D10" s="35"/>
      <c r="E10" s="243">
        <f>-'9b. Summary Schedules-sf'!E205</f>
        <v>0</v>
      </c>
      <c r="F10" s="243">
        <f>$E10*'11a. AF by class'!F10/'11a. AF by class'!$E10</f>
        <v>0</v>
      </c>
      <c r="G10" s="243">
        <f>$E10*'11a. AF by class'!G10/'11a. AF by class'!$E10</f>
        <v>0</v>
      </c>
      <c r="H10" s="243">
        <f>$E10*'11a. AF by class'!H10/'11a. AF by class'!$E10</f>
        <v>0</v>
      </c>
      <c r="I10" s="243">
        <f>$E10*'11a. AF by class'!I10/'11a. AF by class'!$E10</f>
        <v>0</v>
      </c>
      <c r="J10" s="243">
        <f>$E10*'11a. AF by class'!J10/'11a. AF by class'!$E10</f>
        <v>0</v>
      </c>
      <c r="K10" s="243">
        <f>$E10*'11a. AF by class'!K10/'11a. AF by class'!$E10</f>
        <v>0</v>
      </c>
      <c r="L10" s="243">
        <f>$E10*'11a. AF by class'!L10/'11a. AF by class'!$E10</f>
        <v>0</v>
      </c>
      <c r="M10" s="243">
        <f>$E10*'11a. AF by class'!M10/'11a. AF by class'!$E10</f>
        <v>0</v>
      </c>
      <c r="N10" s="244">
        <f>$E10*'11a. AF by class'!N10/'11a. AF by class'!$E10</f>
        <v>0</v>
      </c>
      <c r="P10" s="32">
        <f>SUM(F10:O10)</f>
        <v>0</v>
      </c>
      <c r="Q10" s="32">
        <f>E10-P10</f>
        <v>0</v>
      </c>
    </row>
    <row r="11" spans="1:54" x14ac:dyDescent="0.3">
      <c r="A11" s="157"/>
      <c r="B11" s="32" t="s">
        <v>1140</v>
      </c>
      <c r="C11" s="35"/>
      <c r="D11" s="35"/>
      <c r="E11" s="642"/>
      <c r="F11" s="642"/>
      <c r="G11" s="642"/>
      <c r="H11" s="642"/>
      <c r="I11" s="642"/>
      <c r="J11" s="642"/>
      <c r="K11" s="642"/>
      <c r="L11" s="642"/>
      <c r="M11" s="642"/>
      <c r="N11" s="643"/>
      <c r="O11" s="641"/>
      <c r="P11" s="641"/>
    </row>
    <row r="12" spans="1:54" x14ac:dyDescent="0.3">
      <c r="A12" s="157"/>
      <c r="B12" s="32" t="s">
        <v>1139</v>
      </c>
      <c r="C12" s="35"/>
      <c r="D12" s="35"/>
      <c r="E12" s="642"/>
      <c r="F12" s="642"/>
      <c r="G12" s="642"/>
      <c r="H12" s="642"/>
      <c r="I12" s="642"/>
      <c r="J12" s="642"/>
      <c r="K12" s="642"/>
      <c r="L12" s="642"/>
      <c r="M12" s="642"/>
      <c r="N12" s="643"/>
      <c r="O12" s="641"/>
      <c r="P12" s="641"/>
    </row>
    <row r="13" spans="1:54" x14ac:dyDescent="0.3">
      <c r="A13" s="157"/>
      <c r="B13" s="32" t="s">
        <v>947</v>
      </c>
      <c r="C13" s="35"/>
      <c r="D13" s="35"/>
      <c r="E13" s="642"/>
      <c r="F13" s="642"/>
      <c r="G13" s="642"/>
      <c r="H13" s="642"/>
      <c r="I13" s="642"/>
      <c r="J13" s="642"/>
      <c r="K13" s="642"/>
      <c r="L13" s="642"/>
      <c r="M13" s="642"/>
      <c r="N13" s="643"/>
      <c r="O13" s="641"/>
      <c r="P13" s="641"/>
    </row>
    <row r="14" spans="1:54" x14ac:dyDescent="0.3">
      <c r="A14" s="157"/>
      <c r="C14" s="35"/>
      <c r="D14" s="35"/>
      <c r="E14" s="243"/>
      <c r="F14" s="243"/>
      <c r="G14" s="243"/>
      <c r="H14" s="243"/>
      <c r="I14" s="243"/>
      <c r="J14" s="243"/>
      <c r="K14" s="243"/>
      <c r="L14" s="243"/>
      <c r="M14" s="243"/>
      <c r="N14" s="244"/>
    </row>
    <row r="15" spans="1:54" x14ac:dyDescent="0.3">
      <c r="A15" s="157"/>
      <c r="B15" s="32" t="s">
        <v>970</v>
      </c>
      <c r="C15" s="35"/>
      <c r="D15" s="35"/>
      <c r="E15" s="243">
        <f>-'9b. Summary Schedules-sf'!I205</f>
        <v>0</v>
      </c>
      <c r="F15" s="243">
        <f>$E15*'11a. AF by class'!F11/'11a. AF by class'!$E11</f>
        <v>0</v>
      </c>
      <c r="G15" s="243">
        <f>$E15*'11a. AF by class'!G11/'11a. AF by class'!$E11</f>
        <v>0</v>
      </c>
      <c r="H15" s="243">
        <f>$E15*'11a. AF by class'!H11/'11a. AF by class'!$E11</f>
        <v>0</v>
      </c>
      <c r="I15" s="243">
        <f>$E15*'11a. AF by class'!I11/'11a. AF by class'!$E11</f>
        <v>0</v>
      </c>
      <c r="J15" s="243">
        <f>$E15*'11a. AF by class'!J11/'11a. AF by class'!$E11</f>
        <v>0</v>
      </c>
      <c r="K15" s="243">
        <f>$E15*'11a. AF by class'!K11/'11a. AF by class'!$E11</f>
        <v>0</v>
      </c>
      <c r="L15" s="243">
        <f>$E15*'11a. AF by class'!L11/'11a. AF by class'!$E11</f>
        <v>0</v>
      </c>
      <c r="M15" s="243">
        <f>$E15*'11a. AF by class'!M11/'11a. AF by class'!$E11</f>
        <v>0</v>
      </c>
      <c r="N15" s="244">
        <f>$E15*'11a. AF by class'!N11/'11a. AF by class'!$E11</f>
        <v>0</v>
      </c>
      <c r="P15" s="32">
        <f>SUM(F15:O15)</f>
        <v>0</v>
      </c>
      <c r="Q15" s="32">
        <f>E15-P15</f>
        <v>0</v>
      </c>
    </row>
    <row r="16" spans="1:54" x14ac:dyDescent="0.3">
      <c r="A16" s="157"/>
      <c r="B16" s="32" t="s">
        <v>971</v>
      </c>
      <c r="C16" s="35"/>
      <c r="D16" s="35"/>
      <c r="E16" s="35">
        <f>E10+E15</f>
        <v>0</v>
      </c>
      <c r="F16" s="35">
        <f t="shared" ref="F16:P16" si="0">F10+F15</f>
        <v>0</v>
      </c>
      <c r="G16" s="35">
        <f t="shared" si="0"/>
        <v>0</v>
      </c>
      <c r="H16" s="35">
        <f t="shared" si="0"/>
        <v>0</v>
      </c>
      <c r="I16" s="35">
        <f t="shared" si="0"/>
        <v>0</v>
      </c>
      <c r="J16" s="35">
        <f t="shared" si="0"/>
        <v>0</v>
      </c>
      <c r="K16" s="35">
        <f t="shared" si="0"/>
        <v>0</v>
      </c>
      <c r="L16" s="35">
        <f t="shared" si="0"/>
        <v>0</v>
      </c>
      <c r="M16" s="35">
        <f t="shared" si="0"/>
        <v>0</v>
      </c>
      <c r="N16" s="158">
        <f t="shared" si="0"/>
        <v>0</v>
      </c>
      <c r="O16" s="35"/>
      <c r="P16" s="35">
        <f t="shared" si="0"/>
        <v>0</v>
      </c>
      <c r="Q16" s="32">
        <f>E16-P16</f>
        <v>0</v>
      </c>
    </row>
    <row r="17" spans="1:17" x14ac:dyDescent="0.3">
      <c r="A17" s="157"/>
      <c r="B17" s="32" t="s">
        <v>617</v>
      </c>
      <c r="C17" s="35"/>
      <c r="D17" s="35"/>
      <c r="E17" s="243">
        <f>-'9b. Summary Schedules-sf'!J205</f>
        <v>0</v>
      </c>
      <c r="F17" s="243">
        <f>$E17*'11a. AF by class'!F13/'11a. AF by class'!$E13</f>
        <v>0</v>
      </c>
      <c r="G17" s="243">
        <f>$E17*'11a. AF by class'!G13/'11a. AF by class'!$E13</f>
        <v>0</v>
      </c>
      <c r="H17" s="243">
        <f>$E17*'11a. AF by class'!H13/'11a. AF by class'!$E13</f>
        <v>0</v>
      </c>
      <c r="I17" s="243">
        <f>$E17*'11a. AF by class'!I13/'11a. AF by class'!$E13</f>
        <v>0</v>
      </c>
      <c r="J17" s="243">
        <f>$E17*'11a. AF by class'!J13/'11a. AF by class'!$E13</f>
        <v>0</v>
      </c>
      <c r="K17" s="243">
        <f>$E17*'11a. AF by class'!K13/'11a. AF by class'!$E13</f>
        <v>0</v>
      </c>
      <c r="L17" s="243">
        <f>$E17*'11a. AF by class'!L13/'11a. AF by class'!$E13</f>
        <v>0</v>
      </c>
      <c r="M17" s="243">
        <f>$E17*'11a. AF by class'!M13/'11a. AF by class'!$E13</f>
        <v>0</v>
      </c>
      <c r="N17" s="244">
        <f>$E17*'11a. AF by class'!N13/'11a. AF by class'!$E13</f>
        <v>0</v>
      </c>
      <c r="P17" s="32">
        <f>SUM(F17:O17)</f>
        <v>0</v>
      </c>
      <c r="Q17" s="32">
        <f>E17-P17</f>
        <v>0</v>
      </c>
    </row>
    <row r="18" spans="1:17" x14ac:dyDescent="0.3">
      <c r="A18" s="157"/>
      <c r="B18" s="32" t="s">
        <v>972</v>
      </c>
      <c r="C18" s="35"/>
      <c r="D18" s="35"/>
      <c r="E18" s="243">
        <f t="shared" ref="E18:N18" si="1">SUM(E16:E17)</f>
        <v>0</v>
      </c>
      <c r="F18" s="243">
        <f t="shared" si="1"/>
        <v>0</v>
      </c>
      <c r="G18" s="243">
        <f t="shared" si="1"/>
        <v>0</v>
      </c>
      <c r="H18" s="243">
        <f t="shared" si="1"/>
        <v>0</v>
      </c>
      <c r="I18" s="243">
        <f t="shared" si="1"/>
        <v>0</v>
      </c>
      <c r="J18" s="243">
        <f t="shared" si="1"/>
        <v>0</v>
      </c>
      <c r="K18" s="243">
        <f t="shared" si="1"/>
        <v>0</v>
      </c>
      <c r="L18" s="243">
        <f t="shared" si="1"/>
        <v>0</v>
      </c>
      <c r="M18" s="243">
        <f t="shared" si="1"/>
        <v>0</v>
      </c>
      <c r="N18" s="244">
        <f t="shared" si="1"/>
        <v>0</v>
      </c>
      <c r="P18" s="32">
        <f>SUM(F18:O18)</f>
        <v>0</v>
      </c>
      <c r="Q18" s="32">
        <f>E18-P18</f>
        <v>0</v>
      </c>
    </row>
    <row r="19" spans="1:17" x14ac:dyDescent="0.3">
      <c r="A19" s="157"/>
      <c r="B19" s="35"/>
      <c r="C19" s="35"/>
      <c r="D19" s="35"/>
      <c r="E19" s="243"/>
      <c r="F19" s="243"/>
      <c r="G19" s="243"/>
      <c r="H19" s="243"/>
      <c r="I19" s="243"/>
      <c r="J19" s="243"/>
      <c r="K19" s="243"/>
      <c r="L19" s="243"/>
      <c r="M19" s="243"/>
      <c r="N19" s="244"/>
    </row>
    <row r="20" spans="1:17" x14ac:dyDescent="0.3">
      <c r="A20" s="157" t="s">
        <v>984</v>
      </c>
      <c r="B20" s="35"/>
      <c r="C20" s="35"/>
      <c r="D20" s="35"/>
      <c r="E20" s="243">
        <f>-'9b. Summary Schedules-sf'!K205</f>
        <v>0</v>
      </c>
      <c r="F20" s="243">
        <f>$E20*'11a. AF by class'!F16/'11a. AF by class'!$E16</f>
        <v>0</v>
      </c>
      <c r="G20" s="243">
        <f>$E20*'11a. AF by class'!G16/'11a. AF by class'!$E16</f>
        <v>0</v>
      </c>
      <c r="H20" s="243">
        <f>$E20*'11a. AF by class'!H16/'11a. AF by class'!$E16</f>
        <v>0</v>
      </c>
      <c r="I20" s="243">
        <f>$E20*'11a. AF by class'!I16/'11a. AF by class'!$E16</f>
        <v>0</v>
      </c>
      <c r="J20" s="243">
        <f>$E20*'11a. AF by class'!J16/'11a. AF by class'!$E16</f>
        <v>0</v>
      </c>
      <c r="K20" s="243">
        <f>$E20*'11a. AF by class'!K16/'11a. AF by class'!$E16</f>
        <v>0</v>
      </c>
      <c r="L20" s="243">
        <f>$E20*'11a. AF by class'!L16/'11a. AF by class'!$E16</f>
        <v>0</v>
      </c>
      <c r="M20" s="243">
        <f>$E20*'11a. AF by class'!M16/'11a. AF by class'!$E16</f>
        <v>0</v>
      </c>
      <c r="N20" s="244">
        <f>$E20*'11a. AF by class'!N16/'11a. AF by class'!$E16</f>
        <v>0</v>
      </c>
      <c r="P20" s="32">
        <f>SUM(F20:O20)</f>
        <v>0</v>
      </c>
      <c r="Q20" s="32">
        <f>E20-P20</f>
        <v>0</v>
      </c>
    </row>
    <row r="21" spans="1:17" x14ac:dyDescent="0.3">
      <c r="A21" s="157"/>
      <c r="B21" s="35"/>
      <c r="C21" s="35"/>
      <c r="D21" s="35"/>
      <c r="E21" s="243"/>
      <c r="F21" s="243"/>
      <c r="G21" s="243"/>
      <c r="H21" s="243"/>
      <c r="I21" s="243"/>
      <c r="J21" s="243"/>
      <c r="K21" s="243"/>
      <c r="L21" s="243"/>
      <c r="M21" s="243"/>
      <c r="N21" s="244"/>
    </row>
    <row r="22" spans="1:17" s="16" customFormat="1" x14ac:dyDescent="0.3">
      <c r="A22" s="153" t="s">
        <v>366</v>
      </c>
      <c r="B22" s="53"/>
      <c r="C22" s="53"/>
      <c r="D22" s="35"/>
      <c r="E22" s="243">
        <f>-'9b. Summary Schedules-sf'!L205</f>
        <v>0</v>
      </c>
      <c r="F22" s="243">
        <f>$E22*'11a. AF by class'!F18/'11a. AF by class'!$E18</f>
        <v>0</v>
      </c>
      <c r="G22" s="243">
        <f>$E22*'11a. AF by class'!G18/'11a. AF by class'!$E18</f>
        <v>0</v>
      </c>
      <c r="H22" s="243">
        <f>$E22*'11a. AF by class'!H18/'11a. AF by class'!$E18</f>
        <v>0</v>
      </c>
      <c r="I22" s="243">
        <f>$E22*'11a. AF by class'!I18/'11a. AF by class'!$E18</f>
        <v>0</v>
      </c>
      <c r="J22" s="243">
        <f>$E22*'11a. AF by class'!J18/'11a. AF by class'!$E18</f>
        <v>0</v>
      </c>
      <c r="K22" s="243">
        <f>$E22*'11a. AF by class'!K18/'11a. AF by class'!$E18</f>
        <v>0</v>
      </c>
      <c r="L22" s="243">
        <f>$E22*'11a. AF by class'!L18/'11a. AF by class'!$E18</f>
        <v>0</v>
      </c>
      <c r="M22" s="243">
        <f>$E22*'11a. AF by class'!M18/'11a. AF by class'!$E18</f>
        <v>0</v>
      </c>
      <c r="N22" s="244">
        <f>$E22*'11a. AF by class'!N18/'11a. AF by class'!$E18</f>
        <v>0</v>
      </c>
      <c r="P22" s="16">
        <f>SUM(F22:O22)</f>
        <v>0</v>
      </c>
      <c r="Q22" s="16">
        <f>E22-P22</f>
        <v>0</v>
      </c>
    </row>
    <row r="23" spans="1:17" x14ac:dyDescent="0.3">
      <c r="A23" s="157"/>
      <c r="B23" s="35"/>
      <c r="C23" s="35"/>
      <c r="D23" s="35"/>
      <c r="E23" s="243"/>
      <c r="F23" s="243"/>
      <c r="G23" s="243"/>
      <c r="H23" s="243"/>
      <c r="I23" s="243"/>
      <c r="J23" s="243"/>
      <c r="K23" s="243"/>
      <c r="L23" s="243"/>
      <c r="M23" s="243"/>
      <c r="N23" s="244"/>
    </row>
    <row r="24" spans="1:17" x14ac:dyDescent="0.3">
      <c r="A24" s="157" t="s">
        <v>367</v>
      </c>
      <c r="B24" s="35"/>
      <c r="C24" s="35"/>
      <c r="D24" s="35"/>
      <c r="E24" s="243"/>
      <c r="F24" s="243"/>
      <c r="G24" s="243"/>
      <c r="H24" s="243"/>
      <c r="I24" s="243"/>
      <c r="J24" s="243"/>
      <c r="K24" s="243"/>
      <c r="L24" s="243"/>
      <c r="M24" s="243"/>
      <c r="N24" s="244"/>
    </row>
    <row r="25" spans="1:17" x14ac:dyDescent="0.3">
      <c r="A25" s="157"/>
      <c r="B25" s="35" t="s">
        <v>973</v>
      </c>
      <c r="C25" s="35"/>
      <c r="D25" s="35"/>
      <c r="E25" s="243"/>
      <c r="F25" s="243"/>
      <c r="G25" s="243"/>
      <c r="H25" s="243"/>
      <c r="I25" s="243"/>
      <c r="J25" s="243"/>
      <c r="K25" s="243"/>
      <c r="L25" s="243"/>
      <c r="M25" s="243"/>
      <c r="N25" s="244"/>
    </row>
    <row r="26" spans="1:17" x14ac:dyDescent="0.3">
      <c r="A26" s="157"/>
      <c r="B26" s="35" t="s">
        <v>974</v>
      </c>
      <c r="C26" s="35"/>
      <c r="D26" s="35"/>
      <c r="E26" s="243">
        <f>-'9b. Summary Schedules-sf'!N205</f>
        <v>0</v>
      </c>
      <c r="F26" s="243">
        <f>$E26*'11a. AF by class'!F22/'11a. AF by class'!$E22</f>
        <v>0</v>
      </c>
      <c r="G26" s="243">
        <f>$E26*'11a. AF by class'!G22/'11a. AF by class'!$E22</f>
        <v>0</v>
      </c>
      <c r="H26" s="243">
        <f>$E26*'11a. AF by class'!H22/'11a. AF by class'!$E22</f>
        <v>0</v>
      </c>
      <c r="I26" s="243">
        <f>$E26*'11a. AF by class'!I22/'11a. AF by class'!$E22</f>
        <v>0</v>
      </c>
      <c r="J26" s="243">
        <f>$E26*'11a. AF by class'!J22/'11a. AF by class'!$E22</f>
        <v>0</v>
      </c>
      <c r="K26" s="243">
        <f>$E26*'11a. AF by class'!K22/'11a. AF by class'!$E22</f>
        <v>0</v>
      </c>
      <c r="L26" s="243">
        <f>$E26*'11a. AF by class'!L22/'11a. AF by class'!$E22</f>
        <v>0</v>
      </c>
      <c r="M26" s="243">
        <f>$E26*'11a. AF by class'!M22/'11a. AF by class'!$E22</f>
        <v>0</v>
      </c>
      <c r="N26" s="244">
        <f>$E26*'11a. AF by class'!N22/'11a. AF by class'!$E22</f>
        <v>0</v>
      </c>
      <c r="P26" s="32">
        <f>SUM(F26:O26)</f>
        <v>0</v>
      </c>
      <c r="Q26" s="32">
        <f>E26-P26</f>
        <v>0</v>
      </c>
    </row>
    <row r="27" spans="1:17" x14ac:dyDescent="0.3">
      <c r="A27" s="157"/>
      <c r="B27" s="35" t="s">
        <v>975</v>
      </c>
      <c r="C27" s="35"/>
      <c r="D27" s="35"/>
      <c r="E27" s="243">
        <f>-'9b. Summary Schedules-sf'!O205</f>
        <v>0</v>
      </c>
      <c r="F27" s="243">
        <f>$E27*'11a. AF by class'!F23/'11a. AF by class'!$E23</f>
        <v>0</v>
      </c>
      <c r="G27" s="243">
        <f>$E27*'11a. AF by class'!G23/'11a. AF by class'!$E23</f>
        <v>0</v>
      </c>
      <c r="H27" s="243">
        <f>$E27*'11a. AF by class'!H23/'11a. AF by class'!$E23</f>
        <v>0</v>
      </c>
      <c r="I27" s="243">
        <f>$E27*'11a. AF by class'!I23/'11a. AF by class'!$E23</f>
        <v>0</v>
      </c>
      <c r="J27" s="243">
        <f>$E27*'11a. AF by class'!J23/'11a. AF by class'!$E23</f>
        <v>0</v>
      </c>
      <c r="K27" s="243">
        <f>$E27*'11a. AF by class'!K23/'11a. AF by class'!$E23</f>
        <v>0</v>
      </c>
      <c r="L27" s="243">
        <f>$E27*'11a. AF by class'!L23/'11a. AF by class'!$E23</f>
        <v>0</v>
      </c>
      <c r="M27" s="243">
        <f>$E27*'11a. AF by class'!M23/'11a. AF by class'!$E23</f>
        <v>0</v>
      </c>
      <c r="N27" s="244">
        <f>$E27*'11a. AF by class'!N23/'11a. AF by class'!$E23</f>
        <v>0</v>
      </c>
      <c r="P27" s="32">
        <f>SUM(F27:O27)</f>
        <v>0</v>
      </c>
      <c r="Q27" s="32">
        <f>E27-P27</f>
        <v>0</v>
      </c>
    </row>
    <row r="28" spans="1:17" x14ac:dyDescent="0.3">
      <c r="A28" s="157"/>
      <c r="B28" s="35" t="s">
        <v>976</v>
      </c>
      <c r="C28" s="35"/>
      <c r="D28" s="35"/>
      <c r="E28" s="243">
        <f>-'9b. Summary Schedules-sf'!P205</f>
        <v>0</v>
      </c>
      <c r="F28" s="243">
        <f>$E28*'11a. AF by class'!F24/'11a. AF by class'!$E24</f>
        <v>0</v>
      </c>
      <c r="G28" s="243">
        <f>$E28*'11a. AF by class'!G24/'11a. AF by class'!$E24</f>
        <v>0</v>
      </c>
      <c r="H28" s="243">
        <f>$E28*'11a. AF by class'!H24/'11a. AF by class'!$E24</f>
        <v>0</v>
      </c>
      <c r="I28" s="243">
        <f>$E28*'11a. AF by class'!I24/'11a. AF by class'!$E24</f>
        <v>0</v>
      </c>
      <c r="J28" s="243">
        <f>$E28*'11a. AF by class'!J24/'11a. AF by class'!$E24</f>
        <v>0</v>
      </c>
      <c r="K28" s="243">
        <f>$E28*'11a. AF by class'!K24/'11a. AF by class'!$E24</f>
        <v>0</v>
      </c>
      <c r="L28" s="243">
        <f>$E28*'11a. AF by class'!L24/'11a. AF by class'!$E24</f>
        <v>0</v>
      </c>
      <c r="M28" s="243">
        <f>$E28*'11a. AF by class'!M24/'11a. AF by class'!$E24</f>
        <v>0</v>
      </c>
      <c r="N28" s="244">
        <f>$E28*'11a. AF by class'!N24/'11a. AF by class'!$E24</f>
        <v>0</v>
      </c>
      <c r="P28" s="32">
        <f>SUM(F28:O28)</f>
        <v>0</v>
      </c>
      <c r="Q28" s="32">
        <f>E28-P28</f>
        <v>0</v>
      </c>
    </row>
    <row r="29" spans="1:17" x14ac:dyDescent="0.3">
      <c r="A29" s="157"/>
      <c r="B29" s="35" t="s">
        <v>931</v>
      </c>
      <c r="C29" s="35"/>
      <c r="D29" s="35"/>
      <c r="E29" s="580">
        <f>-'9b. Summary Schedules-sf'!Q205</f>
        <v>0</v>
      </c>
      <c r="F29" s="580">
        <f>$E29*'11a. AF by class'!F25/'11a. AF by class'!$E25</f>
        <v>0</v>
      </c>
      <c r="G29" s="580">
        <f>$E29*'11a. AF by class'!G25/'11a. AF by class'!$E25</f>
        <v>0</v>
      </c>
      <c r="H29" s="580">
        <f>$E29*'11a. AF by class'!H25/'11a. AF by class'!$E25</f>
        <v>0</v>
      </c>
      <c r="I29" s="580">
        <f>$E29*'11a. AF by class'!I25/'11a. AF by class'!$E25</f>
        <v>0</v>
      </c>
      <c r="J29" s="580">
        <f>$E29*'11a. AF by class'!J25/'11a. AF by class'!$E25</f>
        <v>0</v>
      </c>
      <c r="K29" s="580">
        <f>$E29*'11a. AF by class'!K25/'11a. AF by class'!$E25</f>
        <v>0</v>
      </c>
      <c r="L29" s="580">
        <f>$E29*'11a. AF by class'!L25/'11a. AF by class'!$E25</f>
        <v>0</v>
      </c>
      <c r="M29" s="580">
        <f>$E29*'11a. AF by class'!M25/'11a. AF by class'!$E25</f>
        <v>0</v>
      </c>
      <c r="N29" s="600">
        <f>$E29*'11a. AF by class'!N25/'11a. AF by class'!$E25</f>
        <v>0</v>
      </c>
      <c r="P29" s="32">
        <f>SUM(F29:O29)</f>
        <v>0</v>
      </c>
      <c r="Q29" s="32">
        <f>E29-P29</f>
        <v>0</v>
      </c>
    </row>
    <row r="30" spans="1:17" x14ac:dyDescent="0.3">
      <c r="A30" s="157"/>
      <c r="B30" s="35" t="s">
        <v>977</v>
      </c>
      <c r="C30" s="35"/>
      <c r="D30" s="35"/>
      <c r="E30" s="243">
        <f t="shared" ref="E30:N30" si="2">SUM(E26:E29)</f>
        <v>0</v>
      </c>
      <c r="F30" s="243">
        <f t="shared" si="2"/>
        <v>0</v>
      </c>
      <c r="G30" s="243">
        <f t="shared" si="2"/>
        <v>0</v>
      </c>
      <c r="H30" s="243">
        <f t="shared" si="2"/>
        <v>0</v>
      </c>
      <c r="I30" s="243">
        <f t="shared" si="2"/>
        <v>0</v>
      </c>
      <c r="J30" s="243">
        <f t="shared" si="2"/>
        <v>0</v>
      </c>
      <c r="K30" s="243">
        <f t="shared" si="2"/>
        <v>0</v>
      </c>
      <c r="L30" s="243">
        <f t="shared" si="2"/>
        <v>0</v>
      </c>
      <c r="M30" s="243">
        <f t="shared" si="2"/>
        <v>0</v>
      </c>
      <c r="N30" s="244">
        <f t="shared" si="2"/>
        <v>0</v>
      </c>
      <c r="P30" s="32">
        <f>SUM(F30:O30)</f>
        <v>0</v>
      </c>
      <c r="Q30" s="32">
        <f>E30-P30</f>
        <v>0</v>
      </c>
    </row>
    <row r="31" spans="1:17" x14ac:dyDescent="0.3">
      <c r="A31" s="157"/>
      <c r="B31" s="35"/>
      <c r="C31" s="35"/>
      <c r="D31" s="35"/>
      <c r="E31" s="243"/>
      <c r="F31" s="243"/>
      <c r="G31" s="243"/>
      <c r="H31" s="243"/>
      <c r="I31" s="243"/>
      <c r="J31" s="243"/>
      <c r="K31" s="243"/>
      <c r="L31" s="243"/>
      <c r="M31" s="243"/>
      <c r="N31" s="244"/>
    </row>
    <row r="32" spans="1:17" x14ac:dyDescent="0.3">
      <c r="A32" s="157"/>
      <c r="B32" s="35" t="s">
        <v>978</v>
      </c>
      <c r="C32" s="35"/>
      <c r="D32" s="35"/>
      <c r="E32" s="243"/>
      <c r="F32" s="243"/>
      <c r="G32" s="243"/>
      <c r="H32" s="243"/>
      <c r="I32" s="243"/>
      <c r="J32" s="243"/>
      <c r="K32" s="243"/>
      <c r="L32" s="243"/>
      <c r="M32" s="243"/>
      <c r="N32" s="244"/>
    </row>
    <row r="33" spans="1:17" x14ac:dyDescent="0.3">
      <c r="A33" s="157"/>
      <c r="B33" s="35" t="s">
        <v>975</v>
      </c>
      <c r="C33" s="35"/>
      <c r="D33" s="35"/>
      <c r="E33" s="243">
        <f>-'9b. Summary Schedules-sf'!R205</f>
        <v>0</v>
      </c>
      <c r="F33" s="243">
        <f>$E33*'11a. AF by class'!F29/'11a. AF by class'!$E29</f>
        <v>0</v>
      </c>
      <c r="G33" s="243">
        <f>$E33*'11a. AF by class'!G29/'11a. AF by class'!$E29</f>
        <v>0</v>
      </c>
      <c r="H33" s="243">
        <f>$E33*'11a. AF by class'!H29/'11a. AF by class'!$E29</f>
        <v>0</v>
      </c>
      <c r="I33" s="243">
        <f>$E33*'11a. AF by class'!I29/'11a. AF by class'!$E29</f>
        <v>0</v>
      </c>
      <c r="J33" s="243">
        <f>$E33*'11a. AF by class'!J29/'11a. AF by class'!$E29</f>
        <v>0</v>
      </c>
      <c r="K33" s="243">
        <f>$E33*'11a. AF by class'!K29/'11a. AF by class'!$E29</f>
        <v>0</v>
      </c>
      <c r="L33" s="243">
        <f>$E33*'11a. AF by class'!L29/'11a. AF by class'!$E29</f>
        <v>0</v>
      </c>
      <c r="M33" s="243">
        <f>$E33*'11a. AF by class'!M29/'11a. AF by class'!$E29</f>
        <v>0</v>
      </c>
      <c r="N33" s="244">
        <f>$E33*'11a. AF by class'!N29/'11a. AF by class'!$E29</f>
        <v>0</v>
      </c>
      <c r="P33" s="32">
        <f t="shared" ref="P33:P39" si="3">SUM(F33:O33)</f>
        <v>0</v>
      </c>
      <c r="Q33" s="32">
        <f t="shared" ref="Q33:Q39" si="4">E33-P33</f>
        <v>0</v>
      </c>
    </row>
    <row r="34" spans="1:17" x14ac:dyDescent="0.3">
      <c r="A34" s="157"/>
      <c r="B34" s="35" t="s">
        <v>976</v>
      </c>
      <c r="C34" s="35"/>
      <c r="D34" s="35"/>
      <c r="E34" s="243">
        <f>-'9b. Summary Schedules-sf'!S205</f>
        <v>0</v>
      </c>
      <c r="F34" s="243">
        <f>$E34*'11a. AF by class'!F30/'11a. AF by class'!$E30</f>
        <v>0</v>
      </c>
      <c r="G34" s="243">
        <f>$E34*'11a. AF by class'!G30/'11a. AF by class'!$E30</f>
        <v>0</v>
      </c>
      <c r="H34" s="243">
        <f>$E34*'11a. AF by class'!H30/'11a. AF by class'!$E30</f>
        <v>0</v>
      </c>
      <c r="I34" s="243">
        <f>$E34*'11a. AF by class'!I30/'11a. AF by class'!$E30</f>
        <v>0</v>
      </c>
      <c r="J34" s="243">
        <f>$E34*'11a. AF by class'!J30/'11a. AF by class'!$E30</f>
        <v>0</v>
      </c>
      <c r="K34" s="243">
        <f>$E34*'11a. AF by class'!K30/'11a. AF by class'!$E30</f>
        <v>0</v>
      </c>
      <c r="L34" s="243">
        <f>$E34*'11a. AF by class'!L30/'11a. AF by class'!$E30</f>
        <v>0</v>
      </c>
      <c r="M34" s="243">
        <f>$E34*'11a. AF by class'!M30/'11a. AF by class'!$E30</f>
        <v>0</v>
      </c>
      <c r="N34" s="244">
        <f>$E34*'11a. AF by class'!N30/'11a. AF by class'!$E30</f>
        <v>0</v>
      </c>
      <c r="P34" s="32">
        <f t="shared" si="3"/>
        <v>0</v>
      </c>
      <c r="Q34" s="32">
        <f t="shared" si="4"/>
        <v>0</v>
      </c>
    </row>
    <row r="35" spans="1:17" x14ac:dyDescent="0.3">
      <c r="A35" s="157"/>
      <c r="B35" s="35" t="s">
        <v>931</v>
      </c>
      <c r="C35" s="35"/>
      <c r="D35" s="35"/>
      <c r="E35" s="243">
        <f>-'9b. Summary Schedules-sf'!T205</f>
        <v>0</v>
      </c>
      <c r="F35" s="243">
        <f>$E35*'11a. AF by class'!F31/'11a. AF by class'!$E31</f>
        <v>0</v>
      </c>
      <c r="G35" s="243">
        <f>$E35*'11a. AF by class'!G31/'11a. AF by class'!$E31</f>
        <v>0</v>
      </c>
      <c r="H35" s="243">
        <f>$E35*'11a. AF by class'!H31/'11a. AF by class'!$E31</f>
        <v>0</v>
      </c>
      <c r="I35" s="243">
        <f>$E35*'11a. AF by class'!I31/'11a. AF by class'!$E31</f>
        <v>0</v>
      </c>
      <c r="J35" s="243">
        <f>$E35*'11a. AF by class'!J31/'11a. AF by class'!$E31</f>
        <v>0</v>
      </c>
      <c r="K35" s="243">
        <f>$E35*'11a. AF by class'!K31/'11a. AF by class'!$E31</f>
        <v>0</v>
      </c>
      <c r="L35" s="243">
        <f>$E35*'11a. AF by class'!L31/'11a. AF by class'!$E31</f>
        <v>0</v>
      </c>
      <c r="M35" s="243">
        <f>$E35*'11a. AF by class'!M31/'11a. AF by class'!$E31</f>
        <v>0</v>
      </c>
      <c r="N35" s="244">
        <f>$E35*'11a. AF by class'!N31/'11a. AF by class'!$E31</f>
        <v>0</v>
      </c>
      <c r="P35" s="32">
        <f t="shared" si="3"/>
        <v>0</v>
      </c>
      <c r="Q35" s="32">
        <f t="shared" si="4"/>
        <v>0</v>
      </c>
    </row>
    <row r="36" spans="1:17" x14ac:dyDescent="0.3">
      <c r="A36" s="157"/>
      <c r="B36" s="35" t="s">
        <v>456</v>
      </c>
      <c r="C36" s="35"/>
      <c r="D36" s="35"/>
      <c r="E36" s="243">
        <f>-'9b. Summary Schedules-sf'!U205</f>
        <v>0</v>
      </c>
      <c r="F36" s="243">
        <f>$E36*'11a. AF by class'!F32/'11a. AF by class'!$E32</f>
        <v>0</v>
      </c>
      <c r="G36" s="243">
        <f>$E36*'11a. AF by class'!G32/'11a. AF by class'!$E32</f>
        <v>0</v>
      </c>
      <c r="H36" s="243">
        <f>$E36*'11a. AF by class'!H32/'11a. AF by class'!$E32</f>
        <v>0</v>
      </c>
      <c r="I36" s="243">
        <f>$E36*'11a. AF by class'!I32/'11a. AF by class'!$E32</f>
        <v>0</v>
      </c>
      <c r="J36" s="243">
        <f>$E36*'11a. AF by class'!J32/'11a. AF by class'!$E32</f>
        <v>0</v>
      </c>
      <c r="K36" s="243">
        <f>$E36*'11a. AF by class'!K32/'11a. AF by class'!$E32</f>
        <v>0</v>
      </c>
      <c r="L36" s="243">
        <f>$E36*'11a. AF by class'!L32/'11a. AF by class'!$E32</f>
        <v>0</v>
      </c>
      <c r="M36" s="243">
        <f>$E36*'11a. AF by class'!M32/'11a. AF by class'!$E32</f>
        <v>0</v>
      </c>
      <c r="N36" s="244">
        <f>$E36*'11a. AF by class'!N32/'11a. AF by class'!$E32</f>
        <v>0</v>
      </c>
      <c r="P36" s="32">
        <f t="shared" si="3"/>
        <v>0</v>
      </c>
      <c r="Q36" s="32">
        <f t="shared" si="4"/>
        <v>0</v>
      </c>
    </row>
    <row r="37" spans="1:17" x14ac:dyDescent="0.3">
      <c r="A37" s="157"/>
      <c r="B37" s="35" t="s">
        <v>932</v>
      </c>
      <c r="C37" s="35"/>
      <c r="D37" s="35"/>
      <c r="E37" s="243">
        <f>-'9b. Summary Schedules-sf'!V205</f>
        <v>0</v>
      </c>
      <c r="F37" s="243">
        <f>$E37*'11a. AF by class'!F33/'11a. AF by class'!$E33</f>
        <v>0</v>
      </c>
      <c r="G37" s="243">
        <f>$E37*'11a. AF by class'!G33/'11a. AF by class'!$E33</f>
        <v>0</v>
      </c>
      <c r="H37" s="243">
        <f>$E37*'11a. AF by class'!H33/'11a. AF by class'!$E33</f>
        <v>0</v>
      </c>
      <c r="I37" s="243">
        <f>$E37*'11a. AF by class'!I33/'11a. AF by class'!$E33</f>
        <v>0</v>
      </c>
      <c r="J37" s="243">
        <f>$E37*'11a. AF by class'!J33/'11a. AF by class'!$E33</f>
        <v>0</v>
      </c>
      <c r="K37" s="243">
        <f>$E37*'11a. AF by class'!K33/'11a. AF by class'!$E33</f>
        <v>0</v>
      </c>
      <c r="L37" s="243">
        <f>$E37*'11a. AF by class'!L33/'11a. AF by class'!$E33</f>
        <v>0</v>
      </c>
      <c r="M37" s="243">
        <f>$E37*'11a. AF by class'!M33/'11a. AF by class'!$E33</f>
        <v>0</v>
      </c>
      <c r="N37" s="244">
        <f>$E37*'11a. AF by class'!N33/'11a. AF by class'!$E33</f>
        <v>0</v>
      </c>
      <c r="P37" s="32">
        <f t="shared" si="3"/>
        <v>0</v>
      </c>
      <c r="Q37" s="32">
        <f t="shared" si="4"/>
        <v>0</v>
      </c>
    </row>
    <row r="38" spans="1:17" x14ac:dyDescent="0.3">
      <c r="A38" s="157"/>
      <c r="B38" s="35" t="s">
        <v>1013</v>
      </c>
      <c r="C38" s="35"/>
      <c r="D38" s="35"/>
      <c r="E38" s="580">
        <f>-'9b. Summary Schedules-sf'!W205</f>
        <v>0</v>
      </c>
      <c r="F38" s="580">
        <f>$E38*'11a. AF by class'!F34/'11a. AF by class'!$E34</f>
        <v>0</v>
      </c>
      <c r="G38" s="580">
        <f>$E38*'11a. AF by class'!G34/'11a. AF by class'!$E34</f>
        <v>0</v>
      </c>
      <c r="H38" s="580">
        <f>$E38*'11a. AF by class'!H34/'11a. AF by class'!$E34</f>
        <v>0</v>
      </c>
      <c r="I38" s="580">
        <f>$E38*'11a. AF by class'!I34/'11a. AF by class'!$E34</f>
        <v>0</v>
      </c>
      <c r="J38" s="580">
        <f>$E38*'11a. AF by class'!J34/'11a. AF by class'!$E34</f>
        <v>0</v>
      </c>
      <c r="K38" s="580">
        <f>$E38*'11a. AF by class'!K34/'11a. AF by class'!$E34</f>
        <v>0</v>
      </c>
      <c r="L38" s="580">
        <f>$E38*'11a. AF by class'!L34/'11a. AF by class'!$E34</f>
        <v>0</v>
      </c>
      <c r="M38" s="580">
        <f>$E38*'11a. AF by class'!M34/'11a. AF by class'!$E34</f>
        <v>0</v>
      </c>
      <c r="N38" s="600">
        <f>$E38*'11a. AF by class'!N34/'11a. AF by class'!$E34</f>
        <v>0</v>
      </c>
      <c r="P38" s="32">
        <f t="shared" si="3"/>
        <v>0</v>
      </c>
      <c r="Q38" s="32">
        <f t="shared" si="4"/>
        <v>0</v>
      </c>
    </row>
    <row r="39" spans="1:17" x14ac:dyDescent="0.3">
      <c r="A39" s="157"/>
      <c r="B39" s="35" t="s">
        <v>979</v>
      </c>
      <c r="C39" s="35"/>
      <c r="D39" s="35"/>
      <c r="E39" s="243">
        <f t="shared" ref="E39:N39" si="5">SUM(E33:E38)</f>
        <v>0</v>
      </c>
      <c r="F39" s="243">
        <f t="shared" si="5"/>
        <v>0</v>
      </c>
      <c r="G39" s="243">
        <f t="shared" si="5"/>
        <v>0</v>
      </c>
      <c r="H39" s="243">
        <f t="shared" si="5"/>
        <v>0</v>
      </c>
      <c r="I39" s="243">
        <f t="shared" si="5"/>
        <v>0</v>
      </c>
      <c r="J39" s="243">
        <f t="shared" si="5"/>
        <v>0</v>
      </c>
      <c r="K39" s="243">
        <f t="shared" si="5"/>
        <v>0</v>
      </c>
      <c r="L39" s="243">
        <f t="shared" si="5"/>
        <v>0</v>
      </c>
      <c r="M39" s="243">
        <f t="shared" si="5"/>
        <v>0</v>
      </c>
      <c r="N39" s="244">
        <f t="shared" si="5"/>
        <v>0</v>
      </c>
      <c r="P39" s="32">
        <f t="shared" si="3"/>
        <v>0</v>
      </c>
      <c r="Q39" s="32">
        <f t="shared" si="4"/>
        <v>0</v>
      </c>
    </row>
    <row r="40" spans="1:17" x14ac:dyDescent="0.3">
      <c r="A40" s="157"/>
      <c r="B40" s="35"/>
      <c r="C40" s="35"/>
      <c r="D40" s="35"/>
      <c r="E40" s="243"/>
      <c r="F40" s="243"/>
      <c r="G40" s="243"/>
      <c r="H40" s="243"/>
      <c r="I40" s="243"/>
      <c r="J40" s="243"/>
      <c r="K40" s="243"/>
      <c r="L40" s="243"/>
      <c r="M40" s="243"/>
      <c r="N40" s="244"/>
    </row>
    <row r="41" spans="1:17" x14ac:dyDescent="0.3">
      <c r="A41" s="157"/>
      <c r="B41" s="35" t="s">
        <v>543</v>
      </c>
      <c r="C41" s="35"/>
      <c r="D41" s="35"/>
      <c r="E41" s="243">
        <f t="shared" ref="E41:N41" si="6">SUM(E30,E39)</f>
        <v>0</v>
      </c>
      <c r="F41" s="243">
        <f t="shared" si="6"/>
        <v>0</v>
      </c>
      <c r="G41" s="243">
        <f t="shared" si="6"/>
        <v>0</v>
      </c>
      <c r="H41" s="243">
        <f t="shared" si="6"/>
        <v>0</v>
      </c>
      <c r="I41" s="243">
        <f t="shared" si="6"/>
        <v>0</v>
      </c>
      <c r="J41" s="243">
        <f t="shared" si="6"/>
        <v>0</v>
      </c>
      <c r="K41" s="243">
        <f t="shared" si="6"/>
        <v>0</v>
      </c>
      <c r="L41" s="243">
        <f t="shared" si="6"/>
        <v>0</v>
      </c>
      <c r="M41" s="243">
        <f t="shared" si="6"/>
        <v>0</v>
      </c>
      <c r="N41" s="244">
        <f t="shared" si="6"/>
        <v>0</v>
      </c>
      <c r="P41" s="32">
        <f>SUM(F41:O41)</f>
        <v>0</v>
      </c>
      <c r="Q41" s="32">
        <f>E41-P41</f>
        <v>0</v>
      </c>
    </row>
    <row r="42" spans="1:17" x14ac:dyDescent="0.3">
      <c r="A42" s="157"/>
      <c r="B42" s="35"/>
      <c r="C42" s="35"/>
      <c r="D42" s="35"/>
      <c r="E42" s="243"/>
      <c r="F42" s="243"/>
      <c r="G42" s="243"/>
      <c r="H42" s="243"/>
      <c r="I42" s="243"/>
      <c r="J42" s="243"/>
      <c r="K42" s="243"/>
      <c r="L42" s="243"/>
      <c r="M42" s="243"/>
      <c r="N42" s="244"/>
    </row>
    <row r="43" spans="1:17" x14ac:dyDescent="0.3">
      <c r="A43" s="157" t="s">
        <v>907</v>
      </c>
      <c r="B43" s="35"/>
      <c r="C43" s="35"/>
      <c r="D43" s="35"/>
      <c r="E43" s="243"/>
      <c r="F43" s="243"/>
      <c r="G43" s="243"/>
      <c r="H43" s="243"/>
      <c r="I43" s="243"/>
      <c r="J43" s="243"/>
      <c r="K43" s="243"/>
      <c r="L43" s="243"/>
      <c r="M43" s="243"/>
      <c r="N43" s="244"/>
    </row>
    <row r="44" spans="1:17" x14ac:dyDescent="0.3">
      <c r="A44" s="157"/>
      <c r="B44" s="35" t="s">
        <v>907</v>
      </c>
      <c r="C44" s="35"/>
      <c r="D44" s="35"/>
      <c r="E44" s="243">
        <f>-'9b. Summary Schedules-sf'!Y205</f>
        <v>0</v>
      </c>
      <c r="F44" s="243">
        <f>$E44*'11a. AF by class'!F40/'11a. AF by class'!$E40</f>
        <v>0</v>
      </c>
      <c r="G44" s="243">
        <f>$E44*'11a. AF by class'!G40/'11a. AF by class'!$E40</f>
        <v>0</v>
      </c>
      <c r="H44" s="243">
        <f>$E44*'11a. AF by class'!H40/'11a. AF by class'!$E40</f>
        <v>0</v>
      </c>
      <c r="I44" s="243">
        <f>$E44*'11a. AF by class'!I40/'11a. AF by class'!$E40</f>
        <v>0</v>
      </c>
      <c r="J44" s="243">
        <f>$E44*'11a. AF by class'!J40/'11a. AF by class'!$E40</f>
        <v>0</v>
      </c>
      <c r="K44" s="243">
        <f>$E44*'11a. AF by class'!K40/'11a. AF by class'!$E40</f>
        <v>0</v>
      </c>
      <c r="L44" s="243">
        <f>$E44*'11a. AF by class'!L40/'11a. AF by class'!$E40</f>
        <v>0</v>
      </c>
      <c r="M44" s="243">
        <f>$E44*'11a. AF by class'!M40/'11a. AF by class'!$E40</f>
        <v>0</v>
      </c>
      <c r="N44" s="244">
        <f>$E44*'11a. AF by class'!N40/'11a. AF by class'!$E40</f>
        <v>0</v>
      </c>
      <c r="P44" s="32">
        <f>SUM(F44:O44)</f>
        <v>0</v>
      </c>
      <c r="Q44" s="32">
        <f>E44-P44</f>
        <v>0</v>
      </c>
    </row>
    <row r="45" spans="1:17" x14ac:dyDescent="0.3">
      <c r="A45" s="157"/>
      <c r="B45" s="35" t="s">
        <v>996</v>
      </c>
      <c r="C45" s="35"/>
      <c r="D45" s="35"/>
      <c r="E45" s="580">
        <f>-'9b. Summary Schedules-sf'!Z205</f>
        <v>0</v>
      </c>
      <c r="F45" s="580">
        <f>$E45*'11a. AF by class'!F41/'11a. AF by class'!$E41</f>
        <v>0</v>
      </c>
      <c r="G45" s="580">
        <f>$E45*'11a. AF by class'!G41/'11a. AF by class'!$E41</f>
        <v>0</v>
      </c>
      <c r="H45" s="580">
        <f>$E45*'11a. AF by class'!H41/'11a. AF by class'!$E41</f>
        <v>0</v>
      </c>
      <c r="I45" s="580">
        <f>$E45*'11a. AF by class'!I41/'11a. AF by class'!$E41</f>
        <v>0</v>
      </c>
      <c r="J45" s="580">
        <f>$E45*'11a. AF by class'!J41/'11a. AF by class'!$E41</f>
        <v>0</v>
      </c>
      <c r="K45" s="580">
        <f>$E45*'11a. AF by class'!K41/'11a. AF by class'!$E41</f>
        <v>0</v>
      </c>
      <c r="L45" s="580">
        <f>$E45*'11a. AF by class'!L41/'11a. AF by class'!$E41</f>
        <v>0</v>
      </c>
      <c r="M45" s="580">
        <f>$E45*'11a. AF by class'!M41/'11a. AF by class'!$E41</f>
        <v>0</v>
      </c>
      <c r="N45" s="600">
        <f>$E45*'11a. AF by class'!N41/'11a. AF by class'!$E41</f>
        <v>0</v>
      </c>
      <c r="P45" s="32">
        <f>SUM(F45:O45)</f>
        <v>0</v>
      </c>
      <c r="Q45" s="32">
        <f>E45-P45</f>
        <v>0</v>
      </c>
    </row>
    <row r="46" spans="1:17" x14ac:dyDescent="0.3">
      <c r="A46" s="157"/>
      <c r="B46" s="35" t="s">
        <v>997</v>
      </c>
      <c r="C46" s="35"/>
      <c r="D46" s="35"/>
      <c r="E46" s="243">
        <f>E44+E45</f>
        <v>0</v>
      </c>
      <c r="F46" s="243">
        <f t="shared" ref="F46:N46" si="7">SUM(F44:F45)</f>
        <v>0</v>
      </c>
      <c r="G46" s="243">
        <f t="shared" si="7"/>
        <v>0</v>
      </c>
      <c r="H46" s="243">
        <f t="shared" si="7"/>
        <v>0</v>
      </c>
      <c r="I46" s="243">
        <f t="shared" si="7"/>
        <v>0</v>
      </c>
      <c r="J46" s="243">
        <f t="shared" si="7"/>
        <v>0</v>
      </c>
      <c r="K46" s="243">
        <f t="shared" si="7"/>
        <v>0</v>
      </c>
      <c r="L46" s="243">
        <f t="shared" si="7"/>
        <v>0</v>
      </c>
      <c r="M46" s="243">
        <f t="shared" si="7"/>
        <v>0</v>
      </c>
      <c r="N46" s="244">
        <f t="shared" si="7"/>
        <v>0</v>
      </c>
      <c r="P46" s="32">
        <f>SUM(F46:O46)</f>
        <v>0</v>
      </c>
      <c r="Q46" s="32">
        <f>E46-P46</f>
        <v>0</v>
      </c>
    </row>
    <row r="47" spans="1:17" x14ac:dyDescent="0.3">
      <c r="A47" s="157"/>
      <c r="B47" s="35"/>
      <c r="C47" s="35"/>
      <c r="D47" s="35"/>
      <c r="E47" s="243"/>
      <c r="F47" s="243"/>
      <c r="G47" s="243"/>
      <c r="H47" s="243"/>
      <c r="I47" s="243"/>
      <c r="J47" s="243"/>
      <c r="K47" s="243"/>
      <c r="L47" s="243"/>
      <c r="M47" s="243"/>
      <c r="N47" s="244"/>
    </row>
    <row r="48" spans="1:17" x14ac:dyDescent="0.3">
      <c r="A48" s="157" t="s">
        <v>84</v>
      </c>
      <c r="B48" s="35"/>
      <c r="C48" s="35"/>
      <c r="D48" s="35"/>
      <c r="E48" s="243">
        <f>-'9b. Summary Schedules-sf'!AA205</f>
        <v>0</v>
      </c>
      <c r="F48" s="243">
        <f>$E48*'11a. AF by class'!F44/'11a. AF by class'!$E44</f>
        <v>0</v>
      </c>
      <c r="G48" s="243">
        <f>$E48*'11a. AF by class'!G44/'11a. AF by class'!$E44</f>
        <v>0</v>
      </c>
      <c r="H48" s="243">
        <f>$E48*'11a. AF by class'!H44/'11a. AF by class'!$E44</f>
        <v>0</v>
      </c>
      <c r="I48" s="243">
        <f>$E48*'11a. AF by class'!I44/'11a. AF by class'!$E44</f>
        <v>0</v>
      </c>
      <c r="J48" s="243">
        <f>$E48*'11a. AF by class'!J44/'11a. AF by class'!$E44</f>
        <v>0</v>
      </c>
      <c r="K48" s="243">
        <f>$E48*'11a. AF by class'!K44/'11a. AF by class'!$E44</f>
        <v>0</v>
      </c>
      <c r="L48" s="243">
        <f>$E48*'11a. AF by class'!L44/'11a. AF by class'!$E44</f>
        <v>0</v>
      </c>
      <c r="M48" s="243">
        <f>$E48*'11a. AF by class'!M44/'11a. AF by class'!$E44</f>
        <v>0</v>
      </c>
      <c r="N48" s="244">
        <f>$E48*'11a. AF by class'!N44/'11a. AF by class'!$E44</f>
        <v>0</v>
      </c>
      <c r="P48" s="32">
        <f>SUM(F48:O48)</f>
        <v>0</v>
      </c>
      <c r="Q48" s="32">
        <f>E48-P48</f>
        <v>0</v>
      </c>
    </row>
    <row r="49" spans="1:17" x14ac:dyDescent="0.3">
      <c r="A49" s="157"/>
      <c r="B49" s="35"/>
      <c r="C49" s="35"/>
      <c r="D49" s="35"/>
      <c r="E49" s="243"/>
      <c r="F49" s="243"/>
      <c r="G49" s="243"/>
      <c r="H49" s="243"/>
      <c r="I49" s="243"/>
      <c r="J49" s="243"/>
      <c r="K49" s="243"/>
      <c r="L49" s="243"/>
      <c r="M49" s="243"/>
      <c r="N49" s="244"/>
    </row>
    <row r="50" spans="1:17" x14ac:dyDescent="0.3">
      <c r="A50" s="157" t="s">
        <v>82</v>
      </c>
      <c r="B50" s="35"/>
      <c r="C50" s="35"/>
      <c r="D50" s="35"/>
      <c r="E50" s="243"/>
      <c r="F50" s="243"/>
      <c r="G50" s="243"/>
      <c r="H50" s="243"/>
      <c r="I50" s="243"/>
      <c r="J50" s="243"/>
      <c r="K50" s="243"/>
      <c r="L50" s="243"/>
      <c r="M50" s="243"/>
      <c r="N50" s="244"/>
    </row>
    <row r="51" spans="1:17" x14ac:dyDescent="0.3">
      <c r="A51" s="157"/>
      <c r="B51" s="35" t="s">
        <v>81</v>
      </c>
      <c r="C51" s="35"/>
      <c r="D51" s="35"/>
      <c r="E51" s="243">
        <f>-'9b. Summary Schedules-sf'!AC205</f>
        <v>0</v>
      </c>
      <c r="F51" s="243">
        <f>$E51*'11a. AF by class'!F47/'11a. AF by class'!$E47</f>
        <v>0</v>
      </c>
      <c r="G51" s="243">
        <f>$E51*'11a. AF by class'!G47/'11a. AF by class'!$E47</f>
        <v>0</v>
      </c>
      <c r="H51" s="243">
        <f>$E51*'11a. AF by class'!H47/'11a. AF by class'!$E47</f>
        <v>0</v>
      </c>
      <c r="I51" s="243">
        <f>$E51*'11a. AF by class'!I47/'11a. AF by class'!$E47</f>
        <v>0</v>
      </c>
      <c r="J51" s="243">
        <f>$E51*'11a. AF by class'!J47/'11a. AF by class'!$E47</f>
        <v>0</v>
      </c>
      <c r="K51" s="243">
        <f>$E51*'11a. AF by class'!K47/'11a. AF by class'!$E47</f>
        <v>0</v>
      </c>
      <c r="L51" s="243">
        <f>$E51*'11a. AF by class'!L47/'11a. AF by class'!$E47</f>
        <v>0</v>
      </c>
      <c r="M51" s="243">
        <f>$E51*'11a. AF by class'!M47/'11a. AF by class'!$E47</f>
        <v>0</v>
      </c>
      <c r="N51" s="244">
        <f>$E51*'11a. AF by class'!N47/'11a. AF by class'!$E47</f>
        <v>0</v>
      </c>
      <c r="P51" s="32">
        <f>SUM(F51:O51)</f>
        <v>0</v>
      </c>
      <c r="Q51" s="32">
        <f>E51-P51</f>
        <v>0</v>
      </c>
    </row>
    <row r="52" spans="1:17" x14ac:dyDescent="0.3">
      <c r="A52" s="157"/>
      <c r="B52" s="35" t="s">
        <v>1007</v>
      </c>
      <c r="C52" s="35"/>
      <c r="D52" s="35"/>
      <c r="E52" s="243">
        <f>-'9b. Summary Schedules-sf'!AD205</f>
        <v>0</v>
      </c>
      <c r="F52" s="243">
        <f>$E52*'11a. AF by class'!F48/'11a. AF by class'!$E48</f>
        <v>0</v>
      </c>
      <c r="G52" s="243">
        <f>$E52*'11a. AF by class'!G48/'11a. AF by class'!$E48</f>
        <v>0</v>
      </c>
      <c r="H52" s="243">
        <f>$E52*'11a. AF by class'!H48/'11a. AF by class'!$E48</f>
        <v>0</v>
      </c>
      <c r="I52" s="243">
        <f>$E52*'11a. AF by class'!I48/'11a. AF by class'!$E48</f>
        <v>0</v>
      </c>
      <c r="J52" s="243">
        <f>$E52*'11a. AF by class'!J48/'11a. AF by class'!$E48</f>
        <v>0</v>
      </c>
      <c r="K52" s="243">
        <f>$E52*'11a. AF by class'!K48/'11a. AF by class'!$E48</f>
        <v>0</v>
      </c>
      <c r="L52" s="243">
        <f>$E52*'11a. AF by class'!L48/'11a. AF by class'!$E48</f>
        <v>0</v>
      </c>
      <c r="M52" s="243">
        <f>$E52*'11a. AF by class'!M48/'11a. AF by class'!$E48</f>
        <v>0</v>
      </c>
      <c r="N52" s="244">
        <f>$E52*'11a. AF by class'!N48/'11a. AF by class'!$E48</f>
        <v>0</v>
      </c>
      <c r="P52" s="32">
        <f>SUM(F52:O52)</f>
        <v>0</v>
      </c>
      <c r="Q52" s="32">
        <f>E52-P52</f>
        <v>0</v>
      </c>
    </row>
    <row r="53" spans="1:17" x14ac:dyDescent="0.3">
      <c r="A53" s="157"/>
      <c r="B53" s="35" t="s">
        <v>1008</v>
      </c>
      <c r="C53" s="35"/>
      <c r="D53" s="35"/>
      <c r="E53" s="580">
        <f>-'9b. Summary Schedules-sf'!AE205</f>
        <v>0</v>
      </c>
      <c r="F53" s="580">
        <f>$E53*'11a. AF by class'!F49/'11a. AF by class'!$E49</f>
        <v>0</v>
      </c>
      <c r="G53" s="580">
        <f>$E53*'11a. AF by class'!G49/'11a. AF by class'!$E49</f>
        <v>0</v>
      </c>
      <c r="H53" s="580">
        <f>$E53*'11a. AF by class'!H49/'11a. AF by class'!$E49</f>
        <v>0</v>
      </c>
      <c r="I53" s="580">
        <f>$E53*'11a. AF by class'!I49/'11a. AF by class'!$E49</f>
        <v>0</v>
      </c>
      <c r="J53" s="580">
        <f>$E53*'11a. AF by class'!J49/'11a. AF by class'!$E49</f>
        <v>0</v>
      </c>
      <c r="K53" s="580">
        <f>$E53*'11a. AF by class'!K49/'11a. AF by class'!$E49</f>
        <v>0</v>
      </c>
      <c r="L53" s="580">
        <f>$E53*'11a. AF by class'!L49/'11a. AF by class'!$E49</f>
        <v>0</v>
      </c>
      <c r="M53" s="580">
        <f>$E53*'11a. AF by class'!M49/'11a. AF by class'!$E49</f>
        <v>0</v>
      </c>
      <c r="N53" s="600">
        <f>$E53*'11a. AF by class'!N49/'11a. AF by class'!$E49</f>
        <v>0</v>
      </c>
      <c r="P53" s="32">
        <f>SUM(F53:O53)</f>
        <v>0</v>
      </c>
      <c r="Q53" s="32">
        <f>E53-P53</f>
        <v>0</v>
      </c>
    </row>
    <row r="54" spans="1:17" x14ac:dyDescent="0.3">
      <c r="A54" s="157"/>
      <c r="B54" s="35" t="s">
        <v>83</v>
      </c>
      <c r="C54" s="35"/>
      <c r="D54" s="35"/>
      <c r="E54" s="243">
        <f t="shared" ref="E54:N54" si="8">SUM(E51:E53)</f>
        <v>0</v>
      </c>
      <c r="F54" s="243">
        <f t="shared" si="8"/>
        <v>0</v>
      </c>
      <c r="G54" s="243">
        <f t="shared" si="8"/>
        <v>0</v>
      </c>
      <c r="H54" s="243">
        <f t="shared" si="8"/>
        <v>0</v>
      </c>
      <c r="I54" s="243">
        <f t="shared" si="8"/>
        <v>0</v>
      </c>
      <c r="J54" s="243">
        <f t="shared" si="8"/>
        <v>0</v>
      </c>
      <c r="K54" s="243">
        <f t="shared" si="8"/>
        <v>0</v>
      </c>
      <c r="L54" s="243">
        <f t="shared" si="8"/>
        <v>0</v>
      </c>
      <c r="M54" s="243">
        <f t="shared" si="8"/>
        <v>0</v>
      </c>
      <c r="N54" s="244">
        <f t="shared" si="8"/>
        <v>0</v>
      </c>
      <c r="P54" s="32">
        <f>SUM(F54:O54)</f>
        <v>0</v>
      </c>
      <c r="Q54" s="32">
        <f>E54-P54</f>
        <v>0</v>
      </c>
    </row>
    <row r="55" spans="1:17" x14ac:dyDescent="0.3">
      <c r="A55" s="157"/>
      <c r="B55" s="35"/>
      <c r="C55" s="35"/>
      <c r="D55" s="35"/>
      <c r="E55" s="243"/>
      <c r="F55" s="243"/>
      <c r="G55" s="243"/>
      <c r="H55" s="243"/>
      <c r="I55" s="243"/>
      <c r="J55" s="243"/>
      <c r="K55" s="243"/>
      <c r="L55" s="243"/>
      <c r="M55" s="243"/>
      <c r="N55" s="244"/>
    </row>
    <row r="56" spans="1:17" x14ac:dyDescent="0.3">
      <c r="A56" s="157" t="s">
        <v>912</v>
      </c>
      <c r="B56" s="35"/>
      <c r="C56" s="35"/>
      <c r="D56" s="53"/>
      <c r="E56" s="243"/>
      <c r="F56" s="243"/>
      <c r="G56" s="243"/>
      <c r="H56" s="243"/>
      <c r="I56" s="243"/>
      <c r="J56" s="243"/>
      <c r="K56" s="243"/>
      <c r="L56" s="243"/>
      <c r="M56" s="243"/>
      <c r="N56" s="244"/>
    </row>
    <row r="57" spans="1:17" x14ac:dyDescent="0.3">
      <c r="A57" s="157"/>
      <c r="B57" s="35" t="s">
        <v>1006</v>
      </c>
      <c r="C57" s="35"/>
      <c r="D57" s="53"/>
      <c r="E57" s="580">
        <f>-'9b. Summary Schedules-sf'!AG205</f>
        <v>0</v>
      </c>
      <c r="F57" s="580">
        <f>$E57*'11a. AF by class'!F53/'11a. AF by class'!$E53</f>
        <v>0</v>
      </c>
      <c r="G57" s="580">
        <f>$E57*'11a. AF by class'!G53/'11a. AF by class'!$E53</f>
        <v>0</v>
      </c>
      <c r="H57" s="580">
        <f>$E57*'11a. AF by class'!H53/'11a. AF by class'!$E53</f>
        <v>0</v>
      </c>
      <c r="I57" s="580">
        <f>$E57*'11a. AF by class'!I53/'11a. AF by class'!$E53</f>
        <v>0</v>
      </c>
      <c r="J57" s="580">
        <f>$E57*'11a. AF by class'!J53/'11a. AF by class'!$E53</f>
        <v>0</v>
      </c>
      <c r="K57" s="580">
        <f>$E57*'11a. AF by class'!K53/'11a. AF by class'!$E53</f>
        <v>0</v>
      </c>
      <c r="L57" s="580">
        <f>$E57*'11a. AF by class'!L53/'11a. AF by class'!$E53</f>
        <v>0</v>
      </c>
      <c r="M57" s="580">
        <f>$E57*'11a. AF by class'!M53/'11a. AF by class'!$E53</f>
        <v>0</v>
      </c>
      <c r="N57" s="600">
        <f>$E57*'11a. AF by class'!N53/'11a. AF by class'!$E53</f>
        <v>0</v>
      </c>
      <c r="P57" s="32">
        <f>SUM(F57:O57)</f>
        <v>0</v>
      </c>
      <c r="Q57" s="32">
        <f>E57-P57</f>
        <v>0</v>
      </c>
    </row>
    <row r="58" spans="1:17" x14ac:dyDescent="0.3">
      <c r="A58" s="157"/>
      <c r="B58" s="35" t="s">
        <v>1014</v>
      </c>
      <c r="C58" s="35"/>
      <c r="D58" s="53"/>
      <c r="E58" s="243">
        <f t="shared" ref="E58:N58" si="9">SUM(E57:E57)</f>
        <v>0</v>
      </c>
      <c r="F58" s="243">
        <f t="shared" si="9"/>
        <v>0</v>
      </c>
      <c r="G58" s="243">
        <f t="shared" si="9"/>
        <v>0</v>
      </c>
      <c r="H58" s="243">
        <f t="shared" si="9"/>
        <v>0</v>
      </c>
      <c r="I58" s="243">
        <f t="shared" si="9"/>
        <v>0</v>
      </c>
      <c r="J58" s="243">
        <f t="shared" si="9"/>
        <v>0</v>
      </c>
      <c r="K58" s="243">
        <f t="shared" si="9"/>
        <v>0</v>
      </c>
      <c r="L58" s="243">
        <f t="shared" si="9"/>
        <v>0</v>
      </c>
      <c r="M58" s="243">
        <f t="shared" si="9"/>
        <v>0</v>
      </c>
      <c r="N58" s="244">
        <f t="shared" si="9"/>
        <v>0</v>
      </c>
      <c r="P58" s="32">
        <f>SUM(F58:O58)</f>
        <v>0</v>
      </c>
      <c r="Q58" s="32">
        <f>E58-P58</f>
        <v>0</v>
      </c>
    </row>
    <row r="59" spans="1:17" x14ac:dyDescent="0.3">
      <c r="A59" s="157"/>
      <c r="B59" s="35"/>
      <c r="C59" s="35"/>
      <c r="D59" s="35"/>
      <c r="E59" s="243"/>
      <c r="F59" s="243"/>
      <c r="G59" s="243"/>
      <c r="H59" s="243"/>
      <c r="I59" s="243"/>
      <c r="J59" s="243"/>
      <c r="K59" s="243"/>
      <c r="L59" s="243"/>
      <c r="M59" s="243"/>
      <c r="N59" s="244"/>
    </row>
    <row r="60" spans="1:17" x14ac:dyDescent="0.3">
      <c r="A60" s="157" t="s">
        <v>913</v>
      </c>
      <c r="B60" s="35"/>
      <c r="C60" s="35"/>
      <c r="D60" s="35"/>
      <c r="E60" s="243">
        <f>-'9b. Summary Schedules-sf'!AH205</f>
        <v>7174098.5199999996</v>
      </c>
      <c r="F60" s="243">
        <f>$E60*'11a. AF by class'!F56/'11a. AF by class'!$E56</f>
        <v>2853318.2562003303</v>
      </c>
      <c r="G60" s="243">
        <f>$E60*'11a. AF by class'!G56/'11a. AF by class'!$E56</f>
        <v>731452.60723630304</v>
      </c>
      <c r="H60" s="243">
        <f>$E60*'11a. AF by class'!H56/'11a. AF by class'!$E56</f>
        <v>1682095.8935979714</v>
      </c>
      <c r="I60" s="243">
        <f>$E60*'11a. AF by class'!I56/'11a. AF by class'!$E56</f>
        <v>945998.99513681442</v>
      </c>
      <c r="J60" s="243">
        <f>$E60*'11a. AF by class'!J56/'11a. AF by class'!$E56</f>
        <v>410321.03192391817</v>
      </c>
      <c r="K60" s="243">
        <f>$E60*'11a. AF by class'!K56/'11a. AF by class'!$E56</f>
        <v>550898.3553894884</v>
      </c>
      <c r="L60" s="243">
        <f>$E60*'11a. AF by class'!L56/'11a. AF by class'!$E56</f>
        <v>0</v>
      </c>
      <c r="M60" s="243">
        <f>$E60*'11a. AF by class'!M56/'11a. AF by class'!$E56</f>
        <v>0</v>
      </c>
      <c r="N60" s="244">
        <f>$E60*'11a. AF by class'!N56/'11a. AF by class'!$E56</f>
        <v>13.380515172922024</v>
      </c>
      <c r="P60" s="32">
        <f>SUM(F60:O60)</f>
        <v>7174098.5199999977</v>
      </c>
      <c r="Q60" s="32">
        <f>E60-P60</f>
        <v>0</v>
      </c>
    </row>
    <row r="61" spans="1:17" x14ac:dyDescent="0.3">
      <c r="A61" s="157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158"/>
    </row>
    <row r="62" spans="1:17" x14ac:dyDescent="0.3">
      <c r="A62" s="157" t="s">
        <v>1001</v>
      </c>
      <c r="B62" s="35"/>
      <c r="C62" s="35"/>
      <c r="D62" s="35"/>
      <c r="E62" s="35">
        <f t="shared" ref="E62:N62" si="10">SUM(E18,E20,E22,E41,E46,E48,E54,E58,E60)</f>
        <v>7174098.5199999996</v>
      </c>
      <c r="F62" s="35">
        <f t="shared" si="10"/>
        <v>2853318.2562003303</v>
      </c>
      <c r="G62" s="35">
        <f t="shared" si="10"/>
        <v>731452.60723630304</v>
      </c>
      <c r="H62" s="35">
        <f t="shared" si="10"/>
        <v>1682095.8935979714</v>
      </c>
      <c r="I62" s="35">
        <f t="shared" si="10"/>
        <v>945998.99513681442</v>
      </c>
      <c r="J62" s="35">
        <f t="shared" si="10"/>
        <v>410321.03192391817</v>
      </c>
      <c r="K62" s="35">
        <f t="shared" si="10"/>
        <v>550898.3553894884</v>
      </c>
      <c r="L62" s="35">
        <f t="shared" si="10"/>
        <v>0</v>
      </c>
      <c r="M62" s="35">
        <f t="shared" si="10"/>
        <v>0</v>
      </c>
      <c r="N62" s="158">
        <f t="shared" si="10"/>
        <v>13.380515172922024</v>
      </c>
      <c r="P62" s="32">
        <f>SUM(F62:O62)</f>
        <v>7174098.5199999977</v>
      </c>
      <c r="Q62" s="32">
        <f>E62-P62</f>
        <v>0</v>
      </c>
    </row>
    <row r="63" spans="1:17" ht="13.5" thickBot="1" x14ac:dyDescent="0.35">
      <c r="A63" s="33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161"/>
    </row>
  </sheetData>
  <phoneticPr fontId="0" type="noConversion"/>
  <printOptions horizontalCentered="1" gridLines="1" gridLinesSet="0"/>
  <pageMargins left="0" right="0" top="0.5" bottom="0.4" header="0.2" footer="0.2"/>
  <pageSetup scale="65" orientation="landscape" horizontalDpi="300" verticalDpi="300" r:id="rId1"/>
  <headerFooter alignWithMargins="0">
    <oddFooter>&amp;L&amp;8&amp;F&amp;C&amp;8&amp;A
page &amp;P&amp;R&amp;8&amp;D
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199"/>
  <sheetViews>
    <sheetView zoomScale="85" zoomScaleNormal="85" workbookViewId="0">
      <pane xSplit="1" ySplit="7" topLeftCell="B8" activePane="bottomRight" state="frozen"/>
      <selection activeCell="C368" sqref="C368"/>
      <selection pane="topRight" activeCell="C368" sqref="C368"/>
      <selection pane="bottomLeft" activeCell="C368" sqref="C368"/>
      <selection pane="bottomRight" activeCell="B8" sqref="B8"/>
    </sheetView>
  </sheetViews>
  <sheetFormatPr defaultColWidth="8.81640625" defaultRowHeight="13" x14ac:dyDescent="0.3"/>
  <cols>
    <col min="1" max="1" width="9.453125" style="4" customWidth="1"/>
    <col min="2" max="2" width="34.453125" style="4" customWidth="1"/>
    <col min="3" max="3" width="9.453125" style="1" customWidth="1"/>
    <col min="4" max="4" width="19" style="17" bestFit="1" customWidth="1"/>
    <col min="5" max="5" width="12.1796875" style="17" customWidth="1"/>
    <col min="6" max="6" width="15.54296875" style="17" bestFit="1" customWidth="1"/>
    <col min="7" max="7" width="13.453125" style="4" customWidth="1"/>
    <col min="8" max="8" width="15.54296875" style="4" bestFit="1" customWidth="1"/>
    <col min="9" max="9" width="15.81640625" style="4" hidden="1" customWidth="1"/>
    <col min="10" max="10" width="15.54296875" style="4" bestFit="1" customWidth="1"/>
    <col min="11" max="11" width="13.81640625" style="4" bestFit="1" customWidth="1"/>
    <col min="12" max="12" width="15.453125" style="4" bestFit="1" customWidth="1"/>
    <col min="13" max="13" width="12.54296875" style="4" bestFit="1" customWidth="1"/>
    <col min="14" max="14" width="12.453125" style="4" bestFit="1" customWidth="1"/>
    <col min="15" max="15" width="11.54296875" style="4" bestFit="1" customWidth="1"/>
    <col min="16" max="16" width="12.453125" style="4" bestFit="1" customWidth="1"/>
    <col min="17" max="17" width="13.54296875" style="4" bestFit="1" customWidth="1"/>
    <col min="18" max="18" width="14.54296875" style="4" customWidth="1"/>
    <col min="19" max="19" width="14.54296875" style="4" bestFit="1" customWidth="1"/>
    <col min="20" max="20" width="13" style="4" bestFit="1" customWidth="1"/>
    <col min="21" max="16384" width="8.81640625" style="4"/>
  </cols>
  <sheetData>
    <row r="1" spans="1:20" x14ac:dyDescent="0.3">
      <c r="A1" s="343" t="str">
        <f>'1. RB-i'!A1</f>
        <v>CPS Energy</v>
      </c>
      <c r="B1" s="207"/>
      <c r="C1" s="207"/>
      <c r="D1" s="444"/>
      <c r="E1" s="353"/>
      <c r="F1" s="353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345"/>
    </row>
    <row r="2" spans="1:20" x14ac:dyDescent="0.3">
      <c r="A2" s="346" t="s">
        <v>1296</v>
      </c>
      <c r="B2" s="191"/>
      <c r="C2" s="191"/>
      <c r="D2" s="256"/>
      <c r="E2" s="256"/>
      <c r="F2" s="256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347"/>
    </row>
    <row r="3" spans="1:20" x14ac:dyDescent="0.3">
      <c r="A3" s="346" t="str">
        <f>'1. RB-i'!A3</f>
        <v>FYE 2017</v>
      </c>
      <c r="B3" s="191"/>
      <c r="C3" s="191"/>
      <c r="D3" s="256"/>
      <c r="E3" s="256"/>
      <c r="F3" s="256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347"/>
    </row>
    <row r="4" spans="1:20" x14ac:dyDescent="0.3">
      <c r="A4" s="268"/>
      <c r="B4" s="191"/>
      <c r="C4" s="191"/>
      <c r="D4" s="256"/>
      <c r="E4" s="256"/>
      <c r="F4" s="256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347"/>
    </row>
    <row r="5" spans="1:20" x14ac:dyDescent="0.3">
      <c r="A5" s="268"/>
      <c r="B5" s="191"/>
      <c r="C5" s="417"/>
      <c r="D5" s="199" t="s">
        <v>353</v>
      </c>
      <c r="E5" s="417" t="s">
        <v>354</v>
      </c>
      <c r="F5" s="417" t="s">
        <v>355</v>
      </c>
      <c r="G5" s="417" t="s">
        <v>356</v>
      </c>
      <c r="H5" s="417" t="s">
        <v>355</v>
      </c>
      <c r="I5" s="417" t="s">
        <v>357</v>
      </c>
      <c r="J5" s="199" t="s">
        <v>10</v>
      </c>
      <c r="K5" s="199" t="s">
        <v>10</v>
      </c>
      <c r="L5" s="199" t="s">
        <v>10</v>
      </c>
      <c r="M5" s="199" t="s">
        <v>10</v>
      </c>
      <c r="N5" s="199" t="s">
        <v>10</v>
      </c>
      <c r="O5" s="199" t="s">
        <v>10</v>
      </c>
      <c r="P5" s="199" t="s">
        <v>10</v>
      </c>
      <c r="Q5" s="356" t="s">
        <v>10</v>
      </c>
      <c r="R5" s="45"/>
      <c r="S5" s="6" t="s">
        <v>832</v>
      </c>
    </row>
    <row r="6" spans="1:20" x14ac:dyDescent="0.3">
      <c r="A6" s="268" t="s">
        <v>358</v>
      </c>
      <c r="B6" s="417" t="s">
        <v>359</v>
      </c>
      <c r="C6" s="417"/>
      <c r="D6" s="199" t="s">
        <v>361</v>
      </c>
      <c r="E6" s="417" t="s">
        <v>362</v>
      </c>
      <c r="F6" s="417"/>
      <c r="G6" s="417" t="s">
        <v>363</v>
      </c>
      <c r="H6" s="417" t="s">
        <v>364</v>
      </c>
      <c r="I6" s="417" t="s">
        <v>365</v>
      </c>
      <c r="J6" s="417" t="s">
        <v>544</v>
      </c>
      <c r="K6" s="199" t="s">
        <v>366</v>
      </c>
      <c r="L6" s="199" t="s">
        <v>367</v>
      </c>
      <c r="M6" s="199" t="s">
        <v>907</v>
      </c>
      <c r="N6" s="199" t="s">
        <v>909</v>
      </c>
      <c r="O6" s="199" t="s">
        <v>910</v>
      </c>
      <c r="P6" s="199" t="s">
        <v>912</v>
      </c>
      <c r="Q6" s="356" t="s">
        <v>913</v>
      </c>
      <c r="R6" s="45"/>
      <c r="S6" s="6" t="s">
        <v>833</v>
      </c>
      <c r="T6" s="4" t="s">
        <v>824</v>
      </c>
    </row>
    <row r="7" spans="1:20" ht="13.5" thickBot="1" x14ac:dyDescent="0.35">
      <c r="A7" s="278" t="s">
        <v>368</v>
      </c>
      <c r="B7" s="284"/>
      <c r="C7" s="284"/>
      <c r="D7" s="418" t="s">
        <v>815</v>
      </c>
      <c r="E7" s="282" t="s">
        <v>816</v>
      </c>
      <c r="F7" s="282" t="s">
        <v>817</v>
      </c>
      <c r="G7" s="282" t="s">
        <v>818</v>
      </c>
      <c r="H7" s="282" t="s">
        <v>819</v>
      </c>
      <c r="I7" s="282" t="s">
        <v>820</v>
      </c>
      <c r="J7" s="282" t="s">
        <v>821</v>
      </c>
      <c r="K7" s="282" t="s">
        <v>822</v>
      </c>
      <c r="L7" s="282" t="s">
        <v>823</v>
      </c>
      <c r="M7" s="282" t="s">
        <v>908</v>
      </c>
      <c r="N7" s="282" t="s">
        <v>914</v>
      </c>
      <c r="O7" s="282" t="s">
        <v>915</v>
      </c>
      <c r="P7" s="282" t="s">
        <v>916</v>
      </c>
      <c r="Q7" s="300" t="s">
        <v>917</v>
      </c>
      <c r="R7" s="5"/>
    </row>
    <row r="8" spans="1:20" s="1" customFormat="1" x14ac:dyDescent="0.3">
      <c r="A8" s="10"/>
      <c r="D8" s="11"/>
      <c r="E8" s="11"/>
      <c r="F8" s="11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</row>
    <row r="9" spans="1:20" s="1" customFormat="1" x14ac:dyDescent="0.3">
      <c r="A9" s="499" t="s">
        <v>811</v>
      </c>
      <c r="B9" s="62"/>
      <c r="C9" s="62"/>
      <c r="D9" s="171"/>
      <c r="E9" s="171"/>
      <c r="F9" s="171"/>
      <c r="G9" s="62"/>
      <c r="H9" s="62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</row>
    <row r="10" spans="1:20" s="1" customFormat="1" x14ac:dyDescent="0.3">
      <c r="A10" s="499"/>
      <c r="B10" s="62"/>
      <c r="C10" s="62"/>
      <c r="D10" s="171"/>
      <c r="E10" s="171"/>
      <c r="F10" s="171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</row>
    <row r="11" spans="1:20" x14ac:dyDescent="0.3">
      <c r="A11" s="499" t="s">
        <v>1142</v>
      </c>
      <c r="B11" s="62"/>
      <c r="C11" s="62"/>
      <c r="D11" s="171"/>
      <c r="E11" s="171"/>
      <c r="F11" s="171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</row>
    <row r="12" spans="1:20" x14ac:dyDescent="0.3">
      <c r="A12" s="499" t="s">
        <v>1143</v>
      </c>
      <c r="B12" s="62" t="s">
        <v>1144</v>
      </c>
      <c r="C12" s="62"/>
      <c r="D12" s="678"/>
      <c r="E12" s="678"/>
      <c r="F12" s="678"/>
      <c r="G12" s="678"/>
      <c r="H12" s="678"/>
      <c r="I12" s="678"/>
      <c r="J12" s="678"/>
      <c r="K12" s="678"/>
      <c r="L12" s="678"/>
      <c r="M12" s="678"/>
      <c r="N12" s="678"/>
      <c r="O12" s="678"/>
      <c r="P12" s="678"/>
      <c r="Q12" s="678"/>
      <c r="R12" s="62"/>
      <c r="S12" s="62"/>
      <c r="T12" s="62"/>
    </row>
    <row r="13" spans="1:20" x14ac:dyDescent="0.3">
      <c r="A13" s="499" t="s">
        <v>1145</v>
      </c>
      <c r="B13" s="62" t="s">
        <v>1146</v>
      </c>
      <c r="C13" s="62"/>
      <c r="D13" s="678"/>
      <c r="E13" s="678"/>
      <c r="F13" s="678"/>
      <c r="G13" s="678"/>
      <c r="H13" s="678"/>
      <c r="I13" s="678"/>
      <c r="J13" s="678"/>
      <c r="K13" s="678"/>
      <c r="L13" s="678"/>
      <c r="M13" s="678"/>
      <c r="N13" s="678"/>
      <c r="O13" s="678"/>
      <c r="P13" s="678"/>
      <c r="Q13" s="678"/>
      <c r="R13" s="62"/>
      <c r="S13" s="62"/>
      <c r="T13" s="62"/>
    </row>
    <row r="14" spans="1:20" x14ac:dyDescent="0.3">
      <c r="A14" s="499" t="s">
        <v>1147</v>
      </c>
      <c r="B14" s="62" t="s">
        <v>1148</v>
      </c>
      <c r="C14" s="62"/>
      <c r="D14" s="678"/>
      <c r="E14" s="678"/>
      <c r="F14" s="678"/>
      <c r="G14" s="678"/>
      <c r="H14" s="678"/>
      <c r="I14" s="678"/>
      <c r="J14" s="678"/>
      <c r="K14" s="678"/>
      <c r="L14" s="678"/>
      <c r="M14" s="678"/>
      <c r="N14" s="678"/>
      <c r="O14" s="678"/>
      <c r="P14" s="678"/>
      <c r="Q14" s="678"/>
      <c r="R14" s="62"/>
      <c r="S14" s="62"/>
      <c r="T14" s="62"/>
    </row>
    <row r="15" spans="1:20" x14ac:dyDescent="0.3">
      <c r="A15" s="499"/>
      <c r="B15" s="62"/>
      <c r="C15" s="62"/>
      <c r="D15" s="678"/>
      <c r="E15" s="678"/>
      <c r="F15" s="678"/>
      <c r="G15" s="677"/>
      <c r="H15" s="677"/>
      <c r="I15" s="677"/>
      <c r="J15" s="677"/>
      <c r="K15" s="677"/>
      <c r="L15" s="677"/>
      <c r="M15" s="677"/>
      <c r="N15" s="677"/>
      <c r="O15" s="677"/>
      <c r="P15" s="677"/>
      <c r="Q15" s="677"/>
      <c r="R15" s="62"/>
      <c r="S15" s="62"/>
      <c r="T15" s="62"/>
    </row>
    <row r="16" spans="1:20" x14ac:dyDescent="0.3">
      <c r="A16" s="498"/>
      <c r="B16" s="62" t="s">
        <v>1149</v>
      </c>
      <c r="C16" s="62"/>
      <c r="D16" s="678"/>
      <c r="E16" s="678"/>
      <c r="F16" s="678"/>
      <c r="G16" s="678"/>
      <c r="H16" s="678"/>
      <c r="I16" s="678"/>
      <c r="J16" s="678"/>
      <c r="K16" s="678"/>
      <c r="L16" s="678"/>
      <c r="M16" s="678"/>
      <c r="N16" s="678"/>
      <c r="O16" s="678"/>
      <c r="P16" s="678"/>
      <c r="Q16" s="678"/>
      <c r="R16" s="62"/>
      <c r="S16" s="62"/>
      <c r="T16" s="62"/>
    </row>
    <row r="17" spans="1:22" x14ac:dyDescent="0.3">
      <c r="A17" s="498"/>
      <c r="B17" s="62"/>
      <c r="C17" s="62"/>
      <c r="D17" s="678"/>
      <c r="E17" s="678"/>
      <c r="F17" s="678"/>
      <c r="G17" s="677"/>
      <c r="H17" s="677"/>
      <c r="I17" s="677"/>
      <c r="J17" s="677"/>
      <c r="K17" s="677"/>
      <c r="L17" s="677"/>
      <c r="M17" s="677"/>
      <c r="N17" s="677"/>
      <c r="O17" s="677"/>
      <c r="P17" s="677"/>
      <c r="Q17" s="677"/>
      <c r="R17" s="62"/>
      <c r="S17" s="62"/>
      <c r="T17" s="62"/>
    </row>
    <row r="18" spans="1:22" x14ac:dyDescent="0.3">
      <c r="A18" s="463" t="s">
        <v>370</v>
      </c>
      <c r="B18" s="62"/>
      <c r="C18" s="62"/>
      <c r="D18" s="678"/>
      <c r="E18" s="678"/>
      <c r="F18" s="678"/>
      <c r="G18" s="677"/>
      <c r="H18" s="677"/>
      <c r="I18" s="677"/>
      <c r="J18" s="677"/>
      <c r="K18" s="677"/>
      <c r="L18" s="677"/>
      <c r="M18" s="677"/>
      <c r="N18" s="677"/>
      <c r="O18" s="677"/>
      <c r="P18" s="677"/>
      <c r="Q18" s="677"/>
      <c r="R18" s="62"/>
      <c r="S18" s="62"/>
      <c r="T18" s="62"/>
    </row>
    <row r="19" spans="1:22" x14ac:dyDescent="0.3">
      <c r="A19" s="503" t="s">
        <v>371</v>
      </c>
      <c r="B19" s="504" t="s">
        <v>372</v>
      </c>
      <c r="C19" s="62"/>
      <c r="D19" s="678"/>
      <c r="E19" s="678"/>
      <c r="F19" s="678"/>
      <c r="G19" s="678"/>
      <c r="H19" s="678"/>
      <c r="I19" s="678"/>
      <c r="J19" s="678"/>
      <c r="K19" s="678"/>
      <c r="L19" s="678"/>
      <c r="M19" s="678"/>
      <c r="N19" s="678"/>
      <c r="O19" s="678"/>
      <c r="P19" s="678"/>
      <c r="Q19" s="678"/>
      <c r="R19" s="171"/>
      <c r="S19" s="62">
        <f>SUM(J19:Q19)</f>
        <v>0</v>
      </c>
      <c r="T19" s="468">
        <f t="shared" ref="T19:T25" si="0">I19-S19</f>
        <v>0</v>
      </c>
      <c r="U19" s="14"/>
      <c r="V19" s="14"/>
    </row>
    <row r="20" spans="1:22" x14ac:dyDescent="0.3">
      <c r="A20" s="503" t="s">
        <v>373</v>
      </c>
      <c r="B20" s="503" t="s">
        <v>374</v>
      </c>
      <c r="C20" s="498"/>
      <c r="D20" s="678"/>
      <c r="E20" s="678"/>
      <c r="F20" s="678"/>
      <c r="G20" s="678"/>
      <c r="H20" s="678"/>
      <c r="I20" s="678"/>
      <c r="J20" s="678"/>
      <c r="K20" s="678"/>
      <c r="L20" s="678"/>
      <c r="M20" s="678"/>
      <c r="N20" s="678"/>
      <c r="O20" s="678"/>
      <c r="P20" s="678"/>
      <c r="Q20" s="678"/>
      <c r="R20" s="171"/>
      <c r="S20" s="62">
        <f t="shared" ref="S20:S25" si="1">SUM(J20:Q20)</f>
        <v>0</v>
      </c>
      <c r="T20" s="468">
        <f t="shared" si="0"/>
        <v>0</v>
      </c>
    </row>
    <row r="21" spans="1:22" x14ac:dyDescent="0.3">
      <c r="A21" s="503" t="s">
        <v>375</v>
      </c>
      <c r="B21" s="503" t="s">
        <v>376</v>
      </c>
      <c r="C21" s="498"/>
      <c r="D21" s="678"/>
      <c r="E21" s="678"/>
      <c r="F21" s="678"/>
      <c r="G21" s="678"/>
      <c r="H21" s="678"/>
      <c r="I21" s="678"/>
      <c r="J21" s="678"/>
      <c r="K21" s="678"/>
      <c r="L21" s="678"/>
      <c r="M21" s="678"/>
      <c r="N21" s="678"/>
      <c r="O21" s="678"/>
      <c r="P21" s="678"/>
      <c r="Q21" s="678"/>
      <c r="R21" s="171"/>
      <c r="S21" s="62">
        <f t="shared" si="1"/>
        <v>0</v>
      </c>
      <c r="T21" s="468">
        <f t="shared" si="0"/>
        <v>0</v>
      </c>
    </row>
    <row r="22" spans="1:22" x14ac:dyDescent="0.3">
      <c r="A22" s="503" t="s">
        <v>377</v>
      </c>
      <c r="B22" s="504" t="s">
        <v>378</v>
      </c>
      <c r="C22" s="62"/>
      <c r="D22" s="678"/>
      <c r="E22" s="678"/>
      <c r="F22" s="678"/>
      <c r="G22" s="678"/>
      <c r="H22" s="678"/>
      <c r="I22" s="678"/>
      <c r="J22" s="678"/>
      <c r="K22" s="678"/>
      <c r="L22" s="678"/>
      <c r="M22" s="678"/>
      <c r="N22" s="678"/>
      <c r="O22" s="678"/>
      <c r="P22" s="678"/>
      <c r="Q22" s="678"/>
      <c r="R22" s="171"/>
      <c r="S22" s="62">
        <f t="shared" si="1"/>
        <v>0</v>
      </c>
      <c r="T22" s="468">
        <f t="shared" si="0"/>
        <v>0</v>
      </c>
    </row>
    <row r="23" spans="1:22" x14ac:dyDescent="0.3">
      <c r="A23" s="503" t="s">
        <v>379</v>
      </c>
      <c r="B23" s="504" t="s">
        <v>380</v>
      </c>
      <c r="C23" s="62"/>
      <c r="D23" s="678"/>
      <c r="E23" s="678"/>
      <c r="F23" s="678"/>
      <c r="G23" s="678"/>
      <c r="H23" s="678"/>
      <c r="I23" s="678"/>
      <c r="J23" s="678"/>
      <c r="K23" s="678"/>
      <c r="L23" s="678"/>
      <c r="M23" s="678"/>
      <c r="N23" s="678"/>
      <c r="O23" s="678"/>
      <c r="P23" s="678"/>
      <c r="Q23" s="678"/>
      <c r="R23" s="171"/>
      <c r="S23" s="62">
        <f t="shared" si="1"/>
        <v>0</v>
      </c>
      <c r="T23" s="468">
        <f t="shared" si="0"/>
        <v>0</v>
      </c>
    </row>
    <row r="24" spans="1:22" x14ac:dyDescent="0.3">
      <c r="A24" s="503" t="s">
        <v>381</v>
      </c>
      <c r="B24" s="504" t="s">
        <v>382</v>
      </c>
      <c r="C24" s="62"/>
      <c r="D24" s="678"/>
      <c r="E24" s="678"/>
      <c r="F24" s="678"/>
      <c r="G24" s="678"/>
      <c r="H24" s="678"/>
      <c r="I24" s="678"/>
      <c r="J24" s="678"/>
      <c r="K24" s="678"/>
      <c r="L24" s="678"/>
      <c r="M24" s="678"/>
      <c r="N24" s="678"/>
      <c r="O24" s="678"/>
      <c r="P24" s="678"/>
      <c r="Q24" s="678"/>
      <c r="R24" s="171"/>
      <c r="S24" s="62">
        <f t="shared" si="1"/>
        <v>0</v>
      </c>
      <c r="T24" s="468">
        <f t="shared" si="0"/>
        <v>0</v>
      </c>
    </row>
    <row r="25" spans="1:22" x14ac:dyDescent="0.3">
      <c r="A25" s="503" t="s">
        <v>383</v>
      </c>
      <c r="B25" s="504" t="s">
        <v>384</v>
      </c>
      <c r="C25" s="62"/>
      <c r="D25" s="678"/>
      <c r="E25" s="678"/>
      <c r="F25" s="678"/>
      <c r="G25" s="678"/>
      <c r="H25" s="678"/>
      <c r="I25" s="678"/>
      <c r="J25" s="678"/>
      <c r="K25" s="678"/>
      <c r="L25" s="678"/>
      <c r="M25" s="678"/>
      <c r="N25" s="678"/>
      <c r="O25" s="678"/>
      <c r="P25" s="678"/>
      <c r="Q25" s="678"/>
      <c r="R25" s="171"/>
      <c r="S25" s="62">
        <f t="shared" si="1"/>
        <v>0</v>
      </c>
      <c r="T25" s="468">
        <f t="shared" si="0"/>
        <v>0</v>
      </c>
    </row>
    <row r="26" spans="1:22" x14ac:dyDescent="0.3">
      <c r="A26" s="62"/>
      <c r="B26" s="62"/>
      <c r="C26" s="62"/>
      <c r="D26" s="678"/>
      <c r="E26" s="678"/>
      <c r="F26" s="678"/>
      <c r="G26" s="677"/>
      <c r="H26" s="678"/>
      <c r="I26" s="677"/>
      <c r="J26" s="677"/>
      <c r="K26" s="677"/>
      <c r="L26" s="677"/>
      <c r="M26" s="677"/>
      <c r="N26" s="677"/>
      <c r="O26" s="677"/>
      <c r="P26" s="677"/>
      <c r="Q26" s="677"/>
      <c r="R26" s="62"/>
      <c r="S26" s="62"/>
      <c r="T26" s="62"/>
    </row>
    <row r="27" spans="1:22" x14ac:dyDescent="0.3">
      <c r="A27" s="62"/>
      <c r="B27" s="62" t="s">
        <v>385</v>
      </c>
      <c r="C27" s="62"/>
      <c r="D27" s="678"/>
      <c r="E27" s="678"/>
      <c r="F27" s="678"/>
      <c r="G27" s="677"/>
      <c r="H27" s="678"/>
      <c r="I27" s="678"/>
      <c r="J27" s="678"/>
      <c r="K27" s="678"/>
      <c r="L27" s="678"/>
      <c r="M27" s="678"/>
      <c r="N27" s="678"/>
      <c r="O27" s="678"/>
      <c r="P27" s="678"/>
      <c r="Q27" s="678"/>
      <c r="R27" s="171"/>
      <c r="S27" s="62">
        <f>SUM(J27:Q27)</f>
        <v>0</v>
      </c>
      <c r="T27" s="468">
        <f>I27-S27</f>
        <v>0</v>
      </c>
    </row>
    <row r="28" spans="1:22" x14ac:dyDescent="0.3">
      <c r="A28" s="62"/>
      <c r="B28" s="62"/>
      <c r="C28" s="62"/>
      <c r="D28" s="678"/>
      <c r="E28" s="678"/>
      <c r="F28" s="678"/>
      <c r="G28" s="677"/>
      <c r="H28" s="677"/>
      <c r="I28" s="677"/>
      <c r="J28" s="677"/>
      <c r="K28" s="677"/>
      <c r="L28" s="677"/>
      <c r="M28" s="677"/>
      <c r="N28" s="677"/>
      <c r="O28" s="677"/>
      <c r="P28" s="677"/>
      <c r="Q28" s="677"/>
      <c r="R28" s="62"/>
      <c r="S28" s="62"/>
      <c r="T28" s="468"/>
    </row>
    <row r="29" spans="1:22" x14ac:dyDescent="0.3">
      <c r="A29" s="463" t="s">
        <v>386</v>
      </c>
      <c r="B29" s="62"/>
      <c r="C29" s="62"/>
      <c r="D29" s="678"/>
      <c r="E29" s="678"/>
      <c r="F29" s="678"/>
      <c r="G29" s="677"/>
      <c r="H29" s="677"/>
      <c r="I29" s="677"/>
      <c r="J29" s="677"/>
      <c r="K29" s="677"/>
      <c r="L29" s="677"/>
      <c r="M29" s="677"/>
      <c r="N29" s="677"/>
      <c r="O29" s="677"/>
      <c r="P29" s="677"/>
      <c r="Q29" s="677"/>
      <c r="R29" s="62"/>
      <c r="S29" s="62"/>
      <c r="T29" s="62"/>
    </row>
    <row r="30" spans="1:22" x14ac:dyDescent="0.3">
      <c r="A30" s="500" t="s">
        <v>387</v>
      </c>
      <c r="B30" s="501" t="s">
        <v>372</v>
      </c>
      <c r="C30" s="62"/>
      <c r="D30" s="678"/>
      <c r="E30" s="678"/>
      <c r="F30" s="678"/>
      <c r="G30" s="678"/>
      <c r="H30" s="678"/>
      <c r="I30" s="678"/>
      <c r="J30" s="678"/>
      <c r="K30" s="678"/>
      <c r="L30" s="678"/>
      <c r="M30" s="678"/>
      <c r="N30" s="678"/>
      <c r="O30" s="678"/>
      <c r="P30" s="678"/>
      <c r="Q30" s="678"/>
      <c r="R30" s="171"/>
      <c r="S30" s="62">
        <f t="shared" ref="S30:S35" si="2">SUM(J30:Q30)</f>
        <v>0</v>
      </c>
      <c r="T30" s="468">
        <f t="shared" ref="T30:T37" si="3">I30-S30</f>
        <v>0</v>
      </c>
    </row>
    <row r="31" spans="1:22" x14ac:dyDescent="0.3">
      <c r="A31" s="500" t="s">
        <v>388</v>
      </c>
      <c r="B31" s="502" t="s">
        <v>374</v>
      </c>
      <c r="C31" s="498"/>
      <c r="D31" s="678"/>
      <c r="E31" s="678"/>
      <c r="F31" s="678"/>
      <c r="G31" s="678"/>
      <c r="H31" s="678"/>
      <c r="I31" s="678"/>
      <c r="J31" s="678"/>
      <c r="K31" s="678"/>
      <c r="L31" s="678"/>
      <c r="M31" s="678"/>
      <c r="N31" s="678"/>
      <c r="O31" s="678"/>
      <c r="P31" s="678"/>
      <c r="Q31" s="678"/>
      <c r="R31" s="171"/>
      <c r="S31" s="62">
        <f t="shared" si="2"/>
        <v>0</v>
      </c>
      <c r="T31" s="468">
        <f t="shared" si="3"/>
        <v>0</v>
      </c>
    </row>
    <row r="32" spans="1:22" x14ac:dyDescent="0.3">
      <c r="A32" s="500" t="s">
        <v>389</v>
      </c>
      <c r="B32" s="502" t="s">
        <v>390</v>
      </c>
      <c r="C32" s="498"/>
      <c r="D32" s="678"/>
      <c r="E32" s="678"/>
      <c r="F32" s="678"/>
      <c r="G32" s="678"/>
      <c r="H32" s="678"/>
      <c r="I32" s="678"/>
      <c r="J32" s="678"/>
      <c r="K32" s="678"/>
      <c r="L32" s="678"/>
      <c r="M32" s="678"/>
      <c r="N32" s="678"/>
      <c r="O32" s="678"/>
      <c r="P32" s="678"/>
      <c r="Q32" s="678"/>
      <c r="R32" s="171"/>
      <c r="S32" s="62">
        <f t="shared" si="2"/>
        <v>0</v>
      </c>
      <c r="T32" s="468">
        <f t="shared" si="3"/>
        <v>0</v>
      </c>
    </row>
    <row r="33" spans="1:20" x14ac:dyDescent="0.3">
      <c r="A33" s="500" t="s">
        <v>391</v>
      </c>
      <c r="B33" s="501" t="s">
        <v>378</v>
      </c>
      <c r="C33" s="62"/>
      <c r="D33" s="678"/>
      <c r="E33" s="678"/>
      <c r="F33" s="678"/>
      <c r="G33" s="678"/>
      <c r="H33" s="678"/>
      <c r="I33" s="678"/>
      <c r="J33" s="678"/>
      <c r="K33" s="678"/>
      <c r="L33" s="678"/>
      <c r="M33" s="678"/>
      <c r="N33" s="678"/>
      <c r="O33" s="678"/>
      <c r="P33" s="678"/>
      <c r="Q33" s="678"/>
      <c r="R33" s="171"/>
      <c r="S33" s="62">
        <f t="shared" si="2"/>
        <v>0</v>
      </c>
      <c r="T33" s="468">
        <f t="shared" si="3"/>
        <v>0</v>
      </c>
    </row>
    <row r="34" spans="1:20" x14ac:dyDescent="0.3">
      <c r="A34" s="500" t="s">
        <v>392</v>
      </c>
      <c r="B34" s="501" t="s">
        <v>380</v>
      </c>
      <c r="C34" s="62"/>
      <c r="D34" s="678"/>
      <c r="E34" s="678"/>
      <c r="F34" s="678"/>
      <c r="G34" s="678"/>
      <c r="H34" s="678"/>
      <c r="I34" s="678"/>
      <c r="J34" s="678"/>
      <c r="K34" s="678"/>
      <c r="L34" s="678"/>
      <c r="M34" s="678"/>
      <c r="N34" s="678"/>
      <c r="O34" s="678"/>
      <c r="P34" s="678"/>
      <c r="Q34" s="678"/>
      <c r="R34" s="171"/>
      <c r="S34" s="62">
        <f t="shared" si="2"/>
        <v>0</v>
      </c>
      <c r="T34" s="468">
        <f t="shared" si="3"/>
        <v>0</v>
      </c>
    </row>
    <row r="35" spans="1:20" x14ac:dyDescent="0.3">
      <c r="A35" s="500" t="s">
        <v>393</v>
      </c>
      <c r="B35" s="501" t="s">
        <v>382</v>
      </c>
      <c r="C35" s="62"/>
      <c r="D35" s="678"/>
      <c r="E35" s="678"/>
      <c r="F35" s="678"/>
      <c r="G35" s="678"/>
      <c r="H35" s="678"/>
      <c r="I35" s="678"/>
      <c r="J35" s="678"/>
      <c r="K35" s="678"/>
      <c r="L35" s="678"/>
      <c r="M35" s="678"/>
      <c r="N35" s="678"/>
      <c r="O35" s="678"/>
      <c r="P35" s="678"/>
      <c r="Q35" s="678"/>
      <c r="R35" s="171"/>
      <c r="S35" s="62">
        <f t="shared" si="2"/>
        <v>0</v>
      </c>
      <c r="T35" s="468">
        <f t="shared" si="3"/>
        <v>0</v>
      </c>
    </row>
    <row r="36" spans="1:20" x14ac:dyDescent="0.3">
      <c r="A36" s="500" t="s">
        <v>1150</v>
      </c>
      <c r="B36" s="501" t="s">
        <v>384</v>
      </c>
      <c r="C36" s="62"/>
      <c r="D36" s="678"/>
      <c r="E36" s="678"/>
      <c r="F36" s="678"/>
      <c r="G36" s="678"/>
      <c r="H36" s="678"/>
      <c r="I36" s="678"/>
      <c r="J36" s="678"/>
      <c r="K36" s="678"/>
      <c r="L36" s="678"/>
      <c r="M36" s="678"/>
      <c r="N36" s="678"/>
      <c r="O36" s="678"/>
      <c r="P36" s="678"/>
      <c r="Q36" s="678"/>
      <c r="R36" s="171"/>
      <c r="S36" s="62">
        <f t="shared" ref="S36" si="4">SUM(J36:Q36)</f>
        <v>0</v>
      </c>
      <c r="T36" s="468">
        <f t="shared" ref="T36" si="5">I36-S36</f>
        <v>0</v>
      </c>
    </row>
    <row r="37" spans="1:20" s="1" customFormat="1" x14ac:dyDescent="0.3">
      <c r="A37" s="500"/>
      <c r="B37" s="501" t="s">
        <v>91</v>
      </c>
      <c r="C37" s="62"/>
      <c r="D37" s="678"/>
      <c r="E37" s="678"/>
      <c r="F37" s="678"/>
      <c r="G37" s="678"/>
      <c r="H37" s="678"/>
      <c r="I37" s="678"/>
      <c r="J37" s="678"/>
      <c r="K37" s="678"/>
      <c r="L37" s="678"/>
      <c r="M37" s="678"/>
      <c r="N37" s="678"/>
      <c r="O37" s="678"/>
      <c r="P37" s="678"/>
      <c r="Q37" s="678"/>
      <c r="R37" s="171"/>
      <c r="S37" s="62">
        <f>SUM(J37:Q37)</f>
        <v>0</v>
      </c>
      <c r="T37" s="468">
        <f t="shared" si="3"/>
        <v>0</v>
      </c>
    </row>
    <row r="38" spans="1:20" s="1" customFormat="1" x14ac:dyDescent="0.3">
      <c r="A38" s="62"/>
      <c r="B38" s="62"/>
      <c r="C38" s="62"/>
      <c r="D38" s="678"/>
      <c r="E38" s="678"/>
      <c r="F38" s="678"/>
      <c r="G38" s="677"/>
      <c r="H38" s="677"/>
      <c r="I38" s="677"/>
      <c r="J38" s="677"/>
      <c r="K38" s="677"/>
      <c r="L38" s="677"/>
      <c r="M38" s="677"/>
      <c r="N38" s="677"/>
      <c r="O38" s="677"/>
      <c r="P38" s="677"/>
      <c r="Q38" s="677"/>
      <c r="R38" s="62"/>
      <c r="S38" s="62"/>
      <c r="T38" s="62"/>
    </row>
    <row r="39" spans="1:20" s="1" customFormat="1" x14ac:dyDescent="0.3">
      <c r="A39" s="62"/>
      <c r="B39" s="62" t="s">
        <v>394</v>
      </c>
      <c r="C39" s="62"/>
      <c r="D39" s="678"/>
      <c r="E39" s="678"/>
      <c r="F39" s="678"/>
      <c r="G39" s="677"/>
      <c r="H39" s="678"/>
      <c r="I39" s="678"/>
      <c r="J39" s="678"/>
      <c r="K39" s="678"/>
      <c r="L39" s="678"/>
      <c r="M39" s="678"/>
      <c r="N39" s="678"/>
      <c r="O39" s="678"/>
      <c r="P39" s="678"/>
      <c r="Q39" s="678"/>
      <c r="R39" s="171"/>
      <c r="S39" s="62">
        <f>SUM(J39:Q39)</f>
        <v>0</v>
      </c>
      <c r="T39" s="468">
        <f>I39-S39</f>
        <v>0</v>
      </c>
    </row>
    <row r="40" spans="1:20" s="1" customFormat="1" x14ac:dyDescent="0.3">
      <c r="A40" s="62"/>
      <c r="B40" s="62"/>
      <c r="C40" s="62"/>
      <c r="D40" s="678"/>
      <c r="E40" s="678"/>
      <c r="F40" s="678"/>
      <c r="G40" s="677"/>
      <c r="H40" s="677"/>
      <c r="I40" s="677"/>
      <c r="J40" s="677"/>
      <c r="K40" s="677"/>
      <c r="L40" s="677"/>
      <c r="M40" s="677"/>
      <c r="N40" s="677"/>
      <c r="O40" s="677"/>
      <c r="P40" s="677"/>
      <c r="Q40" s="677"/>
      <c r="R40" s="62"/>
      <c r="S40" s="62"/>
      <c r="T40" s="62"/>
    </row>
    <row r="41" spans="1:20" s="1" customFormat="1" x14ac:dyDescent="0.3">
      <c r="A41" s="463" t="s">
        <v>395</v>
      </c>
      <c r="B41" s="62"/>
      <c r="C41" s="62"/>
      <c r="D41" s="678"/>
      <c r="E41" s="678"/>
      <c r="F41" s="678"/>
      <c r="G41" s="677"/>
      <c r="H41" s="677"/>
      <c r="I41" s="677"/>
      <c r="J41" s="677"/>
      <c r="K41" s="677"/>
      <c r="L41" s="677"/>
      <c r="M41" s="677"/>
      <c r="N41" s="677"/>
      <c r="O41" s="677"/>
      <c r="P41" s="677"/>
      <c r="Q41" s="677"/>
      <c r="R41" s="62"/>
      <c r="S41" s="62"/>
      <c r="T41" s="62"/>
    </row>
    <row r="42" spans="1:20" s="1" customFormat="1" x14ac:dyDescent="0.3">
      <c r="A42" s="503" t="s">
        <v>396</v>
      </c>
      <c r="B42" s="504" t="s">
        <v>372</v>
      </c>
      <c r="C42" s="62"/>
      <c r="D42" s="678"/>
      <c r="E42" s="678"/>
      <c r="F42" s="678"/>
      <c r="G42" s="678"/>
      <c r="H42" s="678"/>
      <c r="I42" s="678"/>
      <c r="J42" s="678"/>
      <c r="K42" s="678"/>
      <c r="L42" s="678"/>
      <c r="M42" s="678"/>
      <c r="N42" s="678"/>
      <c r="O42" s="678"/>
      <c r="P42" s="678"/>
      <c r="Q42" s="678"/>
      <c r="R42" s="171"/>
      <c r="S42" s="62">
        <f t="shared" ref="S42:S48" si="6">SUM(J42:Q42)</f>
        <v>0</v>
      </c>
      <c r="T42" s="468">
        <f t="shared" ref="T42:T48" si="7">I42-S42</f>
        <v>0</v>
      </c>
    </row>
    <row r="43" spans="1:20" s="1" customFormat="1" x14ac:dyDescent="0.3">
      <c r="A43" s="503" t="s">
        <v>397</v>
      </c>
      <c r="B43" s="503" t="s">
        <v>374</v>
      </c>
      <c r="C43" s="498"/>
      <c r="D43" s="678"/>
      <c r="E43" s="678"/>
      <c r="F43" s="678"/>
      <c r="G43" s="678"/>
      <c r="H43" s="678"/>
      <c r="I43" s="678"/>
      <c r="J43" s="678"/>
      <c r="K43" s="678"/>
      <c r="L43" s="678"/>
      <c r="M43" s="678"/>
      <c r="N43" s="678"/>
      <c r="O43" s="678"/>
      <c r="P43" s="678"/>
      <c r="Q43" s="678"/>
      <c r="R43" s="171"/>
      <c r="S43" s="62">
        <f t="shared" si="6"/>
        <v>0</v>
      </c>
      <c r="T43" s="468">
        <f t="shared" si="7"/>
        <v>0</v>
      </c>
    </row>
    <row r="44" spans="1:20" s="1" customFormat="1" x14ac:dyDescent="0.3">
      <c r="A44" s="503" t="s">
        <v>398</v>
      </c>
      <c r="B44" s="504" t="s">
        <v>1321</v>
      </c>
      <c r="C44" s="62"/>
      <c r="D44" s="678"/>
      <c r="E44" s="678"/>
      <c r="F44" s="678"/>
      <c r="G44" s="678"/>
      <c r="H44" s="678"/>
      <c r="I44" s="678"/>
      <c r="J44" s="678"/>
      <c r="K44" s="678"/>
      <c r="L44" s="678"/>
      <c r="M44" s="678"/>
      <c r="N44" s="678"/>
      <c r="O44" s="678"/>
      <c r="P44" s="678"/>
      <c r="Q44" s="678"/>
      <c r="R44" s="171"/>
      <c r="S44" s="62">
        <f t="shared" si="6"/>
        <v>0</v>
      </c>
      <c r="T44" s="468">
        <f t="shared" si="7"/>
        <v>0</v>
      </c>
    </row>
    <row r="45" spans="1:20" s="1" customFormat="1" x14ac:dyDescent="0.3">
      <c r="A45" s="503" t="s">
        <v>399</v>
      </c>
      <c r="B45" s="504" t="s">
        <v>497</v>
      </c>
      <c r="C45" s="62"/>
      <c r="D45" s="678"/>
      <c r="E45" s="678"/>
      <c r="F45" s="678"/>
      <c r="G45" s="678"/>
      <c r="H45" s="678"/>
      <c r="I45" s="678"/>
      <c r="J45" s="678"/>
      <c r="K45" s="678"/>
      <c r="L45" s="678"/>
      <c r="M45" s="678"/>
      <c r="N45" s="678"/>
      <c r="O45" s="678"/>
      <c r="P45" s="678"/>
      <c r="Q45" s="678"/>
      <c r="R45" s="171"/>
      <c r="S45" s="62">
        <f t="shared" si="6"/>
        <v>0</v>
      </c>
      <c r="T45" s="468">
        <f t="shared" si="7"/>
        <v>0</v>
      </c>
    </row>
    <row r="46" spans="1:20" s="1" customFormat="1" x14ac:dyDescent="0.3">
      <c r="A46" s="503" t="s">
        <v>401</v>
      </c>
      <c r="B46" s="504" t="s">
        <v>402</v>
      </c>
      <c r="C46" s="62"/>
      <c r="D46" s="678"/>
      <c r="E46" s="678"/>
      <c r="F46" s="678"/>
      <c r="G46" s="678"/>
      <c r="H46" s="678"/>
      <c r="I46" s="678"/>
      <c r="J46" s="678"/>
      <c r="K46" s="678"/>
      <c r="L46" s="678"/>
      <c r="M46" s="678"/>
      <c r="N46" s="678"/>
      <c r="O46" s="678"/>
      <c r="P46" s="678"/>
      <c r="Q46" s="678"/>
      <c r="R46" s="171"/>
      <c r="S46" s="62">
        <f t="shared" si="6"/>
        <v>0</v>
      </c>
      <c r="T46" s="468">
        <f t="shared" si="7"/>
        <v>0</v>
      </c>
    </row>
    <row r="47" spans="1:20" s="1" customFormat="1" x14ac:dyDescent="0.3">
      <c r="A47" s="503" t="s">
        <v>403</v>
      </c>
      <c r="B47" s="504" t="s">
        <v>404</v>
      </c>
      <c r="C47" s="62"/>
      <c r="D47" s="678"/>
      <c r="E47" s="678"/>
      <c r="F47" s="678"/>
      <c r="G47" s="678"/>
      <c r="H47" s="678"/>
      <c r="I47" s="678"/>
      <c r="J47" s="678"/>
      <c r="K47" s="678"/>
      <c r="L47" s="678"/>
      <c r="M47" s="678"/>
      <c r="N47" s="678"/>
      <c r="O47" s="678"/>
      <c r="P47" s="678"/>
      <c r="Q47" s="678"/>
      <c r="R47" s="171"/>
      <c r="S47" s="62">
        <f t="shared" si="6"/>
        <v>0</v>
      </c>
      <c r="T47" s="468">
        <f t="shared" si="7"/>
        <v>0</v>
      </c>
    </row>
    <row r="48" spans="1:20" s="1" customFormat="1" x14ac:dyDescent="0.3">
      <c r="A48" s="503" t="s">
        <v>405</v>
      </c>
      <c r="B48" s="504" t="s">
        <v>406</v>
      </c>
      <c r="C48" s="62"/>
      <c r="D48" s="678"/>
      <c r="E48" s="678"/>
      <c r="F48" s="678"/>
      <c r="G48" s="678"/>
      <c r="H48" s="678"/>
      <c r="I48" s="678"/>
      <c r="J48" s="678"/>
      <c r="K48" s="678"/>
      <c r="L48" s="678"/>
      <c r="M48" s="678"/>
      <c r="N48" s="678"/>
      <c r="O48" s="678"/>
      <c r="P48" s="678"/>
      <c r="Q48" s="678"/>
      <c r="R48" s="171"/>
      <c r="S48" s="62">
        <f t="shared" si="6"/>
        <v>0</v>
      </c>
      <c r="T48" s="468">
        <f t="shared" si="7"/>
        <v>0</v>
      </c>
    </row>
    <row r="49" spans="1:20" s="1" customFormat="1" x14ac:dyDescent="0.3">
      <c r="A49" s="62"/>
      <c r="B49" s="62"/>
      <c r="C49" s="62"/>
      <c r="D49" s="678"/>
      <c r="E49" s="678"/>
      <c r="F49" s="678"/>
      <c r="G49" s="677"/>
      <c r="H49" s="677"/>
      <c r="I49" s="677"/>
      <c r="J49" s="677"/>
      <c r="K49" s="677"/>
      <c r="L49" s="677"/>
      <c r="M49" s="677"/>
      <c r="N49" s="677"/>
      <c r="O49" s="677"/>
      <c r="P49" s="677"/>
      <c r="Q49" s="677"/>
      <c r="R49" s="62"/>
      <c r="S49" s="62"/>
      <c r="T49" s="62"/>
    </row>
    <row r="50" spans="1:20" s="1" customFormat="1" x14ac:dyDescent="0.3">
      <c r="A50" s="62"/>
      <c r="B50" s="62" t="s">
        <v>407</v>
      </c>
      <c r="C50" s="62"/>
      <c r="D50" s="678"/>
      <c r="E50" s="678"/>
      <c r="F50" s="678"/>
      <c r="G50" s="678"/>
      <c r="H50" s="678"/>
      <c r="I50" s="678"/>
      <c r="J50" s="678"/>
      <c r="K50" s="678"/>
      <c r="L50" s="678"/>
      <c r="M50" s="678"/>
      <c r="N50" s="678"/>
      <c r="O50" s="678"/>
      <c r="P50" s="678"/>
      <c r="Q50" s="678"/>
      <c r="R50" s="171"/>
      <c r="S50" s="62">
        <f>SUM(J50:Q50)</f>
        <v>0</v>
      </c>
      <c r="T50" s="468">
        <f>I50-S50</f>
        <v>0</v>
      </c>
    </row>
    <row r="51" spans="1:20" s="1" customFormat="1" x14ac:dyDescent="0.3">
      <c r="A51" s="62"/>
      <c r="B51" s="62"/>
      <c r="C51" s="62"/>
      <c r="D51" s="678"/>
      <c r="E51" s="678"/>
      <c r="F51" s="678"/>
      <c r="G51" s="677"/>
      <c r="H51" s="677"/>
      <c r="I51" s="677"/>
      <c r="J51" s="677"/>
      <c r="K51" s="677"/>
      <c r="L51" s="677"/>
      <c r="M51" s="677"/>
      <c r="N51" s="677"/>
      <c r="O51" s="677"/>
      <c r="P51" s="677"/>
      <c r="Q51" s="677"/>
      <c r="R51" s="62"/>
      <c r="S51" s="62"/>
      <c r="T51" s="62"/>
    </row>
    <row r="52" spans="1:20" s="1" customFormat="1" x14ac:dyDescent="0.3">
      <c r="A52" s="463" t="s">
        <v>408</v>
      </c>
      <c r="B52" s="62"/>
      <c r="C52" s="62"/>
      <c r="D52" s="678"/>
      <c r="E52" s="678"/>
      <c r="F52" s="678"/>
      <c r="G52" s="677"/>
      <c r="H52" s="677"/>
      <c r="I52" s="677"/>
      <c r="J52" s="677"/>
      <c r="K52" s="677"/>
      <c r="L52" s="677"/>
      <c r="M52" s="677"/>
      <c r="N52" s="677"/>
      <c r="O52" s="677"/>
      <c r="P52" s="677"/>
      <c r="Q52" s="677"/>
      <c r="R52" s="62"/>
      <c r="S52" s="62"/>
      <c r="T52" s="62"/>
    </row>
    <row r="53" spans="1:20" s="1" customFormat="1" x14ac:dyDescent="0.3">
      <c r="A53" s="504" t="s">
        <v>409</v>
      </c>
      <c r="B53" s="504" t="s">
        <v>372</v>
      </c>
      <c r="C53" s="62"/>
      <c r="D53" s="678"/>
      <c r="E53" s="678"/>
      <c r="F53" s="678"/>
      <c r="G53" s="678"/>
      <c r="H53" s="678"/>
      <c r="I53" s="678"/>
      <c r="J53" s="678"/>
      <c r="K53" s="678"/>
      <c r="L53" s="678"/>
      <c r="M53" s="678"/>
      <c r="N53" s="678"/>
      <c r="O53" s="678"/>
      <c r="P53" s="678"/>
      <c r="Q53" s="678"/>
      <c r="R53" s="171"/>
      <c r="S53" s="62">
        <f t="shared" ref="S53:S59" si="8">SUM(J53:Q53)</f>
        <v>0</v>
      </c>
      <c r="T53" s="468">
        <f t="shared" ref="T53:T59" si="9">I53-S53</f>
        <v>0</v>
      </c>
    </row>
    <row r="54" spans="1:20" s="1" customFormat="1" x14ac:dyDescent="0.3">
      <c r="A54" s="504" t="s">
        <v>410</v>
      </c>
      <c r="B54" s="503" t="s">
        <v>374</v>
      </c>
      <c r="C54" s="498"/>
      <c r="D54" s="678"/>
      <c r="E54" s="678"/>
      <c r="F54" s="678"/>
      <c r="G54" s="678"/>
      <c r="H54" s="678"/>
      <c r="I54" s="678"/>
      <c r="J54" s="678"/>
      <c r="K54" s="678"/>
      <c r="L54" s="678"/>
      <c r="M54" s="678"/>
      <c r="N54" s="678"/>
      <c r="O54" s="678"/>
      <c r="P54" s="678"/>
      <c r="Q54" s="678"/>
      <c r="R54" s="171"/>
      <c r="S54" s="62">
        <f t="shared" si="8"/>
        <v>0</v>
      </c>
      <c r="T54" s="468">
        <f t="shared" si="9"/>
        <v>0</v>
      </c>
    </row>
    <row r="55" spans="1:20" s="1" customFormat="1" x14ac:dyDescent="0.3">
      <c r="A55" s="504" t="s">
        <v>411</v>
      </c>
      <c r="B55" s="504" t="s">
        <v>412</v>
      </c>
      <c r="C55" s="62"/>
      <c r="D55" s="678"/>
      <c r="E55" s="678"/>
      <c r="F55" s="678"/>
      <c r="G55" s="678"/>
      <c r="H55" s="678"/>
      <c r="I55" s="678"/>
      <c r="J55" s="678"/>
      <c r="K55" s="678"/>
      <c r="L55" s="678"/>
      <c r="M55" s="678"/>
      <c r="N55" s="678"/>
      <c r="O55" s="678"/>
      <c r="P55" s="678"/>
      <c r="Q55" s="678"/>
      <c r="R55" s="171"/>
      <c r="S55" s="62">
        <f t="shared" si="8"/>
        <v>0</v>
      </c>
      <c r="T55" s="468">
        <f t="shared" si="9"/>
        <v>0</v>
      </c>
    </row>
    <row r="56" spans="1:20" s="1" customFormat="1" x14ac:dyDescent="0.3">
      <c r="A56" s="504" t="s">
        <v>413</v>
      </c>
      <c r="B56" s="504" t="s">
        <v>414</v>
      </c>
      <c r="C56" s="62"/>
      <c r="D56" s="678"/>
      <c r="E56" s="678"/>
      <c r="F56" s="678"/>
      <c r="G56" s="678"/>
      <c r="H56" s="678"/>
      <c r="I56" s="678"/>
      <c r="J56" s="678"/>
      <c r="K56" s="678"/>
      <c r="L56" s="678"/>
      <c r="M56" s="678"/>
      <c r="N56" s="678"/>
      <c r="O56" s="678"/>
      <c r="P56" s="678"/>
      <c r="Q56" s="678"/>
      <c r="R56" s="171"/>
      <c r="S56" s="62">
        <f t="shared" si="8"/>
        <v>0</v>
      </c>
      <c r="T56" s="468">
        <f t="shared" si="9"/>
        <v>0</v>
      </c>
    </row>
    <row r="57" spans="1:20" s="1" customFormat="1" x14ac:dyDescent="0.3">
      <c r="A57" s="504" t="s">
        <v>415</v>
      </c>
      <c r="B57" s="503" t="s">
        <v>416</v>
      </c>
      <c r="C57" s="498"/>
      <c r="D57" s="678"/>
      <c r="E57" s="678"/>
      <c r="F57" s="678"/>
      <c r="G57" s="678"/>
      <c r="H57" s="678"/>
      <c r="I57" s="678"/>
      <c r="J57" s="678"/>
      <c r="K57" s="678"/>
      <c r="L57" s="678"/>
      <c r="M57" s="678"/>
      <c r="N57" s="678"/>
      <c r="O57" s="678"/>
      <c r="P57" s="678"/>
      <c r="Q57" s="678"/>
      <c r="R57" s="171"/>
      <c r="S57" s="62">
        <f t="shared" si="8"/>
        <v>0</v>
      </c>
      <c r="T57" s="468">
        <f t="shared" si="9"/>
        <v>0</v>
      </c>
    </row>
    <row r="58" spans="1:20" s="1" customFormat="1" x14ac:dyDescent="0.3">
      <c r="A58" s="504" t="s">
        <v>417</v>
      </c>
      <c r="B58" s="504" t="s">
        <v>418</v>
      </c>
      <c r="C58" s="62"/>
      <c r="D58" s="678"/>
      <c r="E58" s="678"/>
      <c r="F58" s="678"/>
      <c r="G58" s="678"/>
      <c r="H58" s="678"/>
      <c r="I58" s="678"/>
      <c r="J58" s="678"/>
      <c r="K58" s="678"/>
      <c r="L58" s="678"/>
      <c r="M58" s="678"/>
      <c r="N58" s="678"/>
      <c r="O58" s="678"/>
      <c r="P58" s="678"/>
      <c r="Q58" s="678"/>
      <c r="R58" s="171"/>
      <c r="S58" s="62">
        <f t="shared" si="8"/>
        <v>0</v>
      </c>
      <c r="T58" s="468">
        <f t="shared" si="9"/>
        <v>0</v>
      </c>
    </row>
    <row r="59" spans="1:20" s="1" customFormat="1" x14ac:dyDescent="0.3">
      <c r="A59" s="504" t="s">
        <v>419</v>
      </c>
      <c r="B59" s="504" t="s">
        <v>420</v>
      </c>
      <c r="C59" s="62"/>
      <c r="D59" s="678"/>
      <c r="E59" s="678"/>
      <c r="F59" s="678"/>
      <c r="G59" s="678"/>
      <c r="H59" s="678"/>
      <c r="I59" s="678"/>
      <c r="J59" s="678"/>
      <c r="K59" s="678"/>
      <c r="L59" s="678"/>
      <c r="M59" s="678"/>
      <c r="N59" s="678"/>
      <c r="O59" s="678"/>
      <c r="P59" s="678"/>
      <c r="Q59" s="678"/>
      <c r="R59" s="171"/>
      <c r="S59" s="62">
        <f t="shared" si="8"/>
        <v>0</v>
      </c>
      <c r="T59" s="468">
        <f t="shared" si="9"/>
        <v>0</v>
      </c>
    </row>
    <row r="60" spans="1:20" s="1" customFormat="1" x14ac:dyDescent="0.3">
      <c r="A60" s="504"/>
      <c r="B60" s="504"/>
      <c r="C60" s="62"/>
      <c r="D60" s="678"/>
      <c r="E60" s="678"/>
      <c r="F60" s="678"/>
      <c r="G60" s="677"/>
      <c r="H60" s="677"/>
      <c r="I60" s="677"/>
      <c r="J60" s="677"/>
      <c r="K60" s="677"/>
      <c r="L60" s="677"/>
      <c r="M60" s="677"/>
      <c r="N60" s="677"/>
      <c r="O60" s="677"/>
      <c r="P60" s="677"/>
      <c r="Q60" s="677"/>
      <c r="R60" s="62"/>
      <c r="S60" s="62"/>
      <c r="T60" s="62"/>
    </row>
    <row r="61" spans="1:20" s="1" customFormat="1" x14ac:dyDescent="0.3">
      <c r="A61" s="62"/>
      <c r="B61" s="62" t="s">
        <v>421</v>
      </c>
      <c r="C61" s="62"/>
      <c r="D61" s="678"/>
      <c r="E61" s="678"/>
      <c r="F61" s="678"/>
      <c r="G61" s="677"/>
      <c r="H61" s="678"/>
      <c r="I61" s="678"/>
      <c r="J61" s="678"/>
      <c r="K61" s="678"/>
      <c r="L61" s="678"/>
      <c r="M61" s="678"/>
      <c r="N61" s="678"/>
      <c r="O61" s="678"/>
      <c r="P61" s="678"/>
      <c r="Q61" s="678"/>
      <c r="R61" s="171"/>
      <c r="S61" s="62">
        <f>SUM(J61:Q61)</f>
        <v>0</v>
      </c>
      <c r="T61" s="468">
        <f>I61-S61</f>
        <v>0</v>
      </c>
    </row>
    <row r="62" spans="1:20" s="1" customFormat="1" x14ac:dyDescent="0.3">
      <c r="A62" s="62"/>
      <c r="B62" s="62"/>
      <c r="C62" s="62"/>
      <c r="D62" s="171"/>
      <c r="E62" s="171"/>
      <c r="F62" s="171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</row>
    <row r="63" spans="1:20" s="1" customFormat="1" x14ac:dyDescent="0.3">
      <c r="A63" s="62"/>
      <c r="B63" s="498" t="s">
        <v>422</v>
      </c>
      <c r="C63" s="498"/>
      <c r="D63" s="680">
        <v>3255676500.5500002</v>
      </c>
      <c r="E63" s="680">
        <v>0</v>
      </c>
      <c r="F63" s="680">
        <v>3255676500.5500002</v>
      </c>
      <c r="G63" s="680">
        <v>0</v>
      </c>
      <c r="H63" s="680">
        <v>3255676500.5500002</v>
      </c>
      <c r="I63" s="680">
        <v>3255676500.5500002</v>
      </c>
      <c r="J63" s="680">
        <v>3255274580.5500002</v>
      </c>
      <c r="K63" s="680">
        <v>401920</v>
      </c>
      <c r="L63" s="680">
        <v>0</v>
      </c>
      <c r="M63" s="680">
        <v>0</v>
      </c>
      <c r="N63" s="680">
        <v>0</v>
      </c>
      <c r="O63" s="680">
        <v>0</v>
      </c>
      <c r="P63" s="680">
        <v>0</v>
      </c>
      <c r="Q63" s="680">
        <v>0</v>
      </c>
      <c r="R63" s="680"/>
      <c r="S63" s="684">
        <v>3255676500.5500002</v>
      </c>
      <c r="T63" s="468">
        <f>I63-S63</f>
        <v>0</v>
      </c>
    </row>
    <row r="64" spans="1:20" s="1" customFormat="1" x14ac:dyDescent="0.3">
      <c r="A64" s="62"/>
      <c r="B64" s="62"/>
      <c r="C64" s="62"/>
      <c r="D64" s="171"/>
      <c r="E64" s="171"/>
      <c r="F64" s="171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</row>
    <row r="65" spans="1:20" s="1" customFormat="1" x14ac:dyDescent="0.3">
      <c r="A65" s="499" t="s">
        <v>423</v>
      </c>
      <c r="B65" s="62"/>
      <c r="C65" s="62"/>
      <c r="D65" s="171"/>
      <c r="E65" s="171"/>
      <c r="F65" s="171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</row>
    <row r="66" spans="1:20" s="1" customFormat="1" x14ac:dyDescent="0.3">
      <c r="A66" s="503" t="s">
        <v>424</v>
      </c>
      <c r="B66" s="504" t="s">
        <v>425</v>
      </c>
      <c r="C66" s="489"/>
      <c r="D66" s="171">
        <f>'1. RB-i'!D338</f>
        <v>95574769.460000008</v>
      </c>
      <c r="E66" s="171">
        <f>'1. RB-i'!E338</f>
        <v>0</v>
      </c>
      <c r="F66" s="171">
        <f>'1. RB-i'!F338</f>
        <v>95574769.460000008</v>
      </c>
      <c r="G66" s="171">
        <f>'1. RB-i'!G338</f>
        <v>0</v>
      </c>
      <c r="H66" s="171">
        <f>'1. RB-i'!H338</f>
        <v>95574769.460000008</v>
      </c>
      <c r="I66" s="171">
        <f>'1. RB-i'!I338</f>
        <v>95574769.460000008</v>
      </c>
      <c r="J66" s="171">
        <f>'1. RB-i'!J338</f>
        <v>262521.31399974052</v>
      </c>
      <c r="K66" s="171">
        <f>'1. RB-i'!K338</f>
        <v>93251091.795797452</v>
      </c>
      <c r="L66" s="171">
        <f>'1. RB-i'!L338</f>
        <v>2061156.3502027788</v>
      </c>
      <c r="M66" s="171">
        <f>'1. RB-i'!M338</f>
        <v>0</v>
      </c>
      <c r="N66" s="171">
        <f>'1. RB-i'!N338</f>
        <v>0</v>
      </c>
      <c r="O66" s="171">
        <f>'1. RB-i'!O338</f>
        <v>0</v>
      </c>
      <c r="P66" s="171">
        <f>'1. RB-i'!P338</f>
        <v>0</v>
      </c>
      <c r="Q66" s="171">
        <f>'1. RB-i'!Q338</f>
        <v>0</v>
      </c>
      <c r="R66" s="171"/>
      <c r="S66" s="62">
        <f t="shared" ref="S66:S74" si="10">SUM(J66:Q66)</f>
        <v>95574769.459999979</v>
      </c>
      <c r="T66" s="468">
        <f t="shared" ref="T66:T74" si="11">I66-S66</f>
        <v>0</v>
      </c>
    </row>
    <row r="67" spans="1:20" s="1" customFormat="1" x14ac:dyDescent="0.3">
      <c r="A67" s="503" t="s">
        <v>426</v>
      </c>
      <c r="B67" s="504" t="s">
        <v>374</v>
      </c>
      <c r="C67" s="62"/>
      <c r="D67" s="171">
        <f>'1. RB-i'!D339</f>
        <v>0</v>
      </c>
      <c r="E67" s="171">
        <f>'1. RB-i'!E339</f>
        <v>0</v>
      </c>
      <c r="F67" s="171">
        <f>'1. RB-i'!F339</f>
        <v>0</v>
      </c>
      <c r="G67" s="171">
        <f>'1. RB-i'!G339</f>
        <v>0</v>
      </c>
      <c r="H67" s="171">
        <f>'1. RB-i'!H339</f>
        <v>0</v>
      </c>
      <c r="I67" s="171">
        <f>'1. RB-i'!I339</f>
        <v>0</v>
      </c>
      <c r="J67" s="171">
        <f>'1. RB-i'!J339</f>
        <v>0</v>
      </c>
      <c r="K67" s="171">
        <f>'1. RB-i'!K339</f>
        <v>0</v>
      </c>
      <c r="L67" s="171">
        <f>'1. RB-i'!L339</f>
        <v>0</v>
      </c>
      <c r="M67" s="171">
        <f>'1. RB-i'!M339</f>
        <v>0</v>
      </c>
      <c r="N67" s="171">
        <f>'1. RB-i'!N339</f>
        <v>0</v>
      </c>
      <c r="O67" s="171">
        <f>'1. RB-i'!O339</f>
        <v>0</v>
      </c>
      <c r="P67" s="171">
        <f>'1. RB-i'!P339</f>
        <v>0</v>
      </c>
      <c r="Q67" s="171">
        <f>'1. RB-i'!Q339</f>
        <v>0</v>
      </c>
      <c r="R67" s="171"/>
      <c r="S67" s="62">
        <f t="shared" si="10"/>
        <v>0</v>
      </c>
      <c r="T67" s="468">
        <f t="shared" si="11"/>
        <v>0</v>
      </c>
    </row>
    <row r="68" spans="1:20" s="1" customFormat="1" x14ac:dyDescent="0.3">
      <c r="A68" s="503" t="s">
        <v>427</v>
      </c>
      <c r="B68" s="504" t="s">
        <v>428</v>
      </c>
      <c r="C68" s="489"/>
      <c r="D68" s="171">
        <f>'1. RB-i'!D340</f>
        <v>299992263.92000008</v>
      </c>
      <c r="E68" s="171">
        <f>'1. RB-i'!E340</f>
        <v>0</v>
      </c>
      <c r="F68" s="171">
        <f>'1. RB-i'!F340</f>
        <v>299992263.92000008</v>
      </c>
      <c r="G68" s="171">
        <f>'1. RB-i'!G340</f>
        <v>0</v>
      </c>
      <c r="H68" s="171">
        <f>'1. RB-i'!H340</f>
        <v>299992263.92000008</v>
      </c>
      <c r="I68" s="171">
        <f>'1. RB-i'!I340</f>
        <v>299992263.92000008</v>
      </c>
      <c r="J68" s="171">
        <f>'1. RB-i'!J340</f>
        <v>2448431.6217596279</v>
      </c>
      <c r="K68" s="171">
        <f>'1. RB-i'!K340</f>
        <v>290310434.14615697</v>
      </c>
      <c r="L68" s="171">
        <f>'1. RB-i'!L340</f>
        <v>7233398.1520831864</v>
      </c>
      <c r="M68" s="171">
        <f>'1. RB-i'!M340</f>
        <v>0</v>
      </c>
      <c r="N68" s="171">
        <f>'1. RB-i'!N340</f>
        <v>0</v>
      </c>
      <c r="O68" s="171">
        <f>'1. RB-i'!O340</f>
        <v>0</v>
      </c>
      <c r="P68" s="171">
        <f>'1. RB-i'!P340</f>
        <v>0</v>
      </c>
      <c r="Q68" s="171">
        <f>'1. RB-i'!Q340</f>
        <v>0</v>
      </c>
      <c r="R68" s="171"/>
      <c r="S68" s="62">
        <f t="shared" si="10"/>
        <v>299992263.91999978</v>
      </c>
      <c r="T68" s="468">
        <f t="shared" si="11"/>
        <v>0</v>
      </c>
    </row>
    <row r="69" spans="1:20" s="1" customFormat="1" x14ac:dyDescent="0.3">
      <c r="A69" s="503" t="s">
        <v>429</v>
      </c>
      <c r="B69" s="504" t="s">
        <v>430</v>
      </c>
      <c r="C69" s="62"/>
      <c r="D69" s="171">
        <f>'1. RB-i'!D341</f>
        <v>0</v>
      </c>
      <c r="E69" s="171">
        <f>'1. RB-i'!E341</f>
        <v>0</v>
      </c>
      <c r="F69" s="171">
        <f>'1. RB-i'!F341</f>
        <v>0</v>
      </c>
      <c r="G69" s="171">
        <f>'1. RB-i'!G341</f>
        <v>0</v>
      </c>
      <c r="H69" s="171">
        <f>'1. RB-i'!H341</f>
        <v>0</v>
      </c>
      <c r="I69" s="171">
        <f>'1. RB-i'!I341</f>
        <v>0</v>
      </c>
      <c r="J69" s="171">
        <f>'1. RB-i'!J341</f>
        <v>0</v>
      </c>
      <c r="K69" s="171">
        <f>'1. RB-i'!K341</f>
        <v>0</v>
      </c>
      <c r="L69" s="171">
        <f>'1. RB-i'!L341</f>
        <v>0</v>
      </c>
      <c r="M69" s="171">
        <f>'1. RB-i'!M341</f>
        <v>0</v>
      </c>
      <c r="N69" s="171">
        <f>'1. RB-i'!N341</f>
        <v>0</v>
      </c>
      <c r="O69" s="171">
        <f>'1. RB-i'!O341</f>
        <v>0</v>
      </c>
      <c r="P69" s="171">
        <f>'1. RB-i'!P341</f>
        <v>0</v>
      </c>
      <c r="Q69" s="171">
        <f>'1. RB-i'!Q341</f>
        <v>0</v>
      </c>
      <c r="R69" s="171"/>
      <c r="S69" s="62">
        <f t="shared" si="10"/>
        <v>0</v>
      </c>
      <c r="T69" s="468">
        <f t="shared" si="11"/>
        <v>0</v>
      </c>
    </row>
    <row r="70" spans="1:20" s="1" customFormat="1" x14ac:dyDescent="0.3">
      <c r="A70" s="503" t="s">
        <v>431</v>
      </c>
      <c r="B70" s="504" t="s">
        <v>432</v>
      </c>
      <c r="C70" s="62"/>
      <c r="D70" s="171">
        <f>'1. RB-i'!D342</f>
        <v>269358922.00999999</v>
      </c>
      <c r="E70" s="171">
        <f>'1. RB-i'!E342</f>
        <v>0</v>
      </c>
      <c r="F70" s="171">
        <f>'1. RB-i'!F342</f>
        <v>269358922.00999999</v>
      </c>
      <c r="G70" s="171">
        <f>'1. RB-i'!G342</f>
        <v>0</v>
      </c>
      <c r="H70" s="171">
        <f>'1. RB-i'!H342</f>
        <v>269358922.00999999</v>
      </c>
      <c r="I70" s="171">
        <f>'1. RB-i'!I342</f>
        <v>269358922.00999999</v>
      </c>
      <c r="J70" s="171">
        <f>'1. RB-i'!J342</f>
        <v>0</v>
      </c>
      <c r="K70" s="171">
        <f>'1. RB-i'!K342</f>
        <v>269358922.00999993</v>
      </c>
      <c r="L70" s="171">
        <f>'1. RB-i'!L342</f>
        <v>0</v>
      </c>
      <c r="M70" s="171">
        <f>'1. RB-i'!M342</f>
        <v>0</v>
      </c>
      <c r="N70" s="171">
        <f>'1. RB-i'!N342</f>
        <v>0</v>
      </c>
      <c r="O70" s="171">
        <f>'1. RB-i'!O342</f>
        <v>0</v>
      </c>
      <c r="P70" s="171">
        <f>'1. RB-i'!P342</f>
        <v>0</v>
      </c>
      <c r="Q70" s="171">
        <f>'1. RB-i'!Q342</f>
        <v>0</v>
      </c>
      <c r="R70" s="171"/>
      <c r="S70" s="62">
        <f t="shared" si="10"/>
        <v>269358922.00999993</v>
      </c>
      <c r="T70" s="468">
        <f t="shared" si="11"/>
        <v>0</v>
      </c>
    </row>
    <row r="71" spans="1:20" s="1" customFormat="1" x14ac:dyDescent="0.3">
      <c r="A71" s="503" t="s">
        <v>433</v>
      </c>
      <c r="B71" s="504" t="s">
        <v>434</v>
      </c>
      <c r="C71" s="62"/>
      <c r="D71" s="171">
        <f>'1. RB-i'!D343</f>
        <v>46825397.390000008</v>
      </c>
      <c r="E71" s="171">
        <f>'1. RB-i'!E343</f>
        <v>0</v>
      </c>
      <c r="F71" s="171">
        <f>'1. RB-i'!F343</f>
        <v>46825397.390000008</v>
      </c>
      <c r="G71" s="171">
        <f>'1. RB-i'!G343</f>
        <v>0</v>
      </c>
      <c r="H71" s="171">
        <f>'1. RB-i'!H343</f>
        <v>46825397.390000008</v>
      </c>
      <c r="I71" s="171">
        <f>'1. RB-i'!I343</f>
        <v>46825397.390000008</v>
      </c>
      <c r="J71" s="171">
        <f>'1. RB-i'!J343</f>
        <v>0</v>
      </c>
      <c r="K71" s="171">
        <f>'1. RB-i'!K343</f>
        <v>46825397.390000008</v>
      </c>
      <c r="L71" s="171">
        <f>'1. RB-i'!L343</f>
        <v>0</v>
      </c>
      <c r="M71" s="171">
        <f>'1. RB-i'!M343</f>
        <v>0</v>
      </c>
      <c r="N71" s="171">
        <f>'1. RB-i'!N343</f>
        <v>0</v>
      </c>
      <c r="O71" s="171">
        <f>'1. RB-i'!O343</f>
        <v>0</v>
      </c>
      <c r="P71" s="171">
        <f>'1. RB-i'!P343</f>
        <v>0</v>
      </c>
      <c r="Q71" s="171">
        <f>'1. RB-i'!Q343</f>
        <v>0</v>
      </c>
      <c r="R71" s="171"/>
      <c r="S71" s="62">
        <f t="shared" si="10"/>
        <v>46825397.390000008</v>
      </c>
      <c r="T71" s="468">
        <f t="shared" si="11"/>
        <v>0</v>
      </c>
    </row>
    <row r="72" spans="1:20" s="1" customFormat="1" x14ac:dyDescent="0.3">
      <c r="A72" s="503" t="s">
        <v>435</v>
      </c>
      <c r="B72" s="504" t="s">
        <v>1322</v>
      </c>
      <c r="C72" s="62"/>
      <c r="D72" s="171">
        <f>'1. RB-i'!D344</f>
        <v>0</v>
      </c>
      <c r="E72" s="171">
        <f>'1. RB-i'!E344</f>
        <v>0</v>
      </c>
      <c r="F72" s="171">
        <f>'1. RB-i'!F344</f>
        <v>0</v>
      </c>
      <c r="G72" s="171">
        <f>'1. RB-i'!G344</f>
        <v>0</v>
      </c>
      <c r="H72" s="171">
        <f>'1. RB-i'!H344</f>
        <v>0</v>
      </c>
      <c r="I72" s="171">
        <f>'1. RB-i'!I344</f>
        <v>0</v>
      </c>
      <c r="J72" s="171">
        <f>'1. RB-i'!J344</f>
        <v>0</v>
      </c>
      <c r="K72" s="171">
        <f>'1. RB-i'!K344</f>
        <v>0</v>
      </c>
      <c r="L72" s="171">
        <f>'1. RB-i'!L344</f>
        <v>0</v>
      </c>
      <c r="M72" s="171">
        <f>'1. RB-i'!M344</f>
        <v>0</v>
      </c>
      <c r="N72" s="171">
        <f>'1. RB-i'!N344</f>
        <v>0</v>
      </c>
      <c r="O72" s="171">
        <f>'1. RB-i'!O344</f>
        <v>0</v>
      </c>
      <c r="P72" s="171">
        <f>'1. RB-i'!P344</f>
        <v>0</v>
      </c>
      <c r="Q72" s="171">
        <f>'1. RB-i'!Q344</f>
        <v>0</v>
      </c>
      <c r="R72" s="171"/>
      <c r="S72" s="62">
        <f t="shared" si="10"/>
        <v>0</v>
      </c>
      <c r="T72" s="468">
        <f t="shared" si="11"/>
        <v>0</v>
      </c>
    </row>
    <row r="73" spans="1:20" s="1" customFormat="1" x14ac:dyDescent="0.3">
      <c r="A73" s="503" t="s">
        <v>894</v>
      </c>
      <c r="B73" s="503" t="s">
        <v>437</v>
      </c>
      <c r="C73" s="498"/>
      <c r="D73" s="171">
        <f>'1. RB-i'!D345</f>
        <v>1047236.0899999996</v>
      </c>
      <c r="E73" s="171">
        <f>'1. RB-i'!E345</f>
        <v>0</v>
      </c>
      <c r="F73" s="171">
        <f>'1. RB-i'!F345</f>
        <v>1047236.0899999996</v>
      </c>
      <c r="G73" s="171">
        <f>'1. RB-i'!G345</f>
        <v>0</v>
      </c>
      <c r="H73" s="171">
        <f>'1. RB-i'!H345</f>
        <v>1047236.0899999996</v>
      </c>
      <c r="I73" s="171">
        <f>'1. RB-i'!I345</f>
        <v>1047236.0899999996</v>
      </c>
      <c r="J73" s="171">
        <f>'1. RB-i'!J345</f>
        <v>0</v>
      </c>
      <c r="K73" s="171">
        <f>'1. RB-i'!K345</f>
        <v>1047236.0899999996</v>
      </c>
      <c r="L73" s="171">
        <f>'1. RB-i'!L345</f>
        <v>0</v>
      </c>
      <c r="M73" s="171">
        <f>'1. RB-i'!M345</f>
        <v>0</v>
      </c>
      <c r="N73" s="171">
        <f>'1. RB-i'!N345</f>
        <v>0</v>
      </c>
      <c r="O73" s="171">
        <f>'1. RB-i'!O345</f>
        <v>0</v>
      </c>
      <c r="P73" s="171">
        <f>'1. RB-i'!P345</f>
        <v>0</v>
      </c>
      <c r="Q73" s="171">
        <f>'1. RB-i'!Q345</f>
        <v>0</v>
      </c>
      <c r="R73" s="171"/>
      <c r="S73" s="62">
        <f t="shared" si="10"/>
        <v>1047236.0899999996</v>
      </c>
      <c r="T73" s="468">
        <f t="shared" si="11"/>
        <v>0</v>
      </c>
    </row>
    <row r="74" spans="1:20" s="1" customFormat="1" x14ac:dyDescent="0.3">
      <c r="A74" s="503" t="s">
        <v>438</v>
      </c>
      <c r="B74" s="504" t="s">
        <v>439</v>
      </c>
      <c r="C74" s="62"/>
      <c r="D74" s="171">
        <f>'1. RB-i'!D346</f>
        <v>0</v>
      </c>
      <c r="E74" s="171">
        <f>'1. RB-i'!E346</f>
        <v>0</v>
      </c>
      <c r="F74" s="171">
        <f>'1. RB-i'!F346</f>
        <v>0</v>
      </c>
      <c r="G74" s="171">
        <f>'1. RB-i'!G346</f>
        <v>0</v>
      </c>
      <c r="H74" s="171">
        <f>'1. RB-i'!H346</f>
        <v>0</v>
      </c>
      <c r="I74" s="171">
        <f>'1. RB-i'!I346</f>
        <v>0</v>
      </c>
      <c r="J74" s="171">
        <f>'1. RB-i'!J346</f>
        <v>0</v>
      </c>
      <c r="K74" s="171">
        <f>'1. RB-i'!K346</f>
        <v>0</v>
      </c>
      <c r="L74" s="171">
        <f>'1. RB-i'!L346</f>
        <v>0</v>
      </c>
      <c r="M74" s="171">
        <f>'1. RB-i'!M346</f>
        <v>0</v>
      </c>
      <c r="N74" s="171">
        <f>'1. RB-i'!N346</f>
        <v>0</v>
      </c>
      <c r="O74" s="171">
        <f>'1. RB-i'!O346</f>
        <v>0</v>
      </c>
      <c r="P74" s="171">
        <f>'1. RB-i'!P346</f>
        <v>0</v>
      </c>
      <c r="Q74" s="171">
        <f>'1. RB-i'!Q346</f>
        <v>0</v>
      </c>
      <c r="R74" s="171"/>
      <c r="S74" s="62">
        <f t="shared" si="10"/>
        <v>0</v>
      </c>
      <c r="T74" s="468">
        <f t="shared" si="11"/>
        <v>0</v>
      </c>
    </row>
    <row r="75" spans="1:20" s="1" customFormat="1" x14ac:dyDescent="0.3">
      <c r="A75" s="498"/>
      <c r="B75" s="62"/>
      <c r="C75" s="62"/>
      <c r="D75" s="171"/>
      <c r="E75" s="171"/>
      <c r="F75" s="171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</row>
    <row r="76" spans="1:20" s="1" customFormat="1" x14ac:dyDescent="0.3">
      <c r="A76" s="62"/>
      <c r="B76" s="498" t="s">
        <v>440</v>
      </c>
      <c r="C76" s="498"/>
      <c r="D76" s="171">
        <f>SUM(D66:D74)</f>
        <v>712798588.87000012</v>
      </c>
      <c r="E76" s="171">
        <f>SUM(E66:E74)</f>
        <v>0</v>
      </c>
      <c r="F76" s="171">
        <f>SUM(F66:F74)</f>
        <v>712798588.87000012</v>
      </c>
      <c r="G76" s="62"/>
      <c r="H76" s="171">
        <f t="shared" ref="H76:Q76" si="12">SUM(H66:H74)</f>
        <v>712798588.87000012</v>
      </c>
      <c r="I76" s="171">
        <f t="shared" si="12"/>
        <v>712798588.87000012</v>
      </c>
      <c r="J76" s="171">
        <f t="shared" si="12"/>
        <v>2710952.9357593684</v>
      </c>
      <c r="K76" s="171">
        <f t="shared" si="12"/>
        <v>700793081.43195438</v>
      </c>
      <c r="L76" s="171">
        <f t="shared" si="12"/>
        <v>9294554.5022859648</v>
      </c>
      <c r="M76" s="171">
        <f t="shared" si="12"/>
        <v>0</v>
      </c>
      <c r="N76" s="171">
        <f t="shared" si="12"/>
        <v>0</v>
      </c>
      <c r="O76" s="171">
        <f t="shared" si="12"/>
        <v>0</v>
      </c>
      <c r="P76" s="171">
        <f t="shared" si="12"/>
        <v>0</v>
      </c>
      <c r="Q76" s="171">
        <f t="shared" si="12"/>
        <v>0</v>
      </c>
      <c r="R76" s="171"/>
      <c r="S76" s="62">
        <f>SUM(J76:Q76)</f>
        <v>712798588.86999977</v>
      </c>
      <c r="T76" s="468">
        <f>I76-S76</f>
        <v>0</v>
      </c>
    </row>
    <row r="77" spans="1:20" s="1" customFormat="1" x14ac:dyDescent="0.3">
      <c r="A77" s="62"/>
      <c r="B77" s="62"/>
      <c r="C77" s="62"/>
      <c r="D77" s="171"/>
      <c r="E77" s="171"/>
      <c r="F77" s="171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</row>
    <row r="78" spans="1:20" s="1" customFormat="1" x14ac:dyDescent="0.3">
      <c r="A78" s="499" t="s">
        <v>441</v>
      </c>
      <c r="B78" s="62"/>
      <c r="C78" s="62"/>
      <c r="D78" s="171"/>
      <c r="E78" s="171"/>
      <c r="F78" s="171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</row>
    <row r="79" spans="1:20" s="1" customFormat="1" x14ac:dyDescent="0.3">
      <c r="A79" s="503" t="s">
        <v>442</v>
      </c>
      <c r="B79" s="504" t="s">
        <v>425</v>
      </c>
      <c r="C79" s="489"/>
      <c r="D79" s="171">
        <f>'1. RB-i'!D351</f>
        <v>20929109.550000004</v>
      </c>
      <c r="E79" s="171">
        <f>'1. RB-i'!E351</f>
        <v>0</v>
      </c>
      <c r="F79" s="171">
        <f>'1. RB-i'!F351</f>
        <v>20929109.550000004</v>
      </c>
      <c r="G79" s="171">
        <f>'1. RB-i'!G351</f>
        <v>0</v>
      </c>
      <c r="H79" s="171">
        <f>'1. RB-i'!H351</f>
        <v>20929109.550000004</v>
      </c>
      <c r="I79" s="171">
        <f>'1. RB-i'!I351</f>
        <v>20929109.550000004</v>
      </c>
      <c r="J79" s="171">
        <f>'1. RB-i'!J351</f>
        <v>0</v>
      </c>
      <c r="K79" s="171">
        <f>'1. RB-i'!K351</f>
        <v>7893628.7998948516</v>
      </c>
      <c r="L79" s="171">
        <f>'1. RB-i'!L351</f>
        <v>13035480.750105148</v>
      </c>
      <c r="M79" s="171">
        <f>'1. RB-i'!M351</f>
        <v>0</v>
      </c>
      <c r="N79" s="171">
        <f>'1. RB-i'!N351</f>
        <v>0</v>
      </c>
      <c r="O79" s="171">
        <f>'1. RB-i'!O351</f>
        <v>0</v>
      </c>
      <c r="P79" s="171">
        <f>'1. RB-i'!P351</f>
        <v>0</v>
      </c>
      <c r="Q79" s="171">
        <f>'1. RB-i'!Q351</f>
        <v>0</v>
      </c>
      <c r="R79" s="171"/>
      <c r="S79" s="62"/>
      <c r="T79" s="62"/>
    </row>
    <row r="80" spans="1:20" s="1" customFormat="1" x14ac:dyDescent="0.3">
      <c r="A80" s="503" t="s">
        <v>443</v>
      </c>
      <c r="B80" s="503" t="s">
        <v>374</v>
      </c>
      <c r="C80" s="498"/>
      <c r="D80" s="171">
        <f>'1. RB-i'!D352</f>
        <v>2899831.99</v>
      </c>
      <c r="E80" s="171">
        <f>'1. RB-i'!E352</f>
        <v>0</v>
      </c>
      <c r="F80" s="171">
        <f>'1. RB-i'!F352</f>
        <v>2899831.99</v>
      </c>
      <c r="G80" s="171">
        <f>'1. RB-i'!G352</f>
        <v>0</v>
      </c>
      <c r="H80" s="171">
        <f>'1. RB-i'!H352</f>
        <v>2899831.99</v>
      </c>
      <c r="I80" s="171">
        <f>'1. RB-i'!I352</f>
        <v>2899831.99</v>
      </c>
      <c r="J80" s="171">
        <f>'1. RB-i'!J352</f>
        <v>0</v>
      </c>
      <c r="K80" s="171">
        <f>'1. RB-i'!K352</f>
        <v>0</v>
      </c>
      <c r="L80" s="171">
        <f>'1. RB-i'!L352</f>
        <v>2899831.99</v>
      </c>
      <c r="M80" s="171">
        <f>'1. RB-i'!M352</f>
        <v>0</v>
      </c>
      <c r="N80" s="171">
        <f>'1. RB-i'!N352</f>
        <v>0</v>
      </c>
      <c r="O80" s="171">
        <f>'1. RB-i'!O352</f>
        <v>0</v>
      </c>
      <c r="P80" s="171">
        <f>'1. RB-i'!P352</f>
        <v>0</v>
      </c>
      <c r="Q80" s="171">
        <f>'1. RB-i'!Q352</f>
        <v>0</v>
      </c>
      <c r="R80" s="171"/>
      <c r="S80" s="62">
        <f t="shared" ref="S80:S92" si="13">SUM(J80:Q80)</f>
        <v>2899831.99</v>
      </c>
      <c r="T80" s="468">
        <f t="shared" ref="T80:T92" si="14">I80-S80</f>
        <v>0</v>
      </c>
    </row>
    <row r="81" spans="1:20" s="1" customFormat="1" x14ac:dyDescent="0.3">
      <c r="A81" s="503" t="s">
        <v>444</v>
      </c>
      <c r="B81" s="504" t="s">
        <v>428</v>
      </c>
      <c r="C81" s="489"/>
      <c r="D81" s="171">
        <f>'1. RB-i'!D353</f>
        <v>382032230.31999999</v>
      </c>
      <c r="E81" s="171">
        <f>'1. RB-i'!E353</f>
        <v>0</v>
      </c>
      <c r="F81" s="171">
        <f>'1. RB-i'!F353</f>
        <v>382032230.31999999</v>
      </c>
      <c r="G81" s="171">
        <f>'1. RB-i'!G353</f>
        <v>0</v>
      </c>
      <c r="H81" s="171">
        <f>'1. RB-i'!H353</f>
        <v>382032230.31999999</v>
      </c>
      <c r="I81" s="171">
        <f>'1. RB-i'!I353</f>
        <v>382032230.31999999</v>
      </c>
      <c r="J81" s="171">
        <f>'1. RB-i'!J353</f>
        <v>0</v>
      </c>
      <c r="K81" s="171">
        <f>'1. RB-i'!K353</f>
        <v>65416875.032057099</v>
      </c>
      <c r="L81" s="171">
        <f>'1. RB-i'!L353</f>
        <v>316615355.28794265</v>
      </c>
      <c r="M81" s="171">
        <f>'1. RB-i'!M353</f>
        <v>0</v>
      </c>
      <c r="N81" s="171">
        <f>'1. RB-i'!N353</f>
        <v>0</v>
      </c>
      <c r="O81" s="171">
        <f>'1. RB-i'!O353</f>
        <v>0</v>
      </c>
      <c r="P81" s="171">
        <f>'1. RB-i'!P353</f>
        <v>0</v>
      </c>
      <c r="Q81" s="171">
        <f>'1. RB-i'!Q353</f>
        <v>0</v>
      </c>
      <c r="R81" s="171"/>
      <c r="S81" s="62">
        <f t="shared" si="13"/>
        <v>382032230.31999975</v>
      </c>
      <c r="T81" s="468">
        <f t="shared" si="14"/>
        <v>0</v>
      </c>
    </row>
    <row r="82" spans="1:20" s="1" customFormat="1" x14ac:dyDescent="0.3">
      <c r="A82" s="504" t="s">
        <v>445</v>
      </c>
      <c r="B82" s="504" t="s">
        <v>446</v>
      </c>
      <c r="C82" s="62"/>
      <c r="D82" s="171">
        <f>'1. RB-i'!D354</f>
        <v>0</v>
      </c>
      <c r="E82" s="171">
        <f>'1. RB-i'!E354</f>
        <v>0</v>
      </c>
      <c r="F82" s="171">
        <f>'1. RB-i'!F354</f>
        <v>0</v>
      </c>
      <c r="G82" s="171">
        <f>'1. RB-i'!G354</f>
        <v>0</v>
      </c>
      <c r="H82" s="171">
        <f>'1. RB-i'!H354</f>
        <v>0</v>
      </c>
      <c r="I82" s="171">
        <f>'1. RB-i'!I354</f>
        <v>0</v>
      </c>
      <c r="J82" s="171">
        <f>'1. RB-i'!J354</f>
        <v>0</v>
      </c>
      <c r="K82" s="171">
        <f>'1. RB-i'!K354</f>
        <v>0</v>
      </c>
      <c r="L82" s="171">
        <f>'1. RB-i'!L354</f>
        <v>0</v>
      </c>
      <c r="M82" s="171">
        <f>'1. RB-i'!M354</f>
        <v>0</v>
      </c>
      <c r="N82" s="171">
        <f>'1. RB-i'!N354</f>
        <v>0</v>
      </c>
      <c r="O82" s="171">
        <f>'1. RB-i'!O354</f>
        <v>0</v>
      </c>
      <c r="P82" s="171">
        <f>'1. RB-i'!P354</f>
        <v>0</v>
      </c>
      <c r="Q82" s="171">
        <f>'1. RB-i'!Q354</f>
        <v>0</v>
      </c>
      <c r="R82" s="171"/>
      <c r="S82" s="62">
        <f t="shared" si="13"/>
        <v>0</v>
      </c>
      <c r="T82" s="468">
        <f t="shared" si="14"/>
        <v>0</v>
      </c>
    </row>
    <row r="83" spans="1:20" s="1" customFormat="1" x14ac:dyDescent="0.3">
      <c r="A83" s="503" t="s">
        <v>447</v>
      </c>
      <c r="B83" s="503" t="s">
        <v>1323</v>
      </c>
      <c r="C83" s="498"/>
      <c r="D83" s="171">
        <f>'1. RB-i'!D355</f>
        <v>323514496.19</v>
      </c>
      <c r="E83" s="171">
        <f>'1. RB-i'!E355</f>
        <v>0</v>
      </c>
      <c r="F83" s="171">
        <f>'1. RB-i'!F355</f>
        <v>323514496.19</v>
      </c>
      <c r="G83" s="171">
        <f>'1. RB-i'!G355</f>
        <v>0</v>
      </c>
      <c r="H83" s="171">
        <f>'1. RB-i'!H355</f>
        <v>323514496.19</v>
      </c>
      <c r="I83" s="171">
        <f>'1. RB-i'!I355</f>
        <v>323514496.19</v>
      </c>
      <c r="J83" s="171">
        <f>'1. RB-i'!J355</f>
        <v>0</v>
      </c>
      <c r="K83" s="171">
        <f>'1. RB-i'!K355</f>
        <v>0</v>
      </c>
      <c r="L83" s="171">
        <f>'1. RB-i'!L355</f>
        <v>323514496.19</v>
      </c>
      <c r="M83" s="171">
        <f>'1. RB-i'!M355</f>
        <v>0</v>
      </c>
      <c r="N83" s="171">
        <f>'1. RB-i'!N355</f>
        <v>0</v>
      </c>
      <c r="O83" s="171">
        <f>'1. RB-i'!O355</f>
        <v>0</v>
      </c>
      <c r="P83" s="171">
        <f>'1. RB-i'!P355</f>
        <v>0</v>
      </c>
      <c r="Q83" s="171">
        <f>'1. RB-i'!Q355</f>
        <v>0</v>
      </c>
      <c r="R83" s="171"/>
      <c r="S83" s="62">
        <f t="shared" si="13"/>
        <v>323514496.19</v>
      </c>
      <c r="T83" s="468">
        <f t="shared" si="14"/>
        <v>0</v>
      </c>
    </row>
    <row r="84" spans="1:20" s="1" customFormat="1" x14ac:dyDescent="0.3">
      <c r="A84" s="503" t="s">
        <v>448</v>
      </c>
      <c r="B84" s="504" t="s">
        <v>434</v>
      </c>
      <c r="C84" s="62"/>
      <c r="D84" s="171">
        <f>'1. RB-i'!D356</f>
        <v>207949966.80999997</v>
      </c>
      <c r="E84" s="171">
        <f>'1. RB-i'!E356</f>
        <v>0</v>
      </c>
      <c r="F84" s="171">
        <f>'1. RB-i'!F356</f>
        <v>207949966.80999997</v>
      </c>
      <c r="G84" s="171">
        <f>'1. RB-i'!G356</f>
        <v>0</v>
      </c>
      <c r="H84" s="171">
        <f>'1. RB-i'!H356</f>
        <v>207949966.80999997</v>
      </c>
      <c r="I84" s="171">
        <f>'1. RB-i'!I356</f>
        <v>207949966.80999997</v>
      </c>
      <c r="J84" s="171">
        <f>'1. RB-i'!J356</f>
        <v>0</v>
      </c>
      <c r="K84" s="171">
        <f>'1. RB-i'!K356</f>
        <v>0</v>
      </c>
      <c r="L84" s="171">
        <f>'1. RB-i'!L356</f>
        <v>207949966.80999997</v>
      </c>
      <c r="M84" s="171">
        <f>'1. RB-i'!M356</f>
        <v>0</v>
      </c>
      <c r="N84" s="171">
        <f>'1. RB-i'!N356</f>
        <v>0</v>
      </c>
      <c r="O84" s="171">
        <f>'1. RB-i'!O356</f>
        <v>0</v>
      </c>
      <c r="P84" s="171">
        <f>'1. RB-i'!P356</f>
        <v>0</v>
      </c>
      <c r="Q84" s="171">
        <f>'1. RB-i'!Q356</f>
        <v>0</v>
      </c>
      <c r="R84" s="171"/>
      <c r="S84" s="62">
        <f t="shared" si="13"/>
        <v>207949966.80999997</v>
      </c>
      <c r="T84" s="468">
        <f t="shared" si="14"/>
        <v>0</v>
      </c>
    </row>
    <row r="85" spans="1:20" s="1" customFormat="1" x14ac:dyDescent="0.3">
      <c r="A85" s="503" t="s">
        <v>449</v>
      </c>
      <c r="B85" s="504" t="s">
        <v>450</v>
      </c>
      <c r="C85" s="62"/>
      <c r="D85" s="171">
        <f>'1. RB-i'!D357</f>
        <v>288257347.02000004</v>
      </c>
      <c r="E85" s="171">
        <f>'1. RB-i'!E357</f>
        <v>0</v>
      </c>
      <c r="F85" s="171">
        <f>'1. RB-i'!F357</f>
        <v>288257347.02000004</v>
      </c>
      <c r="G85" s="171">
        <f>'1. RB-i'!G357</f>
        <v>0</v>
      </c>
      <c r="H85" s="171">
        <f>'1. RB-i'!H357</f>
        <v>288257347.02000004</v>
      </c>
      <c r="I85" s="171">
        <f>'1. RB-i'!I357</f>
        <v>288257347.02000004</v>
      </c>
      <c r="J85" s="171">
        <f>'1. RB-i'!J357</f>
        <v>0</v>
      </c>
      <c r="K85" s="171">
        <f>'1. RB-i'!K357</f>
        <v>0</v>
      </c>
      <c r="L85" s="171">
        <f>'1. RB-i'!L357</f>
        <v>288257347.02000004</v>
      </c>
      <c r="M85" s="171">
        <f>'1. RB-i'!M357</f>
        <v>0</v>
      </c>
      <c r="N85" s="171">
        <f>'1. RB-i'!N357</f>
        <v>0</v>
      </c>
      <c r="O85" s="171">
        <f>'1. RB-i'!O357</f>
        <v>0</v>
      </c>
      <c r="P85" s="171">
        <f>'1. RB-i'!P357</f>
        <v>0</v>
      </c>
      <c r="Q85" s="171">
        <f>'1. RB-i'!Q357</f>
        <v>0</v>
      </c>
      <c r="R85" s="171"/>
      <c r="S85" s="62">
        <f t="shared" si="13"/>
        <v>288257347.02000004</v>
      </c>
      <c r="T85" s="468">
        <f t="shared" si="14"/>
        <v>0</v>
      </c>
    </row>
    <row r="86" spans="1:20" s="1" customFormat="1" x14ac:dyDescent="0.3">
      <c r="A86" s="503" t="s">
        <v>451</v>
      </c>
      <c r="B86" s="503" t="s">
        <v>452</v>
      </c>
      <c r="C86" s="498"/>
      <c r="D86" s="171">
        <f>'1. RB-i'!D358</f>
        <v>370964305.84999996</v>
      </c>
      <c r="E86" s="171">
        <f>'1. RB-i'!E358</f>
        <v>0</v>
      </c>
      <c r="F86" s="171">
        <f>'1. RB-i'!F358</f>
        <v>370964305.84999996</v>
      </c>
      <c r="G86" s="171">
        <f>'1. RB-i'!G358</f>
        <v>0</v>
      </c>
      <c r="H86" s="171">
        <f>'1. RB-i'!H358</f>
        <v>370964305.84999996</v>
      </c>
      <c r="I86" s="171">
        <f>'1. RB-i'!I358</f>
        <v>370964305.84999996</v>
      </c>
      <c r="J86" s="171">
        <f>'1. RB-i'!J358</f>
        <v>0</v>
      </c>
      <c r="K86" s="171">
        <f>'1. RB-i'!K358</f>
        <v>0</v>
      </c>
      <c r="L86" s="171">
        <f>'1. RB-i'!L358</f>
        <v>370964305.84999996</v>
      </c>
      <c r="M86" s="171">
        <f>'1. RB-i'!M358</f>
        <v>0</v>
      </c>
      <c r="N86" s="171">
        <f>'1. RB-i'!N358</f>
        <v>0</v>
      </c>
      <c r="O86" s="171">
        <f>'1. RB-i'!O358</f>
        <v>0</v>
      </c>
      <c r="P86" s="171">
        <f>'1. RB-i'!P358</f>
        <v>0</v>
      </c>
      <c r="Q86" s="171">
        <f>'1. RB-i'!Q358</f>
        <v>0</v>
      </c>
      <c r="R86" s="171"/>
      <c r="S86" s="62">
        <f t="shared" si="13"/>
        <v>370964305.84999996</v>
      </c>
      <c r="T86" s="468">
        <f t="shared" si="14"/>
        <v>0</v>
      </c>
    </row>
    <row r="87" spans="1:20" s="1" customFormat="1" x14ac:dyDescent="0.3">
      <c r="A87" s="503" t="s">
        <v>453</v>
      </c>
      <c r="B87" s="504" t="s">
        <v>454</v>
      </c>
      <c r="C87" s="62"/>
      <c r="D87" s="171">
        <f>'1. RB-i'!D359</f>
        <v>365157456.28000003</v>
      </c>
      <c r="E87" s="171">
        <f>'1. RB-i'!E359</f>
        <v>0</v>
      </c>
      <c r="F87" s="171">
        <f>'1. RB-i'!F359</f>
        <v>365157456.28000003</v>
      </c>
      <c r="G87" s="171">
        <f>'1. RB-i'!G359</f>
        <v>0</v>
      </c>
      <c r="H87" s="171">
        <f>'1. RB-i'!H359</f>
        <v>365157456.28000003</v>
      </c>
      <c r="I87" s="171">
        <f>'1. RB-i'!I359</f>
        <v>365157456.28000003</v>
      </c>
      <c r="J87" s="171">
        <f>'1. RB-i'!J359</f>
        <v>0</v>
      </c>
      <c r="K87" s="171">
        <f>'1. RB-i'!K359</f>
        <v>0</v>
      </c>
      <c r="L87" s="171">
        <f>'1. RB-i'!L359</f>
        <v>365157456.28000003</v>
      </c>
      <c r="M87" s="171">
        <f>'1. RB-i'!M359</f>
        <v>0</v>
      </c>
      <c r="N87" s="171">
        <f>'1. RB-i'!N359</f>
        <v>0</v>
      </c>
      <c r="O87" s="171">
        <f>'1. RB-i'!O359</f>
        <v>0</v>
      </c>
      <c r="P87" s="171">
        <f>'1. RB-i'!P359</f>
        <v>0</v>
      </c>
      <c r="Q87" s="171">
        <f>'1. RB-i'!Q359</f>
        <v>0</v>
      </c>
      <c r="R87" s="171"/>
      <c r="S87" s="62">
        <f t="shared" si="13"/>
        <v>365157456.28000003</v>
      </c>
      <c r="T87" s="468">
        <f t="shared" si="14"/>
        <v>0</v>
      </c>
    </row>
    <row r="88" spans="1:20" s="1" customFormat="1" x14ac:dyDescent="0.3">
      <c r="A88" s="503" t="s">
        <v>455</v>
      </c>
      <c r="B88" s="503" t="s">
        <v>456</v>
      </c>
      <c r="C88" s="498"/>
      <c r="D88" s="171">
        <f>'1. RB-i'!D360</f>
        <v>128955756.09999993</v>
      </c>
      <c r="E88" s="171">
        <f>'1. RB-i'!E360</f>
        <v>0</v>
      </c>
      <c r="F88" s="171">
        <f>'1. RB-i'!F360</f>
        <v>128955756.09999993</v>
      </c>
      <c r="G88" s="171">
        <f>'1. RB-i'!G360</f>
        <v>0</v>
      </c>
      <c r="H88" s="171">
        <f>'1. RB-i'!H360</f>
        <v>128955756.09999993</v>
      </c>
      <c r="I88" s="171">
        <f>'1. RB-i'!I360</f>
        <v>128955756.09999993</v>
      </c>
      <c r="J88" s="171">
        <f>'1. RB-i'!J360</f>
        <v>0</v>
      </c>
      <c r="K88" s="171">
        <f>'1. RB-i'!K360</f>
        <v>0</v>
      </c>
      <c r="L88" s="171">
        <f>'1. RB-i'!L360</f>
        <v>128955756.09999993</v>
      </c>
      <c r="M88" s="171">
        <f>'1. RB-i'!M360</f>
        <v>0</v>
      </c>
      <c r="N88" s="171">
        <f>'1. RB-i'!N360</f>
        <v>0</v>
      </c>
      <c r="O88" s="171">
        <f>'1. RB-i'!O360</f>
        <v>0</v>
      </c>
      <c r="P88" s="171">
        <f>'1. RB-i'!P360</f>
        <v>0</v>
      </c>
      <c r="Q88" s="171">
        <f>'1. RB-i'!Q360</f>
        <v>0</v>
      </c>
      <c r="R88" s="171"/>
      <c r="S88" s="62">
        <f t="shared" si="13"/>
        <v>128955756.09999993</v>
      </c>
      <c r="T88" s="468">
        <f t="shared" si="14"/>
        <v>0</v>
      </c>
    </row>
    <row r="89" spans="1:20" s="1" customFormat="1" x14ac:dyDescent="0.3">
      <c r="A89" s="503" t="s">
        <v>457</v>
      </c>
      <c r="B89" s="504" t="s">
        <v>458</v>
      </c>
      <c r="C89" s="62"/>
      <c r="D89" s="171">
        <f>'1. RB-i'!D361</f>
        <v>141514308.95999998</v>
      </c>
      <c r="E89" s="171">
        <f>'1. RB-i'!E361</f>
        <v>0</v>
      </c>
      <c r="F89" s="171">
        <f>'1. RB-i'!F361</f>
        <v>141514308.95999998</v>
      </c>
      <c r="G89" s="171">
        <f>'1. RB-i'!G361</f>
        <v>0</v>
      </c>
      <c r="H89" s="171">
        <f>'1. RB-i'!H361</f>
        <v>141514308.95999998</v>
      </c>
      <c r="I89" s="171">
        <f>'1. RB-i'!I361</f>
        <v>141514308.95999998</v>
      </c>
      <c r="J89" s="171">
        <f>'1. RB-i'!J361</f>
        <v>0</v>
      </c>
      <c r="K89" s="171">
        <f>'1. RB-i'!K361</f>
        <v>0</v>
      </c>
      <c r="L89" s="171">
        <f>'1. RB-i'!L361</f>
        <v>0</v>
      </c>
      <c r="M89" s="171">
        <f>'1. RB-i'!M361</f>
        <v>141514308.95999998</v>
      </c>
      <c r="N89" s="171">
        <f>'1. RB-i'!N361</f>
        <v>0</v>
      </c>
      <c r="O89" s="171">
        <f>'1. RB-i'!O361</f>
        <v>0</v>
      </c>
      <c r="P89" s="171">
        <f>'1. RB-i'!P361</f>
        <v>0</v>
      </c>
      <c r="Q89" s="171">
        <f>'1. RB-i'!Q361</f>
        <v>0</v>
      </c>
      <c r="R89" s="171"/>
      <c r="S89" s="62">
        <f t="shared" si="13"/>
        <v>141514308.95999998</v>
      </c>
      <c r="T89" s="468">
        <f t="shared" si="14"/>
        <v>0</v>
      </c>
    </row>
    <row r="90" spans="1:20" s="1" customFormat="1" x14ac:dyDescent="0.3">
      <c r="A90" s="504" t="s">
        <v>459</v>
      </c>
      <c r="B90" s="504" t="s">
        <v>460</v>
      </c>
      <c r="C90" s="62"/>
      <c r="D90" s="171">
        <f>'1. RB-i'!D362</f>
        <v>0</v>
      </c>
      <c r="E90" s="171">
        <f>'1. RB-i'!E362</f>
        <v>0</v>
      </c>
      <c r="F90" s="171">
        <f>'1. RB-i'!F362</f>
        <v>0</v>
      </c>
      <c r="G90" s="171">
        <f>'1. RB-i'!G362</f>
        <v>0</v>
      </c>
      <c r="H90" s="171">
        <f>'1. RB-i'!H362</f>
        <v>0</v>
      </c>
      <c r="I90" s="171">
        <f>'1. RB-i'!I362</f>
        <v>0</v>
      </c>
      <c r="J90" s="171">
        <f>'1. RB-i'!J362</f>
        <v>0</v>
      </c>
      <c r="K90" s="171">
        <f>'1. RB-i'!K362</f>
        <v>0</v>
      </c>
      <c r="L90" s="171">
        <f>'1. RB-i'!L362</f>
        <v>0</v>
      </c>
      <c r="M90" s="171">
        <f>'1. RB-i'!M362</f>
        <v>0</v>
      </c>
      <c r="N90" s="171">
        <f>'1. RB-i'!N362</f>
        <v>0</v>
      </c>
      <c r="O90" s="171">
        <f>'1. RB-i'!O362</f>
        <v>0</v>
      </c>
      <c r="P90" s="171">
        <f>'1. RB-i'!P362</f>
        <v>0</v>
      </c>
      <c r="Q90" s="171">
        <f>'1. RB-i'!Q362</f>
        <v>0</v>
      </c>
      <c r="R90" s="171"/>
      <c r="S90" s="62">
        <f t="shared" si="13"/>
        <v>0</v>
      </c>
      <c r="T90" s="468">
        <f t="shared" si="14"/>
        <v>0</v>
      </c>
    </row>
    <row r="91" spans="1:20" s="1" customFormat="1" x14ac:dyDescent="0.3">
      <c r="A91" s="504" t="s">
        <v>461</v>
      </c>
      <c r="B91" s="504" t="s">
        <v>462</v>
      </c>
      <c r="C91" s="62"/>
      <c r="D91" s="171">
        <f>'1. RB-i'!D363</f>
        <v>0</v>
      </c>
      <c r="E91" s="171">
        <f>'1. RB-i'!E363</f>
        <v>0</v>
      </c>
      <c r="F91" s="171">
        <f>'1. RB-i'!F363</f>
        <v>0</v>
      </c>
      <c r="G91" s="171">
        <f>'1. RB-i'!G363</f>
        <v>0</v>
      </c>
      <c r="H91" s="171">
        <f>'1. RB-i'!H363</f>
        <v>0</v>
      </c>
      <c r="I91" s="171">
        <f>'1. RB-i'!I363</f>
        <v>0</v>
      </c>
      <c r="J91" s="171">
        <f>'1. RB-i'!J363</f>
        <v>0</v>
      </c>
      <c r="K91" s="171">
        <f>'1. RB-i'!K363</f>
        <v>0</v>
      </c>
      <c r="L91" s="171">
        <f>'1. RB-i'!L363</f>
        <v>0</v>
      </c>
      <c r="M91" s="171">
        <f>'1. RB-i'!M363</f>
        <v>0</v>
      </c>
      <c r="N91" s="171">
        <f>'1. RB-i'!N363</f>
        <v>0</v>
      </c>
      <c r="O91" s="171">
        <f>'1. RB-i'!O363</f>
        <v>0</v>
      </c>
      <c r="P91" s="171">
        <f>'1. RB-i'!P363</f>
        <v>0</v>
      </c>
      <c r="Q91" s="171">
        <f>'1. RB-i'!Q363</f>
        <v>0</v>
      </c>
      <c r="R91" s="171"/>
      <c r="S91" s="62">
        <f t="shared" si="13"/>
        <v>0</v>
      </c>
      <c r="T91" s="468">
        <f t="shared" si="14"/>
        <v>0</v>
      </c>
    </row>
    <row r="92" spans="1:20" s="1" customFormat="1" x14ac:dyDescent="0.3">
      <c r="A92" s="503" t="s">
        <v>463</v>
      </c>
      <c r="B92" s="504" t="s">
        <v>464</v>
      </c>
      <c r="C92" s="62"/>
      <c r="D92" s="171">
        <f>'1. RB-i'!D364</f>
        <v>81826489.609999955</v>
      </c>
      <c r="E92" s="171">
        <f>'1. RB-i'!E364</f>
        <v>0</v>
      </c>
      <c r="F92" s="171">
        <f>'1. RB-i'!F364</f>
        <v>81826489.609999955</v>
      </c>
      <c r="G92" s="171">
        <f>'1. RB-i'!G364</f>
        <v>0</v>
      </c>
      <c r="H92" s="171">
        <f>'1. RB-i'!H364</f>
        <v>81826489.609999955</v>
      </c>
      <c r="I92" s="171">
        <f>'1. RB-i'!I364</f>
        <v>81826489.609999955</v>
      </c>
      <c r="J92" s="171">
        <f>'1. RB-i'!J364</f>
        <v>0</v>
      </c>
      <c r="K92" s="171">
        <f>'1. RB-i'!K364</f>
        <v>0</v>
      </c>
      <c r="L92" s="171">
        <f>'1. RB-i'!L364</f>
        <v>81826489.609999955</v>
      </c>
      <c r="M92" s="171">
        <f>'1. RB-i'!M364</f>
        <v>0</v>
      </c>
      <c r="N92" s="171">
        <f>'1. RB-i'!N364</f>
        <v>0</v>
      </c>
      <c r="O92" s="171">
        <f>'1. RB-i'!O364</f>
        <v>0</v>
      </c>
      <c r="P92" s="171">
        <f>'1. RB-i'!P364</f>
        <v>0</v>
      </c>
      <c r="Q92" s="171">
        <f>'1. RB-i'!Q364</f>
        <v>0</v>
      </c>
      <c r="R92" s="171"/>
      <c r="S92" s="62">
        <f t="shared" si="13"/>
        <v>81826489.609999955</v>
      </c>
      <c r="T92" s="468">
        <f t="shared" si="14"/>
        <v>0</v>
      </c>
    </row>
    <row r="93" spans="1:20" s="1" customFormat="1" x14ac:dyDescent="0.3">
      <c r="A93" s="62"/>
      <c r="B93" s="62"/>
      <c r="C93" s="62"/>
      <c r="D93" s="171"/>
      <c r="E93" s="171"/>
      <c r="F93" s="171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</row>
    <row r="94" spans="1:20" s="1" customFormat="1" x14ac:dyDescent="0.3">
      <c r="A94" s="62"/>
      <c r="B94" s="498" t="s">
        <v>465</v>
      </c>
      <c r="C94" s="498"/>
      <c r="D94" s="171">
        <f>SUM(D79:D92)</f>
        <v>2314001298.6799998</v>
      </c>
      <c r="E94" s="171">
        <f>SUM(E79:E92)</f>
        <v>0</v>
      </c>
      <c r="F94" s="171">
        <f>SUM(F79:F92)</f>
        <v>2314001298.6799998</v>
      </c>
      <c r="G94" s="62"/>
      <c r="H94" s="171">
        <f t="shared" ref="H94:Q94" si="15">SUM(H79:H92)</f>
        <v>2314001298.6799998</v>
      </c>
      <c r="I94" s="171">
        <f t="shared" si="15"/>
        <v>2314001298.6799998</v>
      </c>
      <c r="J94" s="171">
        <f t="shared" si="15"/>
        <v>0</v>
      </c>
      <c r="K94" s="171">
        <f t="shared" si="15"/>
        <v>73310503.831951946</v>
      </c>
      <c r="L94" s="171">
        <f t="shared" si="15"/>
        <v>2099176485.8880475</v>
      </c>
      <c r="M94" s="171">
        <f t="shared" si="15"/>
        <v>141514308.95999998</v>
      </c>
      <c r="N94" s="171">
        <f t="shared" si="15"/>
        <v>0</v>
      </c>
      <c r="O94" s="171">
        <f t="shared" si="15"/>
        <v>0</v>
      </c>
      <c r="P94" s="171">
        <f t="shared" si="15"/>
        <v>0</v>
      </c>
      <c r="Q94" s="171">
        <f t="shared" si="15"/>
        <v>0</v>
      </c>
      <c r="R94" s="171"/>
      <c r="S94" s="62">
        <f>SUM(J94:Q94)</f>
        <v>2314001298.6799994</v>
      </c>
      <c r="T94" s="468">
        <f>I94-S94</f>
        <v>0</v>
      </c>
    </row>
    <row r="95" spans="1:20" s="1" customFormat="1" x14ac:dyDescent="0.3">
      <c r="A95" s="62"/>
      <c r="B95" s="498"/>
      <c r="C95" s="498"/>
      <c r="D95" s="171"/>
      <c r="E95" s="171"/>
      <c r="F95" s="171"/>
      <c r="G95" s="62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62"/>
      <c r="T95" s="62"/>
    </row>
    <row r="96" spans="1:20" s="1" customFormat="1" x14ac:dyDescent="0.3">
      <c r="A96" s="463" t="s">
        <v>466</v>
      </c>
      <c r="B96" s="62"/>
      <c r="C96" s="62"/>
      <c r="D96" s="171">
        <f>D94+D76+D63</f>
        <v>6282476388.1000004</v>
      </c>
      <c r="E96" s="171">
        <f>E94+E76+E63</f>
        <v>0</v>
      </c>
      <c r="F96" s="171">
        <f>F94+F76+F63</f>
        <v>6282476388.1000004</v>
      </c>
      <c r="G96" s="62"/>
      <c r="H96" s="171">
        <f t="shared" ref="H96:Q96" si="16">H94+H76+H63</f>
        <v>6282476388.1000004</v>
      </c>
      <c r="I96" s="171">
        <f t="shared" si="16"/>
        <v>6282476388.1000004</v>
      </c>
      <c r="J96" s="171">
        <f t="shared" si="16"/>
        <v>3257985533.4857597</v>
      </c>
      <c r="K96" s="171">
        <f t="shared" si="16"/>
        <v>774505505.26390636</v>
      </c>
      <c r="L96" s="171">
        <f t="shared" si="16"/>
        <v>2108471040.3903334</v>
      </c>
      <c r="M96" s="171">
        <f t="shared" si="16"/>
        <v>141514308.95999998</v>
      </c>
      <c r="N96" s="171">
        <f t="shared" si="16"/>
        <v>0</v>
      </c>
      <c r="O96" s="171">
        <f t="shared" si="16"/>
        <v>0</v>
      </c>
      <c r="P96" s="171">
        <f t="shared" si="16"/>
        <v>0</v>
      </c>
      <c r="Q96" s="171">
        <f t="shared" si="16"/>
        <v>0</v>
      </c>
      <c r="R96" s="171"/>
      <c r="S96" s="62">
        <f>SUM(J96:Q96)</f>
        <v>6282476388.0999994</v>
      </c>
      <c r="T96" s="468">
        <f>I96-S96</f>
        <v>0</v>
      </c>
    </row>
    <row r="97" spans="1:20" s="1" customFormat="1" x14ac:dyDescent="0.3">
      <c r="A97" s="62"/>
      <c r="B97" s="62"/>
      <c r="C97" s="62"/>
      <c r="D97" s="171"/>
      <c r="E97" s="171"/>
      <c r="F97" s="171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</row>
    <row r="98" spans="1:20" s="1" customFormat="1" x14ac:dyDescent="0.3">
      <c r="A98" s="499" t="s">
        <v>467</v>
      </c>
      <c r="B98" s="62"/>
      <c r="C98" s="62"/>
      <c r="D98" s="171">
        <f>D63+D76+D94</f>
        <v>6282476388.1000004</v>
      </c>
      <c r="E98" s="171">
        <f t="shared" ref="E98:Q98" si="17">E63+E76+E94</f>
        <v>0</v>
      </c>
      <c r="F98" s="171">
        <f t="shared" si="17"/>
        <v>6282476388.1000004</v>
      </c>
      <c r="G98" s="171">
        <f t="shared" si="17"/>
        <v>0</v>
      </c>
      <c r="H98" s="171">
        <f t="shared" si="17"/>
        <v>6282476388.1000004</v>
      </c>
      <c r="I98" s="171">
        <f t="shared" si="17"/>
        <v>6282476388.1000004</v>
      </c>
      <c r="J98" s="171">
        <f t="shared" si="17"/>
        <v>3257985533.4857597</v>
      </c>
      <c r="K98" s="171">
        <f t="shared" si="17"/>
        <v>774505505.26390636</v>
      </c>
      <c r="L98" s="171">
        <f t="shared" si="17"/>
        <v>2108471040.3903334</v>
      </c>
      <c r="M98" s="171">
        <f t="shared" si="17"/>
        <v>141514308.95999998</v>
      </c>
      <c r="N98" s="171">
        <f t="shared" si="17"/>
        <v>0</v>
      </c>
      <c r="O98" s="171">
        <f t="shared" si="17"/>
        <v>0</v>
      </c>
      <c r="P98" s="171">
        <f t="shared" si="17"/>
        <v>0</v>
      </c>
      <c r="Q98" s="171">
        <f t="shared" si="17"/>
        <v>0</v>
      </c>
      <c r="R98" s="171"/>
      <c r="S98" s="62">
        <f>SUM(J98:Q98)</f>
        <v>6282476388.0999994</v>
      </c>
      <c r="T98" s="468">
        <f>I98-S98</f>
        <v>0</v>
      </c>
    </row>
    <row r="99" spans="1:20" s="1" customFormat="1" x14ac:dyDescent="0.3">
      <c r="A99" s="62"/>
      <c r="B99" s="62"/>
      <c r="C99" s="62"/>
      <c r="D99" s="171"/>
      <c r="E99" s="171"/>
      <c r="F99" s="171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</row>
    <row r="100" spans="1:20" s="1" customFormat="1" x14ac:dyDescent="0.3">
      <c r="A100" s="499" t="s">
        <v>468</v>
      </c>
      <c r="B100" s="62"/>
      <c r="C100" s="62"/>
      <c r="D100" s="171"/>
      <c r="E100" s="171"/>
      <c r="F100" s="171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</row>
    <row r="101" spans="1:20" s="1" customFormat="1" x14ac:dyDescent="0.3">
      <c r="A101" s="62"/>
      <c r="B101" s="62"/>
      <c r="C101" s="62"/>
      <c r="D101" s="171"/>
      <c r="E101" s="171"/>
      <c r="F101" s="171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</row>
    <row r="102" spans="1:20" s="1" customFormat="1" x14ac:dyDescent="0.3">
      <c r="A102" s="499" t="s">
        <v>469</v>
      </c>
      <c r="B102" s="62"/>
      <c r="C102" s="62"/>
      <c r="D102" s="171"/>
      <c r="E102" s="171"/>
      <c r="F102" s="171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</row>
    <row r="103" spans="1:20" s="1" customFormat="1" x14ac:dyDescent="0.3">
      <c r="A103" s="503">
        <v>374</v>
      </c>
      <c r="B103" s="504" t="s">
        <v>470</v>
      </c>
      <c r="C103" s="62"/>
      <c r="D103" s="171">
        <f>'1. RB-i'!D375</f>
        <v>1033147.95</v>
      </c>
      <c r="E103" s="171">
        <f>'1. RB-i'!E375</f>
        <v>0</v>
      </c>
      <c r="F103" s="171">
        <f>'1. RB-i'!F375</f>
        <v>1033147.95</v>
      </c>
      <c r="G103" s="171">
        <f>'1. RB-i'!G375</f>
        <v>1033147.95</v>
      </c>
      <c r="H103" s="171">
        <f>'1. RB-i'!H375</f>
        <v>0</v>
      </c>
      <c r="I103" s="171">
        <f>'1. RB-i'!I375</f>
        <v>0</v>
      </c>
      <c r="J103" s="171">
        <f>'1. RB-i'!J375</f>
        <v>0</v>
      </c>
      <c r="K103" s="171">
        <f>'1. RB-i'!K375</f>
        <v>0</v>
      </c>
      <c r="L103" s="171">
        <f>'1. RB-i'!L375</f>
        <v>0</v>
      </c>
      <c r="M103" s="171">
        <f>'1. RB-i'!M375</f>
        <v>0</v>
      </c>
      <c r="N103" s="171">
        <f>'1. RB-i'!N375</f>
        <v>0</v>
      </c>
      <c r="O103" s="171">
        <f>'1. RB-i'!O375</f>
        <v>0</v>
      </c>
      <c r="P103" s="171">
        <f>'1. RB-i'!P375</f>
        <v>0</v>
      </c>
      <c r="Q103" s="171">
        <f>'1. RB-i'!Q375</f>
        <v>0</v>
      </c>
      <c r="R103" s="171"/>
      <c r="S103" s="62">
        <f t="shared" ref="S103:S112" si="18">SUM(J103:Q103)</f>
        <v>0</v>
      </c>
      <c r="T103" s="468">
        <f t="shared" ref="T103:T113" si="19">I103-S103</f>
        <v>0</v>
      </c>
    </row>
    <row r="104" spans="1:20" s="1" customFormat="1" x14ac:dyDescent="0.3">
      <c r="A104" s="511">
        <f t="shared" ref="A104:A110" si="20">A103+1</f>
        <v>375</v>
      </c>
      <c r="B104" s="507" t="s">
        <v>374</v>
      </c>
      <c r="C104" s="62"/>
      <c r="D104" s="171">
        <f>'1. RB-i'!D376</f>
        <v>91128.81</v>
      </c>
      <c r="E104" s="171">
        <f>'1. RB-i'!E376</f>
        <v>0</v>
      </c>
      <c r="F104" s="171">
        <f>'1. RB-i'!F376</f>
        <v>91128.81</v>
      </c>
      <c r="G104" s="171">
        <f>'1. RB-i'!G376</f>
        <v>91128.81</v>
      </c>
      <c r="H104" s="171">
        <f>'1. RB-i'!H376</f>
        <v>0</v>
      </c>
      <c r="I104" s="171">
        <f>'1. RB-i'!I376</f>
        <v>0</v>
      </c>
      <c r="J104" s="171">
        <f>'1. RB-i'!J376</f>
        <v>0</v>
      </c>
      <c r="K104" s="171">
        <f>'1. RB-i'!K376</f>
        <v>0</v>
      </c>
      <c r="L104" s="171">
        <f>'1. RB-i'!L376</f>
        <v>0</v>
      </c>
      <c r="M104" s="171">
        <f>'1. RB-i'!M376</f>
        <v>0</v>
      </c>
      <c r="N104" s="171">
        <f>'1. RB-i'!N376</f>
        <v>0</v>
      </c>
      <c r="O104" s="171">
        <f>'1. RB-i'!O376</f>
        <v>0</v>
      </c>
      <c r="P104" s="171">
        <f>'1. RB-i'!P376</f>
        <v>0</v>
      </c>
      <c r="Q104" s="171">
        <f>'1. RB-i'!Q376</f>
        <v>0</v>
      </c>
      <c r="R104" s="171"/>
      <c r="S104" s="62">
        <f t="shared" si="18"/>
        <v>0</v>
      </c>
      <c r="T104" s="468">
        <f t="shared" si="19"/>
        <v>0</v>
      </c>
    </row>
    <row r="105" spans="1:20" s="1" customFormat="1" x14ac:dyDescent="0.3">
      <c r="A105" s="511">
        <f t="shared" si="20"/>
        <v>376</v>
      </c>
      <c r="B105" s="504" t="s">
        <v>471</v>
      </c>
      <c r="C105" s="62"/>
      <c r="D105" s="171">
        <f>'1. RB-i'!D377</f>
        <v>341077898.43999994</v>
      </c>
      <c r="E105" s="171">
        <f>'1. RB-i'!E377</f>
        <v>0</v>
      </c>
      <c r="F105" s="171">
        <f>'1. RB-i'!F377</f>
        <v>341077898.43999994</v>
      </c>
      <c r="G105" s="171">
        <f>'1. RB-i'!G377</f>
        <v>341077898.43999994</v>
      </c>
      <c r="H105" s="171">
        <f>'1. RB-i'!H377</f>
        <v>0</v>
      </c>
      <c r="I105" s="171">
        <f>'1. RB-i'!I377</f>
        <v>0</v>
      </c>
      <c r="J105" s="171">
        <f>'1. RB-i'!J377</f>
        <v>0</v>
      </c>
      <c r="K105" s="171">
        <f>'1. RB-i'!K377</f>
        <v>0</v>
      </c>
      <c r="L105" s="171">
        <f>'1. RB-i'!L377</f>
        <v>0</v>
      </c>
      <c r="M105" s="171">
        <f>'1. RB-i'!M377</f>
        <v>0</v>
      </c>
      <c r="N105" s="171">
        <f>'1. RB-i'!N377</f>
        <v>0</v>
      </c>
      <c r="O105" s="171">
        <f>'1. RB-i'!O377</f>
        <v>0</v>
      </c>
      <c r="P105" s="171">
        <f>'1. RB-i'!P377</f>
        <v>0</v>
      </c>
      <c r="Q105" s="171">
        <f>'1. RB-i'!Q377</f>
        <v>0</v>
      </c>
      <c r="R105" s="171"/>
      <c r="S105" s="62">
        <f t="shared" si="18"/>
        <v>0</v>
      </c>
      <c r="T105" s="468">
        <f t="shared" si="19"/>
        <v>0</v>
      </c>
    </row>
    <row r="106" spans="1:20" s="1" customFormat="1" x14ac:dyDescent="0.3">
      <c r="A106" s="511">
        <f t="shared" si="20"/>
        <v>377</v>
      </c>
      <c r="B106" s="504" t="s">
        <v>472</v>
      </c>
      <c r="C106" s="498"/>
      <c r="D106" s="171">
        <f>'1. RB-i'!D378</f>
        <v>263321.80000000005</v>
      </c>
      <c r="E106" s="171">
        <f>'1. RB-i'!E378</f>
        <v>0</v>
      </c>
      <c r="F106" s="171">
        <f>'1. RB-i'!F378</f>
        <v>263321.80000000005</v>
      </c>
      <c r="G106" s="171">
        <f>'1. RB-i'!G378</f>
        <v>263321.80000000005</v>
      </c>
      <c r="H106" s="171">
        <f>'1. RB-i'!H378</f>
        <v>0</v>
      </c>
      <c r="I106" s="171">
        <f>'1. RB-i'!I378</f>
        <v>0</v>
      </c>
      <c r="J106" s="171">
        <f>'1. RB-i'!J378</f>
        <v>0</v>
      </c>
      <c r="K106" s="171">
        <f>'1. RB-i'!K378</f>
        <v>0</v>
      </c>
      <c r="L106" s="171">
        <f>'1. RB-i'!L378</f>
        <v>0</v>
      </c>
      <c r="M106" s="171">
        <f>'1. RB-i'!M378</f>
        <v>0</v>
      </c>
      <c r="N106" s="171">
        <f>'1. RB-i'!N378</f>
        <v>0</v>
      </c>
      <c r="O106" s="171">
        <f>'1. RB-i'!O378</f>
        <v>0</v>
      </c>
      <c r="P106" s="171">
        <f>'1. RB-i'!P378</f>
        <v>0</v>
      </c>
      <c r="Q106" s="171">
        <f>'1. RB-i'!Q378</f>
        <v>0</v>
      </c>
      <c r="R106" s="171"/>
      <c r="S106" s="62">
        <f t="shared" si="18"/>
        <v>0</v>
      </c>
      <c r="T106" s="468">
        <f t="shared" si="19"/>
        <v>0</v>
      </c>
    </row>
    <row r="107" spans="1:20" s="1" customFormat="1" x14ac:dyDescent="0.3">
      <c r="A107" s="511">
        <f t="shared" si="20"/>
        <v>378</v>
      </c>
      <c r="B107" s="503" t="s">
        <v>473</v>
      </c>
      <c r="C107" s="498"/>
      <c r="D107" s="171">
        <f>'1. RB-i'!D379</f>
        <v>7481606.2600000016</v>
      </c>
      <c r="E107" s="171">
        <f>'1. RB-i'!E379</f>
        <v>0</v>
      </c>
      <c r="F107" s="171">
        <f>'1. RB-i'!F379</f>
        <v>7481606.2600000016</v>
      </c>
      <c r="G107" s="171">
        <f>'1. RB-i'!G379</f>
        <v>7481606.2600000016</v>
      </c>
      <c r="H107" s="171">
        <f>'1. RB-i'!H379</f>
        <v>0</v>
      </c>
      <c r="I107" s="171">
        <f>'1. RB-i'!I379</f>
        <v>0</v>
      </c>
      <c r="J107" s="171">
        <f>'1. RB-i'!J379</f>
        <v>0</v>
      </c>
      <c r="K107" s="171">
        <f>'1. RB-i'!K379</f>
        <v>0</v>
      </c>
      <c r="L107" s="171">
        <f>'1. RB-i'!L379</f>
        <v>0</v>
      </c>
      <c r="M107" s="171">
        <f>'1. RB-i'!M379</f>
        <v>0</v>
      </c>
      <c r="N107" s="171">
        <f>'1. RB-i'!N379</f>
        <v>0</v>
      </c>
      <c r="O107" s="171">
        <f>'1. RB-i'!O379</f>
        <v>0</v>
      </c>
      <c r="P107" s="171">
        <f>'1. RB-i'!P379</f>
        <v>0</v>
      </c>
      <c r="Q107" s="171">
        <f>'1. RB-i'!Q379</f>
        <v>0</v>
      </c>
      <c r="R107" s="171"/>
      <c r="S107" s="62">
        <f t="shared" si="18"/>
        <v>0</v>
      </c>
      <c r="T107" s="468">
        <f t="shared" si="19"/>
        <v>0</v>
      </c>
    </row>
    <row r="108" spans="1:20" s="1" customFormat="1" x14ac:dyDescent="0.3">
      <c r="A108" s="511">
        <f t="shared" si="20"/>
        <v>379</v>
      </c>
      <c r="B108" s="503" t="s">
        <v>474</v>
      </c>
      <c r="C108" s="62"/>
      <c r="D108" s="171">
        <f>'1. RB-i'!D380</f>
        <v>2270600.8200000003</v>
      </c>
      <c r="E108" s="171">
        <f>'1. RB-i'!E380</f>
        <v>0</v>
      </c>
      <c r="F108" s="171">
        <f>'1. RB-i'!F380</f>
        <v>2270600.8200000003</v>
      </c>
      <c r="G108" s="171">
        <f>'1. RB-i'!G380</f>
        <v>2270600.8200000003</v>
      </c>
      <c r="H108" s="171">
        <f>'1. RB-i'!H380</f>
        <v>0</v>
      </c>
      <c r="I108" s="171">
        <f>'1. RB-i'!I380</f>
        <v>0</v>
      </c>
      <c r="J108" s="171">
        <f>'1. RB-i'!J380</f>
        <v>0</v>
      </c>
      <c r="K108" s="171">
        <f>'1. RB-i'!K380</f>
        <v>0</v>
      </c>
      <c r="L108" s="171">
        <f>'1. RB-i'!L380</f>
        <v>0</v>
      </c>
      <c r="M108" s="171">
        <f>'1. RB-i'!M380</f>
        <v>0</v>
      </c>
      <c r="N108" s="171">
        <f>'1. RB-i'!N380</f>
        <v>0</v>
      </c>
      <c r="O108" s="171">
        <f>'1. RB-i'!O380</f>
        <v>0</v>
      </c>
      <c r="P108" s="171">
        <f>'1. RB-i'!P380</f>
        <v>0</v>
      </c>
      <c r="Q108" s="171">
        <f>'1. RB-i'!Q380</f>
        <v>0</v>
      </c>
      <c r="R108" s="171"/>
      <c r="S108" s="62">
        <f t="shared" si="18"/>
        <v>0</v>
      </c>
      <c r="T108" s="468">
        <f t="shared" si="19"/>
        <v>0</v>
      </c>
    </row>
    <row r="109" spans="1:20" s="1" customFormat="1" x14ac:dyDescent="0.3">
      <c r="A109" s="511">
        <f t="shared" si="20"/>
        <v>380</v>
      </c>
      <c r="B109" s="504" t="s">
        <v>456</v>
      </c>
      <c r="C109" s="62"/>
      <c r="D109" s="171">
        <f>'1. RB-i'!D381</f>
        <v>143912621.82999995</v>
      </c>
      <c r="E109" s="171">
        <f>'1. RB-i'!E381</f>
        <v>0</v>
      </c>
      <c r="F109" s="171">
        <f>'1. RB-i'!F381</f>
        <v>143912621.82999995</v>
      </c>
      <c r="G109" s="171">
        <f>'1. RB-i'!G381</f>
        <v>143912621.82999995</v>
      </c>
      <c r="H109" s="171">
        <f>'1. RB-i'!H381</f>
        <v>0</v>
      </c>
      <c r="I109" s="171">
        <f>'1. RB-i'!I381</f>
        <v>0</v>
      </c>
      <c r="J109" s="171">
        <f>'1. RB-i'!J381</f>
        <v>0</v>
      </c>
      <c r="K109" s="171">
        <f>'1. RB-i'!K381</f>
        <v>0</v>
      </c>
      <c r="L109" s="171">
        <f>'1. RB-i'!L381</f>
        <v>0</v>
      </c>
      <c r="M109" s="171">
        <f>'1. RB-i'!M381</f>
        <v>0</v>
      </c>
      <c r="N109" s="171">
        <f>'1. RB-i'!N381</f>
        <v>0</v>
      </c>
      <c r="O109" s="171">
        <f>'1. RB-i'!O381</f>
        <v>0</v>
      </c>
      <c r="P109" s="171">
        <f>'1. RB-i'!P381</f>
        <v>0</v>
      </c>
      <c r="Q109" s="171">
        <f>'1. RB-i'!Q381</f>
        <v>0</v>
      </c>
      <c r="R109" s="171"/>
      <c r="S109" s="62">
        <f t="shared" si="18"/>
        <v>0</v>
      </c>
      <c r="T109" s="468">
        <f t="shared" si="19"/>
        <v>0</v>
      </c>
    </row>
    <row r="110" spans="1:20" s="1" customFormat="1" x14ac:dyDescent="0.3">
      <c r="A110" s="511">
        <f t="shared" si="20"/>
        <v>381</v>
      </c>
      <c r="B110" s="504" t="s">
        <v>475</v>
      </c>
      <c r="C110" s="62"/>
      <c r="D110" s="171">
        <f>'1. RB-i'!D382</f>
        <v>52706502.309999995</v>
      </c>
      <c r="E110" s="171">
        <f>'1. RB-i'!E382</f>
        <v>0</v>
      </c>
      <c r="F110" s="171">
        <f>'1. RB-i'!F382</f>
        <v>52706502.309999995</v>
      </c>
      <c r="G110" s="171">
        <f>'1. RB-i'!G382</f>
        <v>52706502.309999995</v>
      </c>
      <c r="H110" s="171">
        <f>'1. RB-i'!H382</f>
        <v>0</v>
      </c>
      <c r="I110" s="171">
        <f>'1. RB-i'!I382</f>
        <v>0</v>
      </c>
      <c r="J110" s="171">
        <f>'1. RB-i'!J382</f>
        <v>0</v>
      </c>
      <c r="K110" s="171">
        <f>'1. RB-i'!K382</f>
        <v>0</v>
      </c>
      <c r="L110" s="171">
        <f>'1. RB-i'!L382</f>
        <v>0</v>
      </c>
      <c r="M110" s="171">
        <f>'1. RB-i'!M382</f>
        <v>0</v>
      </c>
      <c r="N110" s="171">
        <f>'1. RB-i'!N382</f>
        <v>0</v>
      </c>
      <c r="O110" s="171">
        <f>'1. RB-i'!O382</f>
        <v>0</v>
      </c>
      <c r="P110" s="171">
        <f>'1. RB-i'!P382</f>
        <v>0</v>
      </c>
      <c r="Q110" s="171">
        <f>'1. RB-i'!Q382</f>
        <v>0</v>
      </c>
      <c r="R110" s="171"/>
      <c r="S110" s="62">
        <f t="shared" si="18"/>
        <v>0</v>
      </c>
      <c r="T110" s="468">
        <f t="shared" si="19"/>
        <v>0</v>
      </c>
    </row>
    <row r="111" spans="1:20" s="1" customFormat="1" x14ac:dyDescent="0.3">
      <c r="A111" s="504">
        <v>383</v>
      </c>
      <c r="B111" s="504" t="s">
        <v>476</v>
      </c>
      <c r="C111" s="62"/>
      <c r="D111" s="171">
        <f>'1. RB-i'!D383</f>
        <v>7885824.3199999994</v>
      </c>
      <c r="E111" s="171">
        <f>'1. RB-i'!E383</f>
        <v>0</v>
      </c>
      <c r="F111" s="171">
        <f>'1. RB-i'!F383</f>
        <v>7885824.3199999994</v>
      </c>
      <c r="G111" s="171">
        <f>'1. RB-i'!G383</f>
        <v>7885824.3199999994</v>
      </c>
      <c r="H111" s="171">
        <f>'1. RB-i'!H383</f>
        <v>0</v>
      </c>
      <c r="I111" s="171">
        <f>'1. RB-i'!I383</f>
        <v>0</v>
      </c>
      <c r="J111" s="171">
        <f>'1. RB-i'!J383</f>
        <v>0</v>
      </c>
      <c r="K111" s="171">
        <f>'1. RB-i'!K383</f>
        <v>0</v>
      </c>
      <c r="L111" s="171">
        <f>'1. RB-i'!L383</f>
        <v>0</v>
      </c>
      <c r="M111" s="171">
        <f>'1. RB-i'!M383</f>
        <v>0</v>
      </c>
      <c r="N111" s="171">
        <f>'1. RB-i'!N383</f>
        <v>0</v>
      </c>
      <c r="O111" s="171">
        <f>'1. RB-i'!O383</f>
        <v>0</v>
      </c>
      <c r="P111" s="171">
        <f>'1. RB-i'!P383</f>
        <v>0</v>
      </c>
      <c r="Q111" s="171">
        <f>'1. RB-i'!Q383</f>
        <v>0</v>
      </c>
      <c r="R111" s="171"/>
      <c r="S111" s="62">
        <f t="shared" si="18"/>
        <v>0</v>
      </c>
      <c r="T111" s="468">
        <f t="shared" si="19"/>
        <v>0</v>
      </c>
    </row>
    <row r="112" spans="1:20" s="1" customFormat="1" x14ac:dyDescent="0.3">
      <c r="A112" s="504">
        <v>385</v>
      </c>
      <c r="B112" s="504" t="s">
        <v>477</v>
      </c>
      <c r="C112" s="62"/>
      <c r="D112" s="171">
        <f>'1. RB-i'!D384</f>
        <v>872442.47999999975</v>
      </c>
      <c r="E112" s="171">
        <f>'1. RB-i'!E384</f>
        <v>0</v>
      </c>
      <c r="F112" s="171">
        <f>'1. RB-i'!F384</f>
        <v>872442.47999999975</v>
      </c>
      <c r="G112" s="171">
        <f>'1. RB-i'!G384</f>
        <v>872442.47999999975</v>
      </c>
      <c r="H112" s="171">
        <f>'1. RB-i'!H384</f>
        <v>0</v>
      </c>
      <c r="I112" s="171">
        <f>'1. RB-i'!I384</f>
        <v>0</v>
      </c>
      <c r="J112" s="171">
        <f>'1. RB-i'!J384</f>
        <v>0</v>
      </c>
      <c r="K112" s="171">
        <f>'1. RB-i'!K384</f>
        <v>0</v>
      </c>
      <c r="L112" s="171">
        <f>'1. RB-i'!L384</f>
        <v>0</v>
      </c>
      <c r="M112" s="171">
        <f>'1. RB-i'!M384</f>
        <v>0</v>
      </c>
      <c r="N112" s="171">
        <f>'1. RB-i'!N384</f>
        <v>0</v>
      </c>
      <c r="O112" s="171">
        <f>'1. RB-i'!O384</f>
        <v>0</v>
      </c>
      <c r="P112" s="171">
        <f>'1. RB-i'!P384</f>
        <v>0</v>
      </c>
      <c r="Q112" s="171">
        <f>'1. RB-i'!Q384</f>
        <v>0</v>
      </c>
      <c r="R112" s="171"/>
      <c r="S112" s="62">
        <f t="shared" si="18"/>
        <v>0</v>
      </c>
      <c r="T112" s="468">
        <f t="shared" si="19"/>
        <v>0</v>
      </c>
    </row>
    <row r="113" spans="1:20" s="1" customFormat="1" x14ac:dyDescent="0.3">
      <c r="A113" s="504">
        <v>387</v>
      </c>
      <c r="B113" s="504" t="s">
        <v>478</v>
      </c>
      <c r="C113" s="62"/>
      <c r="D113" s="171">
        <f>'1. RB-i'!D386</f>
        <v>0</v>
      </c>
      <c r="E113" s="171">
        <f>'1. RB-i'!E386</f>
        <v>0</v>
      </c>
      <c r="F113" s="171">
        <f>'1. RB-i'!F386</f>
        <v>0</v>
      </c>
      <c r="G113" s="171">
        <f>'1. RB-i'!G386</f>
        <v>0</v>
      </c>
      <c r="H113" s="171">
        <f>'1. RB-i'!H386</f>
        <v>0</v>
      </c>
      <c r="I113" s="171">
        <f>'1. RB-i'!I386</f>
        <v>0</v>
      </c>
      <c r="J113" s="171">
        <f>'1. RB-i'!J386</f>
        <v>0</v>
      </c>
      <c r="K113" s="171">
        <f>'1. RB-i'!K386</f>
        <v>0</v>
      </c>
      <c r="L113" s="171">
        <f>'1. RB-i'!L386</f>
        <v>0</v>
      </c>
      <c r="M113" s="171">
        <f>'1. RB-i'!M386</f>
        <v>0</v>
      </c>
      <c r="N113" s="171">
        <f>'1. RB-i'!N386</f>
        <v>0</v>
      </c>
      <c r="O113" s="171">
        <f>'1. RB-i'!O386</f>
        <v>0</v>
      </c>
      <c r="P113" s="171">
        <f>'1. RB-i'!P386</f>
        <v>0</v>
      </c>
      <c r="Q113" s="171">
        <f>'1. RB-i'!Q386</f>
        <v>0</v>
      </c>
      <c r="R113" s="171"/>
      <c r="S113" s="62">
        <f>SUM(J113:Q113)</f>
        <v>0</v>
      </c>
      <c r="T113" s="468">
        <f t="shared" si="19"/>
        <v>0</v>
      </c>
    </row>
    <row r="114" spans="1:20" s="1" customFormat="1" x14ac:dyDescent="0.3">
      <c r="A114" s="504"/>
      <c r="B114" s="504"/>
      <c r="C114" s="62"/>
      <c r="D114" s="171"/>
      <c r="E114" s="171"/>
      <c r="F114" s="171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</row>
    <row r="115" spans="1:20" s="1" customFormat="1" x14ac:dyDescent="0.3">
      <c r="A115" s="62"/>
      <c r="B115" s="498" t="s">
        <v>479</v>
      </c>
      <c r="C115" s="498"/>
      <c r="D115" s="171">
        <f>SUM(D103:D113)</f>
        <v>557595095.01999986</v>
      </c>
      <c r="E115" s="171">
        <f>SUM(E103:E113)</f>
        <v>0</v>
      </c>
      <c r="F115" s="171">
        <f>SUM(F103:F113)</f>
        <v>557595095.01999986</v>
      </c>
      <c r="G115" s="171">
        <f>SUM(G103:G113)</f>
        <v>557595095.01999986</v>
      </c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</row>
    <row r="116" spans="1:20" s="1" customFormat="1" x14ac:dyDescent="0.3">
      <c r="A116" s="62"/>
      <c r="B116" s="498"/>
      <c r="C116" s="498"/>
      <c r="D116" s="171"/>
      <c r="E116" s="171"/>
      <c r="F116" s="171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</row>
    <row r="117" spans="1:20" s="1" customFormat="1" x14ac:dyDescent="0.3">
      <c r="A117" s="499" t="s">
        <v>480</v>
      </c>
      <c r="B117" s="62"/>
      <c r="C117" s="62"/>
      <c r="D117" s="171">
        <f>D115</f>
        <v>557595095.01999986</v>
      </c>
      <c r="E117" s="171">
        <f>E115</f>
        <v>0</v>
      </c>
      <c r="F117" s="171">
        <f>F115</f>
        <v>557595095.01999986</v>
      </c>
      <c r="G117" s="171">
        <f>G115</f>
        <v>557595095.01999986</v>
      </c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</row>
    <row r="118" spans="1:20" s="1" customFormat="1" x14ac:dyDescent="0.3">
      <c r="A118" s="498"/>
      <c r="B118" s="62"/>
      <c r="C118" s="62"/>
      <c r="D118" s="171"/>
      <c r="E118" s="171"/>
      <c r="F118" s="171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</row>
    <row r="119" spans="1:20" s="1" customFormat="1" x14ac:dyDescent="0.3">
      <c r="A119" s="499" t="s">
        <v>481</v>
      </c>
      <c r="B119" s="62"/>
      <c r="C119" s="62"/>
      <c r="D119" s="171"/>
      <c r="E119" s="171"/>
      <c r="F119" s="171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</row>
    <row r="120" spans="1:20" s="1" customFormat="1" x14ac:dyDescent="0.3">
      <c r="A120" s="498"/>
      <c r="B120" s="62"/>
      <c r="C120" s="62"/>
      <c r="D120" s="171"/>
      <c r="E120" s="171"/>
      <c r="F120" s="171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</row>
    <row r="121" spans="1:20" s="1" customFormat="1" x14ac:dyDescent="0.3">
      <c r="A121" s="62" t="s">
        <v>482</v>
      </c>
      <c r="B121" s="62" t="s">
        <v>52</v>
      </c>
      <c r="C121" s="62"/>
      <c r="D121" s="171">
        <f>'1. RB-i'!D393</f>
        <v>39324058.869999997</v>
      </c>
      <c r="E121" s="171">
        <f>'1. RB-i'!E393</f>
        <v>0</v>
      </c>
      <c r="F121" s="171">
        <f>'1. RB-i'!F393</f>
        <v>39324058.869999997</v>
      </c>
      <c r="G121" s="171">
        <f>'1. RB-i'!G393</f>
        <v>2750899.674744423</v>
      </c>
      <c r="H121" s="171">
        <f>'1. RB-i'!H393</f>
        <v>36573159.195255578</v>
      </c>
      <c r="I121" s="171">
        <f>'1. RB-i'!I393</f>
        <v>36573159.195255578</v>
      </c>
      <c r="J121" s="171">
        <f>'1. RB-i'!J393</f>
        <v>13260811.869247928</v>
      </c>
      <c r="K121" s="171">
        <f>'1. RB-i'!K393</f>
        <v>6012518.9972141823</v>
      </c>
      <c r="L121" s="171">
        <f>'1. RB-i'!L393</f>
        <v>10653992.37854963</v>
      </c>
      <c r="M121" s="171">
        <f>'1. RB-i'!M393</f>
        <v>2352665.125911945</v>
      </c>
      <c r="N121" s="171">
        <f>'1. RB-i'!N393</f>
        <v>628377.95203641406</v>
      </c>
      <c r="O121" s="171">
        <f>'1. RB-i'!O393</f>
        <v>3209333.6586267208</v>
      </c>
      <c r="P121" s="171">
        <f>'1. RB-i'!P393</f>
        <v>455459.21487528749</v>
      </c>
      <c r="Q121" s="171">
        <f>'1. RB-i'!Q393</f>
        <v>0</v>
      </c>
      <c r="R121" s="171"/>
      <c r="S121" s="62">
        <f t="shared" ref="S121:S126" si="21">SUM(J121:Q121)</f>
        <v>36573159.19646211</v>
      </c>
      <c r="T121" s="468">
        <f t="shared" ref="T121:T126" si="22">I121-S121</f>
        <v>-1.2065321207046509E-3</v>
      </c>
    </row>
    <row r="122" spans="1:20" s="1" customFormat="1" x14ac:dyDescent="0.3">
      <c r="A122" s="62" t="s">
        <v>483</v>
      </c>
      <c r="B122" s="62" t="s">
        <v>92</v>
      </c>
      <c r="C122" s="62"/>
      <c r="D122" s="171">
        <f>'1. RB-i'!D394</f>
        <v>175451290.93999982</v>
      </c>
      <c r="E122" s="171">
        <f>'1. RB-i'!E394</f>
        <v>0</v>
      </c>
      <c r="F122" s="171">
        <f>'1. RB-i'!F394</f>
        <v>175451290.93999982</v>
      </c>
      <c r="G122" s="171">
        <f>'1. RB-i'!G394</f>
        <v>47252280.173489429</v>
      </c>
      <c r="H122" s="171">
        <f>'1. RB-i'!H394</f>
        <v>128199010.76651037</v>
      </c>
      <c r="I122" s="171">
        <f>'1. RB-i'!I394</f>
        <v>128199010.76651037</v>
      </c>
      <c r="J122" s="171">
        <f>'1. RB-i'!J394</f>
        <v>99701077.972879156</v>
      </c>
      <c r="K122" s="171">
        <f>'1. RB-i'!K394</f>
        <v>3592952.2377017797</v>
      </c>
      <c r="L122" s="171">
        <f>'1. RB-i'!L394</f>
        <v>15337578.268899975</v>
      </c>
      <c r="M122" s="171">
        <f>'1. RB-i'!M394</f>
        <v>3386916.775145859</v>
      </c>
      <c r="N122" s="171">
        <f>'1. RB-i'!N394</f>
        <v>904618.25758520083</v>
      </c>
      <c r="O122" s="171">
        <f>'1. RB-i'!O394</f>
        <v>4620184.0991839934</v>
      </c>
      <c r="P122" s="171">
        <f>'1. RB-i'!P394</f>
        <v>655682.96918496932</v>
      </c>
      <c r="Q122" s="171">
        <f>'1. RB-i'!Q394</f>
        <v>0</v>
      </c>
      <c r="R122" s="171"/>
      <c r="S122" s="62">
        <f t="shared" si="21"/>
        <v>128199010.58058092</v>
      </c>
      <c r="T122" s="468">
        <f t="shared" si="22"/>
        <v>0.18592944741249084</v>
      </c>
    </row>
    <row r="123" spans="1:20" s="1" customFormat="1" x14ac:dyDescent="0.3">
      <c r="A123" s="62" t="s">
        <v>484</v>
      </c>
      <c r="B123" s="62" t="s">
        <v>93</v>
      </c>
      <c r="C123" s="62"/>
      <c r="D123" s="171">
        <f>'1. RB-i'!D395</f>
        <v>202500440.16999555</v>
      </c>
      <c r="E123" s="171">
        <f>'1. RB-i'!E395</f>
        <v>0</v>
      </c>
      <c r="F123" s="171">
        <f>'1. RB-i'!F395</f>
        <v>202500440.16999555</v>
      </c>
      <c r="G123" s="171">
        <f>'1. RB-i'!G395</f>
        <v>4646161.6798194349</v>
      </c>
      <c r="H123" s="171">
        <f>'1. RB-i'!H395</f>
        <v>197854278.49017608</v>
      </c>
      <c r="I123" s="171">
        <f>'1. RB-i'!I395</f>
        <v>197854278.49017608</v>
      </c>
      <c r="J123" s="171">
        <f>'1. RB-i'!J395</f>
        <v>95203850.060310394</v>
      </c>
      <c r="K123" s="171">
        <f>'1. RB-i'!K395</f>
        <v>35910983.682822116</v>
      </c>
      <c r="L123" s="171">
        <f>'1. RB-i'!L395</f>
        <v>41101074.532127209</v>
      </c>
      <c r="M123" s="171">
        <f>'1. RB-i'!M395</f>
        <v>9076134.2089872062</v>
      </c>
      <c r="N123" s="171">
        <f>'1. RB-i'!N395</f>
        <v>2424162.5226795999</v>
      </c>
      <c r="O123" s="171">
        <f>'1. RB-i'!O395</f>
        <v>12380998.335164791</v>
      </c>
      <c r="P123" s="171">
        <f>'1. RB-i'!P395</f>
        <v>1757074.9510411927</v>
      </c>
      <c r="Q123" s="171">
        <f>'1. RB-i'!Q395</f>
        <v>0</v>
      </c>
      <c r="R123" s="171"/>
      <c r="S123" s="62">
        <f t="shared" si="21"/>
        <v>197854278.29313248</v>
      </c>
      <c r="T123" s="468">
        <f t="shared" si="22"/>
        <v>0.19704359769821167</v>
      </c>
    </row>
    <row r="124" spans="1:20" s="1" customFormat="1" x14ac:dyDescent="0.3">
      <c r="A124" s="62" t="s">
        <v>485</v>
      </c>
      <c r="B124" s="62" t="s">
        <v>94</v>
      </c>
      <c r="C124" s="62"/>
      <c r="D124" s="171">
        <f>'1. RB-i'!D396</f>
        <v>72995138.189999864</v>
      </c>
      <c r="E124" s="171">
        <f>'1. RB-i'!E396</f>
        <v>0</v>
      </c>
      <c r="F124" s="171">
        <f>'1. RB-i'!F396</f>
        <v>72995138.189999864</v>
      </c>
      <c r="G124" s="171">
        <f>'1. RB-i'!G396</f>
        <v>7304888.9272103775</v>
      </c>
      <c r="H124" s="171">
        <f>'1. RB-i'!H396</f>
        <v>65690249.262789488</v>
      </c>
      <c r="I124" s="171">
        <f>'1. RB-i'!I396</f>
        <v>65690249.262789488</v>
      </c>
      <c r="J124" s="171">
        <f>'1. RB-i'!J396</f>
        <v>8548418.6546524409</v>
      </c>
      <c r="K124" s="171">
        <f>'1. RB-i'!K396</f>
        <v>12699153.984235466</v>
      </c>
      <c r="L124" s="171">
        <f>'1. RB-i'!L396</f>
        <v>27369747.549965929</v>
      </c>
      <c r="M124" s="171">
        <f>'1. RB-i'!M396</f>
        <v>6043917.4609757587</v>
      </c>
      <c r="N124" s="171">
        <f>'1. RB-i'!N396</f>
        <v>1614281.7924131614</v>
      </c>
      <c r="O124" s="171">
        <f>'1. RB-i'!O396</f>
        <v>8244670.0653806664</v>
      </c>
      <c r="P124" s="171">
        <f>'1. RB-i'!P396</f>
        <v>1170059.3812644836</v>
      </c>
      <c r="Q124" s="171">
        <f>'1. RB-i'!Q396</f>
        <v>0</v>
      </c>
      <c r="R124" s="171"/>
      <c r="S124" s="62">
        <f t="shared" si="21"/>
        <v>65690248.888887905</v>
      </c>
      <c r="T124" s="468">
        <f t="shared" si="22"/>
        <v>0.37390158325433731</v>
      </c>
    </row>
    <row r="125" spans="1:20" s="1" customFormat="1" x14ac:dyDescent="0.3">
      <c r="A125" s="62" t="s">
        <v>486</v>
      </c>
      <c r="B125" s="62" t="s">
        <v>53</v>
      </c>
      <c r="C125" s="62"/>
      <c r="D125" s="171">
        <f>'1. RB-i'!D397</f>
        <v>798198.57000000018</v>
      </c>
      <c r="E125" s="171">
        <f>'1. RB-i'!E397</f>
        <v>0</v>
      </c>
      <c r="F125" s="171">
        <f>'1. RB-i'!F397</f>
        <v>798198.57000000018</v>
      </c>
      <c r="G125" s="171">
        <f>'1. RB-i'!G397</f>
        <v>1.8181423909948739E-4</v>
      </c>
      <c r="H125" s="171">
        <f>'1. RB-i'!H397</f>
        <v>798198.56981818588</v>
      </c>
      <c r="I125" s="171">
        <f>'1. RB-i'!I397</f>
        <v>798198.56981818588</v>
      </c>
      <c r="J125" s="171">
        <f>'1. RB-i'!J397</f>
        <v>580119.60425478977</v>
      </c>
      <c r="K125" s="171">
        <f>'1. RB-i'!K397</f>
        <v>105231.12194578032</v>
      </c>
      <c r="L125" s="171">
        <f>'1. RB-i'!L397</f>
        <v>69496.478680828965</v>
      </c>
      <c r="M125" s="171">
        <f>'1. RB-i'!M397</f>
        <v>15346.54202449575</v>
      </c>
      <c r="N125" s="171">
        <f>'1. RB-i'!N397</f>
        <v>4098.9380689933059</v>
      </c>
      <c r="O125" s="171">
        <f>'1. RB-i'!O397</f>
        <v>20934.629973593219</v>
      </c>
      <c r="P125" s="171">
        <f>'1. RB-i'!P397</f>
        <v>2970.9812520887626</v>
      </c>
      <c r="Q125" s="171">
        <f>'1. RB-i'!Q397</f>
        <v>0</v>
      </c>
      <c r="R125" s="171"/>
      <c r="S125" s="62">
        <f t="shared" si="21"/>
        <v>798198.29620057007</v>
      </c>
      <c r="T125" s="468">
        <f t="shared" si="22"/>
        <v>0.27361761580687016</v>
      </c>
    </row>
    <row r="126" spans="1:20" s="1" customFormat="1" x14ac:dyDescent="0.3">
      <c r="A126" s="62" t="s">
        <v>487</v>
      </c>
      <c r="B126" s="498" t="s">
        <v>95</v>
      </c>
      <c r="C126" s="498"/>
      <c r="D126" s="171">
        <f>'1. RB-i'!D398</f>
        <v>19860017.949999958</v>
      </c>
      <c r="E126" s="171">
        <f>'1. RB-i'!E398</f>
        <v>0</v>
      </c>
      <c r="F126" s="171">
        <f>'1. RB-i'!F398</f>
        <v>19860017.949999958</v>
      </c>
      <c r="G126" s="171">
        <f>'1. RB-i'!G398</f>
        <v>2399257.2559196688</v>
      </c>
      <c r="H126" s="171">
        <f>'1. RB-i'!H398</f>
        <v>17460760.694080289</v>
      </c>
      <c r="I126" s="171">
        <f>'1. RB-i'!I398</f>
        <v>17460760.694080289</v>
      </c>
      <c r="J126" s="171">
        <f>'1. RB-i'!J398</f>
        <v>5236734.4461896829</v>
      </c>
      <c r="K126" s="171">
        <f>'1. RB-i'!K398</f>
        <v>4754289.4502244452</v>
      </c>
      <c r="L126" s="171">
        <f>'1. RB-i'!L398</f>
        <v>4600191.3069752995</v>
      </c>
      <c r="M126" s="171">
        <f>'1. RB-i'!M398</f>
        <v>1015836.061816051</v>
      </c>
      <c r="N126" s="171">
        <f>'1. RB-i'!N398</f>
        <v>271321.65011426178</v>
      </c>
      <c r="O126" s="171">
        <f>'1. RB-i'!O398</f>
        <v>1385729.243370052</v>
      </c>
      <c r="P126" s="171">
        <f>'1. RB-i'!P398</f>
        <v>196658.62772433483</v>
      </c>
      <c r="Q126" s="171">
        <f>'1. RB-i'!Q398</f>
        <v>0</v>
      </c>
      <c r="R126" s="171"/>
      <c r="S126" s="62">
        <f t="shared" si="21"/>
        <v>17460760.786414128</v>
      </c>
      <c r="T126" s="468">
        <f t="shared" si="22"/>
        <v>-9.23338383436203E-2</v>
      </c>
    </row>
    <row r="127" spans="1:20" s="1" customFormat="1" x14ac:dyDescent="0.3">
      <c r="A127" s="62" t="s">
        <v>488</v>
      </c>
      <c r="B127" s="62" t="s">
        <v>96</v>
      </c>
      <c r="C127" s="62"/>
      <c r="D127" s="171">
        <f>'1. RB-i'!D399</f>
        <v>713794.88000000012</v>
      </c>
      <c r="E127" s="171">
        <f>'1. RB-i'!E399</f>
        <v>0</v>
      </c>
      <c r="F127" s="171">
        <f>'1. RB-i'!F399</f>
        <v>713794.88000000012</v>
      </c>
      <c r="G127" s="171">
        <f>'1. RB-i'!G399</f>
        <v>8227.541298111837</v>
      </c>
      <c r="H127" s="171">
        <f>'1. RB-i'!H399</f>
        <v>705567.33870188822</v>
      </c>
      <c r="I127" s="171">
        <f>'1. RB-i'!I399</f>
        <v>705567.33870188822</v>
      </c>
      <c r="J127" s="171">
        <f>'1. RB-i'!J399</f>
        <v>68025.65566313015</v>
      </c>
      <c r="K127" s="171">
        <f>'1. RB-i'!K399</f>
        <v>556762.99669499428</v>
      </c>
      <c r="L127" s="171">
        <f>'1. RB-i'!L399</f>
        <v>49746.989348885741</v>
      </c>
      <c r="M127" s="171">
        <f>'1. RB-i'!M399</f>
        <v>10985.366123958996</v>
      </c>
      <c r="N127" s="171">
        <f>'1. RB-i'!N399</f>
        <v>2934.1030269523862</v>
      </c>
      <c r="O127" s="171">
        <f>'1. RB-i'!O399</f>
        <v>14985.432846203934</v>
      </c>
      <c r="P127" s="171">
        <f>'1. RB-i'!P399</f>
        <v>2126.68865399895</v>
      </c>
      <c r="Q127" s="171">
        <f>'1. RB-i'!Q399</f>
        <v>0</v>
      </c>
      <c r="R127" s="171"/>
      <c r="S127" s="62"/>
      <c r="T127" s="468"/>
    </row>
    <row r="128" spans="1:20" s="1" customFormat="1" x14ac:dyDescent="0.3">
      <c r="A128" s="62" t="s">
        <v>54</v>
      </c>
      <c r="B128" s="62" t="s">
        <v>97</v>
      </c>
      <c r="C128" s="62"/>
      <c r="D128" s="171">
        <f>'1. RB-i'!D400</f>
        <v>19673747.830000021</v>
      </c>
      <c r="E128" s="171">
        <f>'1. RB-i'!E400</f>
        <v>0</v>
      </c>
      <c r="F128" s="171">
        <f>'1. RB-i'!F400</f>
        <v>19673747.830000021</v>
      </c>
      <c r="G128" s="171">
        <f>'1. RB-i'!G400</f>
        <v>1022555.6349789874</v>
      </c>
      <c r="H128" s="171">
        <f>'1. RB-i'!H400</f>
        <v>18651192.19502103</v>
      </c>
      <c r="I128" s="171">
        <f>'1. RB-i'!I400</f>
        <v>18651192.19502103</v>
      </c>
      <c r="J128" s="171">
        <f>'1. RB-i'!J400</f>
        <v>6214960.08649687</v>
      </c>
      <c r="K128" s="171">
        <f>'1. RB-i'!K400</f>
        <v>2219297.7688503228</v>
      </c>
      <c r="L128" s="171">
        <f>'1. RB-i'!L400</f>
        <v>6292035.8195891287</v>
      </c>
      <c r="M128" s="171">
        <f>'1. RB-i'!M400</f>
        <v>1389437.1910327312</v>
      </c>
      <c r="N128" s="171">
        <f>'1. RB-i'!N400</f>
        <v>371107.50993341889</v>
      </c>
      <c r="O128" s="171">
        <f>'1. RB-i'!O400</f>
        <v>1895368.5735451356</v>
      </c>
      <c r="P128" s="171">
        <f>'1. RB-i'!P400</f>
        <v>268985.14589958609</v>
      </c>
      <c r="Q128" s="171">
        <f>'1. RB-i'!Q400</f>
        <v>0</v>
      </c>
      <c r="R128" s="171"/>
      <c r="S128" s="62"/>
      <c r="T128" s="468"/>
    </row>
    <row r="129" spans="1:20" s="1" customFormat="1" x14ac:dyDescent="0.3">
      <c r="A129" s="62" t="s">
        <v>489</v>
      </c>
      <c r="B129" s="62" t="s">
        <v>98</v>
      </c>
      <c r="C129" s="62"/>
      <c r="D129" s="171">
        <f>'1. RB-i'!D401</f>
        <v>29640927.390000075</v>
      </c>
      <c r="E129" s="171">
        <f>'1. RB-i'!E401</f>
        <v>0</v>
      </c>
      <c r="F129" s="171">
        <f>'1. RB-i'!F401</f>
        <v>29640927.390000075</v>
      </c>
      <c r="G129" s="171">
        <f>'1. RB-i'!G401</f>
        <v>497637.07</v>
      </c>
      <c r="H129" s="171">
        <f>'1. RB-i'!H401</f>
        <v>29143290.320000067</v>
      </c>
      <c r="I129" s="171">
        <f>'1. RB-i'!I401</f>
        <v>29143290.320000067</v>
      </c>
      <c r="J129" s="171">
        <f>'1. RB-i'!J401</f>
        <v>14094703.415806187</v>
      </c>
      <c r="K129" s="171">
        <f>'1. RB-i'!K401</f>
        <v>2409606.6838790942</v>
      </c>
      <c r="L129" s="171">
        <f>'1. RB-i'!L401</f>
        <v>7783638.1534403376</v>
      </c>
      <c r="M129" s="171">
        <f>'1. RB-i'!M401</f>
        <v>1718819.892642878</v>
      </c>
      <c r="N129" s="171">
        <f>'1. RB-i'!N401</f>
        <v>459082.98302323115</v>
      </c>
      <c r="O129" s="171">
        <f>'1. RB-i'!O401</f>
        <v>2344688.3595206682</v>
      </c>
      <c r="P129" s="171">
        <f>'1. RB-i'!P401</f>
        <v>332751.29137288546</v>
      </c>
      <c r="Q129" s="171">
        <f>'1. RB-i'!Q401</f>
        <v>0</v>
      </c>
      <c r="R129" s="171"/>
      <c r="S129" s="62"/>
      <c r="T129" s="468"/>
    </row>
    <row r="130" spans="1:20" s="1" customFormat="1" x14ac:dyDescent="0.3">
      <c r="A130" s="62" t="s">
        <v>490</v>
      </c>
      <c r="B130" s="62" t="s">
        <v>99</v>
      </c>
      <c r="C130" s="62"/>
      <c r="D130" s="171">
        <f>'1. RB-i'!D402</f>
        <v>48274273.939999871</v>
      </c>
      <c r="E130" s="171">
        <f>'1. RB-i'!E402</f>
        <v>0</v>
      </c>
      <c r="F130" s="171">
        <f>'1. RB-i'!F402</f>
        <v>48274273.939999871</v>
      </c>
      <c r="G130" s="171">
        <f>'1. RB-i'!G402</f>
        <v>2562586.2230779729</v>
      </c>
      <c r="H130" s="171">
        <f>'1. RB-i'!H402</f>
        <v>45711687.716921903</v>
      </c>
      <c r="I130" s="171">
        <f>'1. RB-i'!I402</f>
        <v>45711687.716921903</v>
      </c>
      <c r="J130" s="171">
        <f>'1. RB-i'!J402</f>
        <v>8856303.211035084</v>
      </c>
      <c r="K130" s="171">
        <f>'1. RB-i'!K402</f>
        <v>10282704.769470274</v>
      </c>
      <c r="L130" s="171">
        <f>'1. RB-i'!L402</f>
        <v>16364620.368430169</v>
      </c>
      <c r="M130" s="171">
        <f>'1. RB-i'!M402</f>
        <v>3613713.0825350909</v>
      </c>
      <c r="N130" s="171">
        <f>'1. RB-i'!N402</f>
        <v>965193.72903544595</v>
      </c>
      <c r="O130" s="171">
        <f>'1. RB-i'!O402</f>
        <v>4929563.0307369381</v>
      </c>
      <c r="P130" s="171">
        <f>'1. RB-i'!P402</f>
        <v>699589.11926235165</v>
      </c>
      <c r="Q130" s="171">
        <f>'1. RB-i'!Q402</f>
        <v>0</v>
      </c>
      <c r="R130" s="171"/>
      <c r="S130" s="62"/>
      <c r="T130" s="468"/>
    </row>
    <row r="131" spans="1:20" s="1" customFormat="1" x14ac:dyDescent="0.3">
      <c r="A131" s="62"/>
      <c r="B131" s="62"/>
      <c r="C131" s="62"/>
      <c r="D131" s="171"/>
      <c r="E131" s="171"/>
      <c r="F131" s="171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</row>
    <row r="132" spans="1:20" s="1" customFormat="1" x14ac:dyDescent="0.3">
      <c r="A132" s="499" t="s">
        <v>491</v>
      </c>
      <c r="B132" s="62"/>
      <c r="C132" s="62"/>
      <c r="D132" s="171">
        <f t="shared" ref="D132:Q132" si="23">SUM(D121:D130)</f>
        <v>609231888.72999513</v>
      </c>
      <c r="E132" s="171">
        <f t="shared" si="23"/>
        <v>0</v>
      </c>
      <c r="F132" s="171">
        <f t="shared" si="23"/>
        <v>609231888.72999513</v>
      </c>
      <c r="G132" s="171">
        <f t="shared" si="23"/>
        <v>68444494.180720225</v>
      </c>
      <c r="H132" s="171">
        <f t="shared" si="23"/>
        <v>540787394.54927492</v>
      </c>
      <c r="I132" s="171">
        <f t="shared" si="23"/>
        <v>540787394.54927492</v>
      </c>
      <c r="J132" s="171">
        <f t="shared" si="23"/>
        <v>251765004.97653562</v>
      </c>
      <c r="K132" s="171">
        <f t="shared" si="23"/>
        <v>78543501.693038464</v>
      </c>
      <c r="L132" s="171">
        <f t="shared" si="23"/>
        <v>129622121.84600741</v>
      </c>
      <c r="M132" s="171">
        <f t="shared" si="23"/>
        <v>28623771.707195975</v>
      </c>
      <c r="N132" s="171">
        <f t="shared" si="23"/>
        <v>7645179.4379166793</v>
      </c>
      <c r="O132" s="171">
        <f t="shared" si="23"/>
        <v>39046455.428348765</v>
      </c>
      <c r="P132" s="171">
        <f t="shared" si="23"/>
        <v>5541358.3705311799</v>
      </c>
      <c r="Q132" s="171">
        <f t="shared" si="23"/>
        <v>0</v>
      </c>
      <c r="R132" s="171"/>
      <c r="S132" s="62">
        <f>SUM(J132:Q132)</f>
        <v>540787393.4595741</v>
      </c>
      <c r="T132" s="468">
        <f>I132-S132</f>
        <v>1.0897008180618286</v>
      </c>
    </row>
    <row r="133" spans="1:20" s="1" customFormat="1" x14ac:dyDescent="0.3">
      <c r="A133" s="499"/>
      <c r="B133" s="62"/>
      <c r="C133" s="62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62"/>
      <c r="T133" s="62"/>
    </row>
    <row r="134" spans="1:20" s="1" customFormat="1" x14ac:dyDescent="0.3">
      <c r="A134" s="463"/>
      <c r="B134" s="62"/>
      <c r="C134" s="62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62"/>
      <c r="T134" s="62"/>
    </row>
    <row r="135" spans="1:20" s="1" customFormat="1" x14ac:dyDescent="0.3">
      <c r="A135" s="463" t="s">
        <v>492</v>
      </c>
      <c r="B135" s="62"/>
      <c r="C135" s="62"/>
      <c r="D135" s="171"/>
      <c r="E135" s="171"/>
      <c r="F135" s="171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</row>
    <row r="136" spans="1:20" s="1" customFormat="1" x14ac:dyDescent="0.3">
      <c r="A136" s="62"/>
      <c r="B136" s="62"/>
      <c r="C136" s="62"/>
      <c r="D136" s="171"/>
      <c r="E136" s="171"/>
      <c r="F136" s="171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</row>
    <row r="137" spans="1:20" s="1" customFormat="1" x14ac:dyDescent="0.3">
      <c r="A137" s="62" t="s">
        <v>493</v>
      </c>
      <c r="B137" s="62" t="s">
        <v>100</v>
      </c>
      <c r="C137" s="62"/>
      <c r="D137" s="171">
        <f>'1. RB-i'!D409</f>
        <v>0</v>
      </c>
      <c r="E137" s="171">
        <f>'1. RB-i'!E409</f>
        <v>0</v>
      </c>
      <c r="F137" s="171">
        <f>'1. RB-i'!F409</f>
        <v>0</v>
      </c>
      <c r="G137" s="171">
        <f>'1. RB-i'!G409</f>
        <v>0</v>
      </c>
      <c r="H137" s="171">
        <f>'1. RB-i'!H409</f>
        <v>0</v>
      </c>
      <c r="I137" s="171">
        <f>'1. RB-i'!I409</f>
        <v>0</v>
      </c>
      <c r="J137" s="171">
        <f>'1. RB-i'!J409</f>
        <v>0</v>
      </c>
      <c r="K137" s="171">
        <f>'1. RB-i'!K409</f>
        <v>0</v>
      </c>
      <c r="L137" s="171">
        <f>'1. RB-i'!L409</f>
        <v>0</v>
      </c>
      <c r="M137" s="171">
        <f>'1. RB-i'!M409</f>
        <v>0</v>
      </c>
      <c r="N137" s="171">
        <f>'1. RB-i'!N409</f>
        <v>0</v>
      </c>
      <c r="O137" s="171">
        <f>'1. RB-i'!O409</f>
        <v>0</v>
      </c>
      <c r="P137" s="171">
        <f>'1. RB-i'!P409</f>
        <v>0</v>
      </c>
      <c r="Q137" s="171">
        <f>'1. RB-i'!Q409</f>
        <v>0</v>
      </c>
      <c r="R137" s="171"/>
      <c r="S137" s="62"/>
      <c r="T137" s="62"/>
    </row>
    <row r="138" spans="1:20" s="1" customFormat="1" x14ac:dyDescent="0.3">
      <c r="A138" s="62"/>
      <c r="B138" s="62" t="s">
        <v>101</v>
      </c>
      <c r="C138" s="62"/>
      <c r="D138" s="171">
        <f>'1. RB-i'!D410</f>
        <v>0</v>
      </c>
      <c r="E138" s="171">
        <f>'1. RB-i'!E410</f>
        <v>0</v>
      </c>
      <c r="F138" s="171">
        <f>'1. RB-i'!F410</f>
        <v>0</v>
      </c>
      <c r="G138" s="171">
        <f>'1. RB-i'!G410</f>
        <v>0</v>
      </c>
      <c r="H138" s="171">
        <f>'1. RB-i'!H410</f>
        <v>0</v>
      </c>
      <c r="I138" s="171">
        <f>'1. RB-i'!I410</f>
        <v>0</v>
      </c>
      <c r="J138" s="171">
        <f>'1. RB-i'!J410</f>
        <v>0</v>
      </c>
      <c r="K138" s="171">
        <f>'1. RB-i'!K410</f>
        <v>0</v>
      </c>
      <c r="L138" s="171">
        <f>'1. RB-i'!L410</f>
        <v>0</v>
      </c>
      <c r="M138" s="171">
        <f>'1. RB-i'!M410</f>
        <v>0</v>
      </c>
      <c r="N138" s="171">
        <f>'1. RB-i'!N410</f>
        <v>0</v>
      </c>
      <c r="O138" s="171">
        <f>'1. RB-i'!O410</f>
        <v>0</v>
      </c>
      <c r="P138" s="171">
        <f>'1. RB-i'!P410</f>
        <v>0</v>
      </c>
      <c r="Q138" s="171">
        <f>'1. RB-i'!Q410</f>
        <v>0</v>
      </c>
      <c r="R138" s="171"/>
      <c r="S138" s="62"/>
      <c r="T138" s="62"/>
    </row>
    <row r="139" spans="1:20" s="1" customFormat="1" x14ac:dyDescent="0.3">
      <c r="A139" s="62"/>
      <c r="B139" s="62"/>
      <c r="C139" s="62"/>
      <c r="D139" s="171"/>
      <c r="E139" s="171"/>
      <c r="F139" s="171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</row>
    <row r="140" spans="1:20" s="1" customFormat="1" x14ac:dyDescent="0.3">
      <c r="A140" s="499" t="s">
        <v>494</v>
      </c>
      <c r="B140" s="62"/>
      <c r="C140" s="62"/>
      <c r="D140" s="171">
        <f>SUM(D137:D139)</f>
        <v>0</v>
      </c>
      <c r="E140" s="171">
        <f t="shared" ref="E140:Q140" si="24">SUM(E137:E139)</f>
        <v>0</v>
      </c>
      <c r="F140" s="171">
        <f t="shared" si="24"/>
        <v>0</v>
      </c>
      <c r="G140" s="171">
        <f t="shared" si="24"/>
        <v>0</v>
      </c>
      <c r="H140" s="171">
        <f t="shared" si="24"/>
        <v>0</v>
      </c>
      <c r="I140" s="171">
        <f t="shared" si="24"/>
        <v>0</v>
      </c>
      <c r="J140" s="171">
        <f t="shared" si="24"/>
        <v>0</v>
      </c>
      <c r="K140" s="171">
        <f t="shared" si="24"/>
        <v>0</v>
      </c>
      <c r="L140" s="171">
        <f t="shared" si="24"/>
        <v>0</v>
      </c>
      <c r="M140" s="171">
        <f t="shared" si="24"/>
        <v>0</v>
      </c>
      <c r="N140" s="171">
        <f t="shared" si="24"/>
        <v>0</v>
      </c>
      <c r="O140" s="171">
        <f t="shared" si="24"/>
        <v>0</v>
      </c>
      <c r="P140" s="171">
        <f t="shared" si="24"/>
        <v>0</v>
      </c>
      <c r="Q140" s="171">
        <f t="shared" si="24"/>
        <v>0</v>
      </c>
      <c r="R140" s="62"/>
      <c r="S140" s="62"/>
      <c r="T140" s="62"/>
    </row>
    <row r="141" spans="1:20" s="1" customFormat="1" x14ac:dyDescent="0.3">
      <c r="A141" s="498"/>
      <c r="B141" s="62"/>
      <c r="C141" s="62"/>
      <c r="D141" s="171"/>
      <c r="E141" s="171"/>
      <c r="F141" s="171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</row>
    <row r="142" spans="1:20" s="1" customFormat="1" x14ac:dyDescent="0.3">
      <c r="A142" s="463" t="s">
        <v>495</v>
      </c>
      <c r="B142" s="62"/>
      <c r="C142" s="62"/>
      <c r="D142" s="171">
        <f t="shared" ref="D142:Q142" si="25">D98+D117+D132+D140</f>
        <v>7449303371.8499947</v>
      </c>
      <c r="E142" s="171">
        <f t="shared" si="25"/>
        <v>0</v>
      </c>
      <c r="F142" s="171">
        <f t="shared" si="25"/>
        <v>7449303371.8499947</v>
      </c>
      <c r="G142" s="171">
        <f t="shared" si="25"/>
        <v>626039589.20072007</v>
      </c>
      <c r="H142" s="171">
        <f t="shared" si="25"/>
        <v>6823263782.6492748</v>
      </c>
      <c r="I142" s="171">
        <f t="shared" si="25"/>
        <v>6823263782.6492748</v>
      </c>
      <c r="J142" s="171">
        <f t="shared" si="25"/>
        <v>3509750538.4622955</v>
      </c>
      <c r="K142" s="171">
        <f t="shared" si="25"/>
        <v>853049006.95694482</v>
      </c>
      <c r="L142" s="171">
        <f t="shared" si="25"/>
        <v>2238093162.236341</v>
      </c>
      <c r="M142" s="171">
        <f t="shared" si="25"/>
        <v>170138080.66719595</v>
      </c>
      <c r="N142" s="171">
        <f t="shared" si="25"/>
        <v>7645179.4379166793</v>
      </c>
      <c r="O142" s="171">
        <f t="shared" si="25"/>
        <v>39046455.428348765</v>
      </c>
      <c r="P142" s="171">
        <f t="shared" si="25"/>
        <v>5541358.3705311799</v>
      </c>
      <c r="Q142" s="171">
        <f t="shared" si="25"/>
        <v>0</v>
      </c>
      <c r="R142" s="171"/>
      <c r="S142" s="62">
        <f>SUM(J142:Q142)</f>
        <v>6823263781.5595732</v>
      </c>
      <c r="T142" s="468">
        <f>I142-S142</f>
        <v>1.0897016525268555</v>
      </c>
    </row>
    <row r="143" spans="1:20" s="1" customFormat="1" x14ac:dyDescent="0.3">
      <c r="A143" s="62"/>
      <c r="B143" s="62"/>
      <c r="C143" s="62"/>
      <c r="D143" s="171"/>
      <c r="E143" s="171"/>
      <c r="F143" s="171"/>
      <c r="G143" s="171"/>
      <c r="H143" s="171"/>
      <c r="I143" s="171"/>
      <c r="J143" s="470"/>
      <c r="K143" s="470"/>
      <c r="L143" s="509"/>
      <c r="M143" s="509"/>
      <c r="N143" s="509"/>
      <c r="O143" s="509"/>
      <c r="P143" s="509"/>
      <c r="Q143" s="509"/>
      <c r="R143" s="509"/>
      <c r="S143" s="62"/>
      <c r="T143" s="62"/>
    </row>
    <row r="144" spans="1:20" s="1" customFormat="1" x14ac:dyDescent="0.3">
      <c r="A144" s="499" t="s">
        <v>502</v>
      </c>
      <c r="B144" s="62"/>
      <c r="C144" s="62"/>
      <c r="D144" s="171"/>
      <c r="E144" s="171"/>
      <c r="F144" s="171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</row>
    <row r="145" spans="1:20" s="1" customFormat="1" x14ac:dyDescent="0.3">
      <c r="A145" s="62"/>
      <c r="B145" s="62"/>
      <c r="C145" s="62"/>
      <c r="D145" s="171"/>
      <c r="E145" s="171"/>
      <c r="F145" s="171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</row>
    <row r="146" spans="1:20" s="1" customFormat="1" x14ac:dyDescent="0.3">
      <c r="A146" s="62"/>
      <c r="B146" s="62" t="s">
        <v>503</v>
      </c>
      <c r="C146" s="62"/>
      <c r="D146" s="171">
        <f>'1. RB-i'!D418</f>
        <v>0</v>
      </c>
      <c r="E146" s="171">
        <f>'1. RB-i'!E418</f>
        <v>0</v>
      </c>
      <c r="F146" s="171">
        <f>'1. RB-i'!F418</f>
        <v>0</v>
      </c>
      <c r="G146" s="171">
        <f>'1. RB-i'!G418</f>
        <v>0</v>
      </c>
      <c r="H146" s="171">
        <f>'1. RB-i'!H418</f>
        <v>0</v>
      </c>
      <c r="I146" s="171">
        <f>'1. RB-i'!I418</f>
        <v>0</v>
      </c>
      <c r="J146" s="171">
        <f>'1. RB-i'!J418</f>
        <v>0</v>
      </c>
      <c r="K146" s="171">
        <f>'1. RB-i'!K418</f>
        <v>0</v>
      </c>
      <c r="L146" s="171">
        <f>'1. RB-i'!L418</f>
        <v>0</v>
      </c>
      <c r="M146" s="171">
        <f>'1. RB-i'!M418</f>
        <v>0</v>
      </c>
      <c r="N146" s="171">
        <f>'1. RB-i'!N418</f>
        <v>0</v>
      </c>
      <c r="O146" s="171">
        <f>'1. RB-i'!O418</f>
        <v>0</v>
      </c>
      <c r="P146" s="171">
        <f>'1. RB-i'!P418</f>
        <v>0</v>
      </c>
      <c r="Q146" s="171">
        <f>'1. RB-i'!Q418</f>
        <v>0</v>
      </c>
      <c r="R146" s="171"/>
      <c r="S146" s="62">
        <f>SUM(J146:Q146)</f>
        <v>0</v>
      </c>
      <c r="T146" s="468">
        <f>I146-S146</f>
        <v>0</v>
      </c>
    </row>
    <row r="147" spans="1:20" s="1" customFormat="1" x14ac:dyDescent="0.3">
      <c r="A147" s="62"/>
      <c r="B147" s="62" t="s">
        <v>504</v>
      </c>
      <c r="C147" s="62"/>
      <c r="D147" s="171">
        <f>'1. RB-i'!D419</f>
        <v>-40936023</v>
      </c>
      <c r="E147" s="171">
        <f>'1. RB-i'!E419</f>
        <v>0</v>
      </c>
      <c r="F147" s="171">
        <f>'1. RB-i'!F419</f>
        <v>-40936023</v>
      </c>
      <c r="G147" s="171">
        <f>'1. RB-i'!G419</f>
        <v>-3058171.8184552598</v>
      </c>
      <c r="H147" s="171">
        <f>'1. RB-i'!H419</f>
        <v>-37877851.181544743</v>
      </c>
      <c r="I147" s="171">
        <f>'1. RB-i'!I419</f>
        <v>-37877851.181544743</v>
      </c>
      <c r="J147" s="171">
        <f>'1. RB-i'!J419</f>
        <v>0</v>
      </c>
      <c r="K147" s="171">
        <f>'1. RB-i'!K419</f>
        <v>0</v>
      </c>
      <c r="L147" s="171">
        <f>'1. RB-i'!L419</f>
        <v>0</v>
      </c>
      <c r="M147" s="171">
        <f>'1. RB-i'!M419</f>
        <v>0</v>
      </c>
      <c r="N147" s="171">
        <f>'1. RB-i'!N419</f>
        <v>0</v>
      </c>
      <c r="O147" s="171">
        <f>'1. RB-i'!O419</f>
        <v>0</v>
      </c>
      <c r="P147" s="171">
        <f>'1. RB-i'!P419</f>
        <v>0</v>
      </c>
      <c r="Q147" s="171">
        <f>'1. RB-i'!Q419</f>
        <v>-37877851.181544743</v>
      </c>
      <c r="R147" s="171"/>
      <c r="S147" s="62">
        <f>SUM(J147:Q147)</f>
        <v>-37877851.181544743</v>
      </c>
      <c r="T147" s="468">
        <f>I147-S147</f>
        <v>0</v>
      </c>
    </row>
    <row r="148" spans="1:20" s="1" customFormat="1" x14ac:dyDescent="0.3">
      <c r="A148" s="62"/>
      <c r="B148" s="62"/>
      <c r="C148" s="62"/>
      <c r="D148" s="171"/>
      <c r="E148" s="171"/>
      <c r="F148" s="171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</row>
    <row r="149" spans="1:20" s="1" customFormat="1" x14ac:dyDescent="0.3">
      <c r="A149" s="62"/>
      <c r="B149" s="463" t="s">
        <v>505</v>
      </c>
      <c r="C149" s="463"/>
      <c r="D149" s="171"/>
      <c r="E149" s="171"/>
      <c r="F149" s="171"/>
      <c r="G149" s="171"/>
      <c r="H149" s="171"/>
      <c r="I149" s="468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</row>
    <row r="150" spans="1:20" s="1" customFormat="1" x14ac:dyDescent="0.3">
      <c r="A150" s="62"/>
      <c r="B150" s="62" t="s">
        <v>506</v>
      </c>
      <c r="C150" s="62"/>
      <c r="D150" s="678"/>
      <c r="E150" s="678"/>
      <c r="F150" s="678"/>
      <c r="G150" s="678"/>
      <c r="H150" s="678"/>
      <c r="I150" s="678"/>
      <c r="J150" s="678"/>
      <c r="K150" s="678"/>
      <c r="L150" s="678"/>
      <c r="M150" s="678"/>
      <c r="N150" s="678"/>
      <c r="O150" s="678"/>
      <c r="P150" s="678"/>
      <c r="Q150" s="678"/>
      <c r="R150" s="171"/>
      <c r="S150" s="62">
        <f>SUM(J150:Q150)</f>
        <v>0</v>
      </c>
      <c r="T150" s="468">
        <f>I150-S150</f>
        <v>0</v>
      </c>
    </row>
    <row r="151" spans="1:20" s="1" customFormat="1" x14ac:dyDescent="0.3">
      <c r="A151" s="62"/>
      <c r="B151" s="62" t="s">
        <v>507</v>
      </c>
      <c r="C151" s="62"/>
      <c r="D151" s="678"/>
      <c r="E151" s="678"/>
      <c r="F151" s="678"/>
      <c r="G151" s="678"/>
      <c r="H151" s="678"/>
      <c r="I151" s="678"/>
      <c r="J151" s="678"/>
      <c r="K151" s="678"/>
      <c r="L151" s="678"/>
      <c r="M151" s="678"/>
      <c r="N151" s="678"/>
      <c r="O151" s="678"/>
      <c r="P151" s="678"/>
      <c r="Q151" s="678"/>
      <c r="R151" s="171"/>
      <c r="S151" s="62">
        <f>SUM(J151:Q151)</f>
        <v>0</v>
      </c>
      <c r="T151" s="468">
        <f>I151-S151</f>
        <v>0</v>
      </c>
    </row>
    <row r="152" spans="1:20" s="1" customFormat="1" x14ac:dyDescent="0.3">
      <c r="A152" s="62"/>
      <c r="B152" s="62" t="s">
        <v>508</v>
      </c>
      <c r="C152" s="62"/>
      <c r="D152" s="680">
        <v>-6798585.8499999996</v>
      </c>
      <c r="E152" s="680">
        <v>0</v>
      </c>
      <c r="F152" s="680">
        <v>-6798585.8499999996</v>
      </c>
      <c r="G152" s="680">
        <v>0</v>
      </c>
      <c r="H152" s="680">
        <v>-6798585.8499999996</v>
      </c>
      <c r="I152" s="680">
        <v>-6798585.8499999996</v>
      </c>
      <c r="J152" s="680">
        <v>-6798585.8499999996</v>
      </c>
      <c r="K152" s="680">
        <v>0</v>
      </c>
      <c r="L152" s="680">
        <v>0</v>
      </c>
      <c r="M152" s="680">
        <v>0</v>
      </c>
      <c r="N152" s="680">
        <v>0</v>
      </c>
      <c r="O152" s="680">
        <v>0</v>
      </c>
      <c r="P152" s="680">
        <v>0</v>
      </c>
      <c r="Q152" s="680">
        <v>0</v>
      </c>
      <c r="R152" s="171"/>
      <c r="S152" s="62">
        <f>SUM(J152:Q152)</f>
        <v>-6798585.8499999996</v>
      </c>
      <c r="T152" s="468">
        <f>I152-S152</f>
        <v>0</v>
      </c>
    </row>
    <row r="153" spans="1:20" s="1" customFormat="1" x14ac:dyDescent="0.3">
      <c r="A153" s="62"/>
      <c r="B153" s="62"/>
      <c r="C153" s="62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62"/>
      <c r="T153" s="62"/>
    </row>
    <row r="154" spans="1:20" s="1" customFormat="1" x14ac:dyDescent="0.3">
      <c r="A154" s="62"/>
      <c r="B154" s="62" t="s">
        <v>509</v>
      </c>
      <c r="C154" s="62"/>
      <c r="D154" s="171">
        <f>'1. RB-i'!D426</f>
        <v>-22033674.59</v>
      </c>
      <c r="E154" s="171">
        <f>'1. RB-i'!E426</f>
        <v>0</v>
      </c>
      <c r="F154" s="171">
        <f>'1. RB-i'!F426</f>
        <v>-22033674.59</v>
      </c>
      <c r="G154" s="171">
        <f>'1. RB-i'!G426</f>
        <v>-5462423.4699999997</v>
      </c>
      <c r="H154" s="171">
        <f>'1. RB-i'!H426</f>
        <v>-16571251.120000001</v>
      </c>
      <c r="I154" s="171">
        <f>'1. RB-i'!I426</f>
        <v>-16571251.120000001</v>
      </c>
      <c r="J154" s="171">
        <f>'1. RB-i'!J426</f>
        <v>-2258861.19</v>
      </c>
      <c r="K154" s="171">
        <f>'1. RB-i'!K426</f>
        <v>-2986757.6499999994</v>
      </c>
      <c r="L154" s="171">
        <f>'1. RB-i'!L426</f>
        <v>-10635337.899999999</v>
      </c>
      <c r="M154" s="171">
        <f>'1. RB-i'!M426</f>
        <v>0</v>
      </c>
      <c r="N154" s="171">
        <f>'1. RB-i'!N426</f>
        <v>0</v>
      </c>
      <c r="O154" s="171">
        <f>'1. RB-i'!O426</f>
        <v>0</v>
      </c>
      <c r="P154" s="171">
        <f>'1. RB-i'!P426</f>
        <v>-690294.37999999989</v>
      </c>
      <c r="Q154" s="171">
        <f>'1. RB-i'!Q426</f>
        <v>0</v>
      </c>
      <c r="R154" s="171"/>
      <c r="S154" s="62">
        <f>SUM(J154:Q154)</f>
        <v>-16571251.119999997</v>
      </c>
      <c r="T154" s="468">
        <f>I154-S154</f>
        <v>0</v>
      </c>
    </row>
    <row r="155" spans="1:20" s="1" customFormat="1" x14ac:dyDescent="0.3">
      <c r="A155" s="62"/>
      <c r="B155" s="62"/>
      <c r="C155" s="62"/>
      <c r="D155" s="171"/>
      <c r="E155" s="171"/>
      <c r="F155" s="171"/>
      <c r="G155" s="171"/>
      <c r="H155" s="171"/>
      <c r="I155" s="468"/>
      <c r="J155" s="171"/>
      <c r="K155" s="171"/>
      <c r="L155" s="62"/>
      <c r="M155" s="62"/>
      <c r="N155" s="62"/>
      <c r="O155" s="62"/>
      <c r="P155" s="62"/>
      <c r="Q155" s="62"/>
      <c r="R155" s="62"/>
      <c r="S155" s="62"/>
      <c r="T155" s="62"/>
    </row>
    <row r="156" spans="1:20" s="1" customFormat="1" x14ac:dyDescent="0.3">
      <c r="A156" s="62"/>
      <c r="B156" s="62" t="s">
        <v>510</v>
      </c>
      <c r="C156" s="62"/>
      <c r="D156" s="171">
        <f>'1. RB-i'!D428</f>
        <v>604000570.24000001</v>
      </c>
      <c r="E156" s="171">
        <f>'1. RB-i'!E428</f>
        <v>0</v>
      </c>
      <c r="F156" s="171">
        <f>'1. RB-i'!F428</f>
        <v>604000570.24000001</v>
      </c>
      <c r="G156" s="171">
        <f>'1. RB-i'!G428</f>
        <v>43440743.357950628</v>
      </c>
      <c r="H156" s="171">
        <f>'1. RB-i'!H428</f>
        <v>560559826.88204932</v>
      </c>
      <c r="I156" s="171">
        <f>'1. RB-i'!I428</f>
        <v>560559826.88204932</v>
      </c>
      <c r="J156" s="171">
        <f>'1. RB-i'!J428</f>
        <v>249599970.53407323</v>
      </c>
      <c r="K156" s="171">
        <f>'1. RB-i'!K428</f>
        <v>90839870.28130953</v>
      </c>
      <c r="L156" s="171">
        <f>'1. RB-i'!L428</f>
        <v>207852704.94391328</v>
      </c>
      <c r="M156" s="171">
        <f>'1. RB-i'!M428</f>
        <v>3903861.5496431245</v>
      </c>
      <c r="N156" s="171">
        <f>'1. RB-i'!N428</f>
        <v>1483865.9682655758</v>
      </c>
      <c r="O156" s="171">
        <f>'1. RB-i'!O428</f>
        <v>4425298.1509868335</v>
      </c>
      <c r="P156" s="171">
        <f>'1. RB-i'!P428</f>
        <v>2454258.4538577343</v>
      </c>
      <c r="Q156" s="171">
        <f>'1. RB-i'!Q428</f>
        <v>0</v>
      </c>
      <c r="R156" s="171"/>
      <c r="S156" s="62">
        <f>SUM(J156:Q156)</f>
        <v>560559829.88204932</v>
      </c>
      <c r="T156" s="468">
        <f>I156-S156</f>
        <v>-3</v>
      </c>
    </row>
    <row r="157" spans="1:20" s="1" customFormat="1" x14ac:dyDescent="0.3">
      <c r="A157" s="62"/>
      <c r="B157" s="62"/>
      <c r="C157" s="62"/>
      <c r="D157" s="171"/>
      <c r="E157" s="171"/>
      <c r="F157" s="171"/>
      <c r="G157" s="62"/>
      <c r="H157" s="468"/>
      <c r="I157" s="62"/>
      <c r="J157" s="62"/>
      <c r="K157" s="62"/>
      <c r="L157" s="468"/>
      <c r="M157" s="468"/>
      <c r="N157" s="468"/>
      <c r="O157" s="468"/>
      <c r="P157" s="468"/>
      <c r="Q157" s="468"/>
      <c r="R157" s="468"/>
      <c r="S157" s="62"/>
      <c r="T157" s="62"/>
    </row>
    <row r="158" spans="1:20" s="1" customFormat="1" x14ac:dyDescent="0.3">
      <c r="A158" s="498" t="s">
        <v>511</v>
      </c>
      <c r="B158" s="62"/>
      <c r="C158" s="62"/>
      <c r="D158" s="171"/>
      <c r="E158" s="171"/>
      <c r="F158" s="171"/>
      <c r="G158" s="468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</row>
    <row r="159" spans="1:20" s="1" customFormat="1" x14ac:dyDescent="0.3">
      <c r="A159" s="62" t="s">
        <v>512</v>
      </c>
      <c r="B159" s="498" t="s">
        <v>513</v>
      </c>
      <c r="C159" s="498"/>
      <c r="D159" s="171"/>
      <c r="E159" s="171"/>
      <c r="F159" s="171">
        <f t="shared" ref="F159:F165" si="26">D159+E159</f>
        <v>0</v>
      </c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</row>
    <row r="160" spans="1:20" s="1" customFormat="1" x14ac:dyDescent="0.3">
      <c r="A160" s="62" t="s">
        <v>514</v>
      </c>
      <c r="B160" s="498" t="s">
        <v>515</v>
      </c>
      <c r="C160" s="498"/>
      <c r="D160" s="171"/>
      <c r="E160" s="171"/>
      <c r="F160" s="171">
        <f t="shared" si="26"/>
        <v>0</v>
      </c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</row>
    <row r="161" spans="1:20" s="1" customFormat="1" x14ac:dyDescent="0.3">
      <c r="A161" s="62" t="s">
        <v>516</v>
      </c>
      <c r="B161" s="498" t="s">
        <v>517</v>
      </c>
      <c r="C161" s="498"/>
      <c r="D161" s="171"/>
      <c r="E161" s="171"/>
      <c r="F161" s="171">
        <f t="shared" si="26"/>
        <v>0</v>
      </c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</row>
    <row r="162" spans="1:20" s="1" customFormat="1" x14ac:dyDescent="0.3">
      <c r="A162" s="62" t="s">
        <v>518</v>
      </c>
      <c r="B162" s="498" t="s">
        <v>519</v>
      </c>
      <c r="C162" s="498"/>
      <c r="D162" s="171"/>
      <c r="E162" s="171"/>
      <c r="F162" s="171">
        <f t="shared" si="26"/>
        <v>0</v>
      </c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</row>
    <row r="163" spans="1:20" s="1" customFormat="1" x14ac:dyDescent="0.3">
      <c r="A163" s="62" t="s">
        <v>520</v>
      </c>
      <c r="B163" s="62" t="s">
        <v>521</v>
      </c>
      <c r="C163" s="62"/>
      <c r="D163" s="171"/>
      <c r="E163" s="171"/>
      <c r="F163" s="171">
        <f t="shared" si="26"/>
        <v>0</v>
      </c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</row>
    <row r="164" spans="1:20" s="1" customFormat="1" x14ac:dyDescent="0.3">
      <c r="A164" s="62" t="s">
        <v>520</v>
      </c>
      <c r="B164" s="62" t="s">
        <v>522</v>
      </c>
      <c r="C164" s="62"/>
      <c r="D164" s="171"/>
      <c r="E164" s="171"/>
      <c r="F164" s="171">
        <f t="shared" si="26"/>
        <v>0</v>
      </c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</row>
    <row r="165" spans="1:20" s="1" customFormat="1" x14ac:dyDescent="0.3">
      <c r="A165" s="62" t="s">
        <v>520</v>
      </c>
      <c r="B165" s="62" t="s">
        <v>523</v>
      </c>
      <c r="C165" s="62"/>
      <c r="D165" s="171"/>
      <c r="E165" s="171"/>
      <c r="F165" s="171">
        <f t="shared" si="26"/>
        <v>0</v>
      </c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</row>
    <row r="166" spans="1:20" s="1" customFormat="1" x14ac:dyDescent="0.3">
      <c r="A166" s="62"/>
      <c r="B166" s="62" t="s">
        <v>524</v>
      </c>
      <c r="C166" s="62"/>
      <c r="D166" s="171">
        <f>SUM(D159:D165)</f>
        <v>0</v>
      </c>
      <c r="E166" s="171">
        <f>SUM(E159:E165)</f>
        <v>0</v>
      </c>
      <c r="F166" s="171">
        <f>SUM(F159:F165)</f>
        <v>0</v>
      </c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</row>
    <row r="167" spans="1:20" s="1" customFormat="1" x14ac:dyDescent="0.3">
      <c r="A167" s="62"/>
      <c r="B167" s="62"/>
      <c r="C167" s="62"/>
      <c r="D167" s="171"/>
      <c r="E167" s="171"/>
      <c r="F167" s="171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</row>
    <row r="168" spans="1:20" s="1" customFormat="1" x14ac:dyDescent="0.3">
      <c r="A168" s="463" t="s">
        <v>525</v>
      </c>
      <c r="B168" s="62"/>
      <c r="C168" s="62"/>
      <c r="D168" s="171"/>
      <c r="E168" s="171"/>
      <c r="F168" s="171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</row>
    <row r="169" spans="1:20" s="1" customFormat="1" x14ac:dyDescent="0.3">
      <c r="A169" s="62"/>
      <c r="B169" s="62" t="s">
        <v>526</v>
      </c>
      <c r="C169" s="62"/>
      <c r="D169" s="171">
        <f>'1. RB-i'!D441</f>
        <v>63948917.672499999</v>
      </c>
      <c r="E169" s="171">
        <f>'1. RB-i'!E441</f>
        <v>0</v>
      </c>
      <c r="F169" s="171">
        <f>'1. RB-i'!F441</f>
        <v>63948917.672499999</v>
      </c>
      <c r="G169" s="171">
        <f>'1. RB-i'!G441</f>
        <v>3093223.9880284085</v>
      </c>
      <c r="H169" s="171">
        <f>'1. RB-i'!H441</f>
        <v>60855693.684471592</v>
      </c>
      <c r="I169" s="171">
        <f>'1. RB-i'!I441</f>
        <v>60855693.684471592</v>
      </c>
      <c r="J169" s="171">
        <f>'1. RB-i'!J441</f>
        <v>32785640.415241189</v>
      </c>
      <c r="K169" s="171">
        <f>'1. RB-i'!K441</f>
        <v>3647498.5767038199</v>
      </c>
      <c r="L169" s="171">
        <f>'1. RB-i'!L441</f>
        <v>16757463.143776461</v>
      </c>
      <c r="M169" s="171">
        <f>'1. RB-i'!M441</f>
        <v>2672385.7505787606</v>
      </c>
      <c r="N169" s="171">
        <f>'1. RB-i'!N441</f>
        <v>721669.4995262149</v>
      </c>
      <c r="O169" s="171">
        <f>'1. RB-i'!O441</f>
        <v>2476526.9063821766</v>
      </c>
      <c r="P169" s="171">
        <f>'1. RB-i'!P441</f>
        <v>1795445.1547629675</v>
      </c>
      <c r="Q169" s="171">
        <f>'1. RB-i'!Q441</f>
        <v>-935.76250000000005</v>
      </c>
      <c r="R169" s="171"/>
      <c r="S169" s="62">
        <f>SUM(J169:Q169)</f>
        <v>60855693.684471585</v>
      </c>
      <c r="T169" s="468">
        <f>I169-S169</f>
        <v>0</v>
      </c>
    </row>
    <row r="170" spans="1:20" s="1" customFormat="1" x14ac:dyDescent="0.3">
      <c r="A170" s="62"/>
      <c r="B170" s="62" t="s">
        <v>527</v>
      </c>
      <c r="C170" s="62"/>
      <c r="D170" s="171">
        <f>'1. RB-i'!D442</f>
        <v>107573188.29000001</v>
      </c>
      <c r="E170" s="171">
        <f>'1. RB-i'!E442</f>
        <v>0</v>
      </c>
      <c r="F170" s="171">
        <f>'1. RB-i'!F442</f>
        <v>107573188.29000001</v>
      </c>
      <c r="G170" s="171">
        <f>'1. RB-i'!G442</f>
        <v>1224847.47</v>
      </c>
      <c r="H170" s="171">
        <f>'1. RB-i'!H442</f>
        <v>106348340.82000001</v>
      </c>
      <c r="I170" s="171">
        <f>'1. RB-i'!I442</f>
        <v>106348340.82000001</v>
      </c>
      <c r="J170" s="171">
        <f>'1. RB-i'!J442</f>
        <v>106348340.82000001</v>
      </c>
      <c r="K170" s="171">
        <f>'1. RB-i'!K442</f>
        <v>0</v>
      </c>
      <c r="L170" s="171">
        <f>'1. RB-i'!L442</f>
        <v>0</v>
      </c>
      <c r="M170" s="171">
        <f>'1. RB-i'!M442</f>
        <v>0</v>
      </c>
      <c r="N170" s="171">
        <f>'1. RB-i'!N442</f>
        <v>0</v>
      </c>
      <c r="O170" s="171">
        <f>'1. RB-i'!O442</f>
        <v>0</v>
      </c>
      <c r="P170" s="171">
        <f>'1. RB-i'!P442</f>
        <v>0</v>
      </c>
      <c r="Q170" s="171">
        <f>'1. RB-i'!Q442</f>
        <v>0</v>
      </c>
      <c r="R170" s="171"/>
      <c r="S170" s="62">
        <f>SUM(J170:Q170)</f>
        <v>106348340.82000001</v>
      </c>
      <c r="T170" s="468">
        <f>I170-S170</f>
        <v>0</v>
      </c>
    </row>
    <row r="171" spans="1:20" s="1" customFormat="1" x14ac:dyDescent="0.3">
      <c r="A171" s="62"/>
      <c r="B171" s="62" t="s">
        <v>528</v>
      </c>
      <c r="C171" s="62"/>
      <c r="D171" s="171">
        <f>'1. RB-i'!D443</f>
        <v>102863811.34999999</v>
      </c>
      <c r="E171" s="171">
        <f>'1. RB-i'!E443</f>
        <v>0</v>
      </c>
      <c r="F171" s="171">
        <f>'1. RB-i'!F443</f>
        <v>102863811.34999999</v>
      </c>
      <c r="G171" s="171">
        <f>'1. RB-i'!G443</f>
        <v>1640650.0089691456</v>
      </c>
      <c r="H171" s="171">
        <f>'1. RB-i'!H443</f>
        <v>101223161.34103085</v>
      </c>
      <c r="I171" s="171">
        <f>'1. RB-i'!I443</f>
        <v>101223161.34103085</v>
      </c>
      <c r="J171" s="171">
        <f>'1. RB-i'!J443</f>
        <v>80371048.975536391</v>
      </c>
      <c r="K171" s="171">
        <f>'1. RB-i'!K443</f>
        <v>2884431.2137000342</v>
      </c>
      <c r="L171" s="171">
        <f>'1. RB-i'!L443</f>
        <v>17529118.299881797</v>
      </c>
      <c r="M171" s="171">
        <f>'1. RB-i'!M443</f>
        <v>155253.82409980727</v>
      </c>
      <c r="N171" s="171">
        <f>'1. RB-i'!N443</f>
        <v>41467.048990171468</v>
      </c>
      <c r="O171" s="171">
        <f>'1. RB-i'!O443</f>
        <v>211785.90944637166</v>
      </c>
      <c r="P171" s="171">
        <f>'1. RB-i'!P443</f>
        <v>30056.034771831259</v>
      </c>
      <c r="Q171" s="171">
        <f>'1. RB-i'!Q443</f>
        <v>0</v>
      </c>
      <c r="R171" s="171"/>
      <c r="S171" s="62">
        <f>SUM(J171:Q171)</f>
        <v>101223161.30642642</v>
      </c>
      <c r="T171" s="468">
        <f>I171-S171</f>
        <v>3.4604430198669434E-2</v>
      </c>
    </row>
    <row r="172" spans="1:20" s="1" customFormat="1" x14ac:dyDescent="0.3">
      <c r="A172" s="62"/>
      <c r="B172" s="62" t="s">
        <v>524</v>
      </c>
      <c r="C172" s="62"/>
      <c r="D172" s="171">
        <f t="shared" ref="D172:L172" si="27">SUM(D169:D171)</f>
        <v>274385917.3125</v>
      </c>
      <c r="E172" s="171">
        <f t="shared" si="27"/>
        <v>0</v>
      </c>
      <c r="F172" s="171">
        <f t="shared" si="27"/>
        <v>274385917.3125</v>
      </c>
      <c r="G172" s="171">
        <f t="shared" si="27"/>
        <v>5958721.4669975545</v>
      </c>
      <c r="H172" s="171">
        <f t="shared" si="27"/>
        <v>268427195.84550244</v>
      </c>
      <c r="I172" s="171">
        <f t="shared" si="27"/>
        <v>268427195.84550244</v>
      </c>
      <c r="J172" s="171">
        <f t="shared" si="27"/>
        <v>219505030.21077758</v>
      </c>
      <c r="K172" s="171">
        <f t="shared" si="27"/>
        <v>6531929.7904038541</v>
      </c>
      <c r="L172" s="171">
        <f t="shared" si="27"/>
        <v>34286581.443658262</v>
      </c>
      <c r="M172" s="171">
        <f>SUM(M169:M171)</f>
        <v>2827639.5746785677</v>
      </c>
      <c r="N172" s="171">
        <f>SUM(N169:N171)</f>
        <v>763136.54851638642</v>
      </c>
      <c r="O172" s="171">
        <f>SUM(O169:O171)</f>
        <v>2688312.8158285483</v>
      </c>
      <c r="P172" s="171">
        <f>SUM(P169:P171)</f>
        <v>1825501.1895347987</v>
      </c>
      <c r="Q172" s="171">
        <f>SUM(Q169:Q171)</f>
        <v>-935.76250000000005</v>
      </c>
      <c r="R172" s="171"/>
      <c r="S172" s="62">
        <f>SUM(J172:Q172)</f>
        <v>268427195.81089804</v>
      </c>
      <c r="T172" s="468">
        <f>I172-S172</f>
        <v>3.4604400396347046E-2</v>
      </c>
    </row>
    <row r="173" spans="1:20" s="1" customFormat="1" x14ac:dyDescent="0.3">
      <c r="A173" s="62"/>
      <c r="B173" s="62"/>
      <c r="C173" s="62"/>
      <c r="D173" s="171"/>
      <c r="E173" s="171"/>
      <c r="F173" s="171"/>
      <c r="G173" s="468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</row>
    <row r="174" spans="1:20" s="1" customFormat="1" x14ac:dyDescent="0.3">
      <c r="A174" s="62"/>
      <c r="B174" s="463" t="s">
        <v>529</v>
      </c>
      <c r="C174" s="463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</row>
    <row r="175" spans="1:20" s="1" customFormat="1" x14ac:dyDescent="0.3">
      <c r="A175" s="62"/>
      <c r="B175" s="62" t="s">
        <v>530</v>
      </c>
      <c r="C175" s="62"/>
      <c r="D175" s="678"/>
      <c r="E175" s="678"/>
      <c r="F175" s="678"/>
      <c r="G175" s="678"/>
      <c r="H175" s="678"/>
      <c r="I175" s="678"/>
      <c r="J175" s="678"/>
      <c r="K175" s="678"/>
      <c r="L175" s="678"/>
      <c r="M175" s="678"/>
      <c r="N175" s="678"/>
      <c r="O175" s="678"/>
      <c r="P175" s="678"/>
      <c r="Q175" s="678"/>
      <c r="R175" s="171"/>
      <c r="S175" s="62">
        <f t="shared" ref="S175:S185" si="28">SUM(J175:Q175)</f>
        <v>0</v>
      </c>
      <c r="T175" s="468">
        <f t="shared" ref="T175:T185" si="29">I175-S175</f>
        <v>0</v>
      </c>
    </row>
    <row r="176" spans="1:20" s="1" customFormat="1" x14ac:dyDescent="0.3">
      <c r="A176" s="62"/>
      <c r="B176" s="62" t="s">
        <v>531</v>
      </c>
      <c r="C176" s="62"/>
      <c r="D176" s="678"/>
      <c r="E176" s="678"/>
      <c r="F176" s="678"/>
      <c r="G176" s="678"/>
      <c r="H176" s="678"/>
      <c r="I176" s="678"/>
      <c r="J176" s="678"/>
      <c r="K176" s="678"/>
      <c r="L176" s="678"/>
      <c r="M176" s="678"/>
      <c r="N176" s="678"/>
      <c r="O176" s="678"/>
      <c r="P176" s="678"/>
      <c r="Q176" s="678"/>
      <c r="R176" s="171"/>
      <c r="S176" s="62">
        <f t="shared" si="28"/>
        <v>0</v>
      </c>
      <c r="T176" s="468">
        <f t="shared" si="29"/>
        <v>0</v>
      </c>
    </row>
    <row r="177" spans="1:20" s="1" customFormat="1" x14ac:dyDescent="0.3">
      <c r="A177" s="62"/>
      <c r="B177" s="62" t="s">
        <v>1053</v>
      </c>
      <c r="C177" s="62"/>
      <c r="D177" s="678"/>
      <c r="E177" s="678"/>
      <c r="F177" s="678"/>
      <c r="G177" s="678"/>
      <c r="H177" s="678"/>
      <c r="I177" s="678"/>
      <c r="J177" s="678"/>
      <c r="K177" s="678"/>
      <c r="L177" s="678"/>
      <c r="M177" s="678"/>
      <c r="N177" s="678"/>
      <c r="O177" s="678"/>
      <c r="P177" s="678"/>
      <c r="Q177" s="678"/>
      <c r="R177" s="171"/>
      <c r="S177" s="62">
        <f t="shared" si="28"/>
        <v>0</v>
      </c>
      <c r="T177" s="468">
        <f t="shared" si="29"/>
        <v>0</v>
      </c>
    </row>
    <row r="178" spans="1:20" s="1" customFormat="1" x14ac:dyDescent="0.3">
      <c r="A178" s="62"/>
      <c r="B178" s="62" t="s">
        <v>532</v>
      </c>
      <c r="C178" s="62"/>
      <c r="D178" s="678"/>
      <c r="E178" s="678"/>
      <c r="F178" s="678"/>
      <c r="G178" s="678"/>
      <c r="H178" s="678"/>
      <c r="I178" s="678"/>
      <c r="J178" s="678"/>
      <c r="K178" s="678"/>
      <c r="L178" s="678"/>
      <c r="M178" s="678"/>
      <c r="N178" s="678"/>
      <c r="O178" s="678"/>
      <c r="P178" s="678"/>
      <c r="Q178" s="678"/>
      <c r="R178" s="171"/>
      <c r="S178" s="62">
        <f t="shared" si="28"/>
        <v>0</v>
      </c>
      <c r="T178" s="468">
        <f t="shared" si="29"/>
        <v>0</v>
      </c>
    </row>
    <row r="179" spans="1:20" s="1" customFormat="1" x14ac:dyDescent="0.3">
      <c r="A179" s="62"/>
      <c r="B179" s="62" t="s">
        <v>533</v>
      </c>
      <c r="C179" s="62"/>
      <c r="D179" s="678"/>
      <c r="E179" s="678"/>
      <c r="F179" s="678"/>
      <c r="G179" s="678"/>
      <c r="H179" s="678"/>
      <c r="I179" s="678"/>
      <c r="J179" s="678"/>
      <c r="K179" s="678"/>
      <c r="L179" s="678"/>
      <c r="M179" s="678"/>
      <c r="N179" s="678"/>
      <c r="O179" s="678"/>
      <c r="P179" s="678"/>
      <c r="Q179" s="678"/>
      <c r="R179" s="171"/>
      <c r="S179" s="62">
        <f t="shared" si="28"/>
        <v>0</v>
      </c>
      <c r="T179" s="468">
        <f t="shared" si="29"/>
        <v>0</v>
      </c>
    </row>
    <row r="180" spans="1:20" x14ac:dyDescent="0.3">
      <c r="A180" s="62"/>
      <c r="B180" s="507" t="s">
        <v>1324</v>
      </c>
      <c r="C180" s="62"/>
      <c r="D180" s="678"/>
      <c r="E180" s="678"/>
      <c r="F180" s="678"/>
      <c r="G180" s="678"/>
      <c r="H180" s="678"/>
      <c r="I180" s="678"/>
      <c r="J180" s="678"/>
      <c r="K180" s="678"/>
      <c r="L180" s="678"/>
      <c r="M180" s="678"/>
      <c r="N180" s="678"/>
      <c r="O180" s="678"/>
      <c r="P180" s="678"/>
      <c r="Q180" s="678"/>
      <c r="R180" s="171"/>
      <c r="S180" s="62">
        <f>SUM(J180:Q180)</f>
        <v>0</v>
      </c>
      <c r="T180" s="468">
        <f t="shared" si="29"/>
        <v>0</v>
      </c>
    </row>
    <row r="181" spans="1:20" x14ac:dyDescent="0.3">
      <c r="A181" s="62"/>
      <c r="B181" s="62" t="s">
        <v>107</v>
      </c>
      <c r="C181" s="62"/>
      <c r="D181" s="171">
        <f>'1. RB-i'!D453</f>
        <v>0</v>
      </c>
      <c r="E181" s="171">
        <f>'1. RB-i'!E453</f>
        <v>0</v>
      </c>
      <c r="F181" s="171">
        <f>'1. RB-i'!F453</f>
        <v>0</v>
      </c>
      <c r="G181" s="171">
        <f>'1. RB-i'!G453</f>
        <v>0</v>
      </c>
      <c r="H181" s="171">
        <f>'1. RB-i'!H453</f>
        <v>0</v>
      </c>
      <c r="I181" s="171">
        <f>'1. RB-i'!I453</f>
        <v>0</v>
      </c>
      <c r="J181" s="171">
        <f>'1. RB-i'!J453</f>
        <v>0</v>
      </c>
      <c r="K181" s="171">
        <f>'1. RB-i'!K453</f>
        <v>0</v>
      </c>
      <c r="L181" s="171">
        <f>'1. RB-i'!L453</f>
        <v>0</v>
      </c>
      <c r="M181" s="171">
        <f>'1. RB-i'!M453</f>
        <v>0</v>
      </c>
      <c r="N181" s="171">
        <f>'1. RB-i'!N453</f>
        <v>0</v>
      </c>
      <c r="O181" s="171">
        <f>'1. RB-i'!O453</f>
        <v>0</v>
      </c>
      <c r="P181" s="171">
        <f>'1. RB-i'!P453</f>
        <v>0</v>
      </c>
      <c r="Q181" s="171">
        <f>'1. RB-i'!Q453</f>
        <v>0</v>
      </c>
      <c r="R181" s="171"/>
      <c r="S181" s="62">
        <f t="shared" si="28"/>
        <v>0</v>
      </c>
      <c r="T181" s="468">
        <f t="shared" si="29"/>
        <v>0</v>
      </c>
    </row>
    <row r="182" spans="1:20" x14ac:dyDescent="0.3">
      <c r="A182" s="62"/>
      <c r="B182" s="62" t="s">
        <v>106</v>
      </c>
      <c r="C182" s="62"/>
      <c r="D182" s="171">
        <f>'1. RB-i'!D454</f>
        <v>0</v>
      </c>
      <c r="E182" s="171">
        <f>'1. RB-i'!E454</f>
        <v>0</v>
      </c>
      <c r="F182" s="171">
        <f>'1. RB-i'!F454</f>
        <v>0</v>
      </c>
      <c r="G182" s="171">
        <f>'1. RB-i'!G454</f>
        <v>0</v>
      </c>
      <c r="H182" s="171">
        <f>'1. RB-i'!H454</f>
        <v>0</v>
      </c>
      <c r="I182" s="171">
        <f>'1. RB-i'!I454</f>
        <v>0</v>
      </c>
      <c r="J182" s="171">
        <f>'1. RB-i'!J454</f>
        <v>0</v>
      </c>
      <c r="K182" s="171">
        <f>'1. RB-i'!K454</f>
        <v>0</v>
      </c>
      <c r="L182" s="171">
        <f>'1. RB-i'!L454</f>
        <v>0</v>
      </c>
      <c r="M182" s="171">
        <f>'1. RB-i'!M454</f>
        <v>0</v>
      </c>
      <c r="N182" s="171">
        <f>'1. RB-i'!N454</f>
        <v>0</v>
      </c>
      <c r="O182" s="171">
        <f>'1. RB-i'!O454</f>
        <v>0</v>
      </c>
      <c r="P182" s="171">
        <f>'1. RB-i'!P454</f>
        <v>0</v>
      </c>
      <c r="Q182" s="171">
        <f>'1. RB-i'!Q454</f>
        <v>0</v>
      </c>
      <c r="R182" s="171"/>
      <c r="S182" s="62">
        <f t="shared" si="28"/>
        <v>0</v>
      </c>
      <c r="T182" s="468">
        <f t="shared" si="29"/>
        <v>0</v>
      </c>
    </row>
    <row r="183" spans="1:20" x14ac:dyDescent="0.3">
      <c r="A183" s="62"/>
      <c r="B183" s="62" t="s">
        <v>895</v>
      </c>
      <c r="C183" s="62"/>
      <c r="D183" s="171">
        <f>'1. RB-i'!D455</f>
        <v>0</v>
      </c>
      <c r="E183" s="171">
        <f>'1. RB-i'!E455</f>
        <v>0</v>
      </c>
      <c r="F183" s="171">
        <f>'1. RB-i'!F455</f>
        <v>0</v>
      </c>
      <c r="G183" s="171">
        <f>'1. RB-i'!G455</f>
        <v>0</v>
      </c>
      <c r="H183" s="171">
        <f>'1. RB-i'!H455</f>
        <v>0</v>
      </c>
      <c r="I183" s="171">
        <f>'1. RB-i'!I455</f>
        <v>0</v>
      </c>
      <c r="J183" s="171">
        <f>'1. RB-i'!J455</f>
        <v>0</v>
      </c>
      <c r="K183" s="171">
        <f>'1. RB-i'!K455</f>
        <v>0</v>
      </c>
      <c r="L183" s="171">
        <f>'1. RB-i'!L455</f>
        <v>0</v>
      </c>
      <c r="M183" s="171">
        <f>'1. RB-i'!M455</f>
        <v>0</v>
      </c>
      <c r="N183" s="171">
        <f>'1. RB-i'!N455</f>
        <v>0</v>
      </c>
      <c r="O183" s="171">
        <f>'1. RB-i'!O455</f>
        <v>0</v>
      </c>
      <c r="P183" s="171">
        <f>'1. RB-i'!P455</f>
        <v>0</v>
      </c>
      <c r="Q183" s="171">
        <f>'1. RB-i'!Q455</f>
        <v>0</v>
      </c>
      <c r="R183" s="171"/>
      <c r="S183" s="62">
        <f>SUM(J183:Q183)</f>
        <v>0</v>
      </c>
      <c r="T183" s="468">
        <f t="shared" si="29"/>
        <v>0</v>
      </c>
    </row>
    <row r="184" spans="1:20" x14ac:dyDescent="0.3">
      <c r="A184" s="62"/>
      <c r="B184" s="62" t="s">
        <v>108</v>
      </c>
      <c r="C184" s="62"/>
      <c r="D184" s="171">
        <f>'1. RB-i'!D456</f>
        <v>0</v>
      </c>
      <c r="E184" s="171">
        <f>'1. RB-i'!E456</f>
        <v>0</v>
      </c>
      <c r="F184" s="171">
        <f>'1. RB-i'!F456</f>
        <v>0</v>
      </c>
      <c r="G184" s="171">
        <f>'1. RB-i'!G456</f>
        <v>0</v>
      </c>
      <c r="H184" s="171">
        <f>'1. RB-i'!H456</f>
        <v>0</v>
      </c>
      <c r="I184" s="171">
        <f>'1. RB-i'!I456</f>
        <v>0</v>
      </c>
      <c r="J184" s="171">
        <f>'1. RB-i'!J456</f>
        <v>0</v>
      </c>
      <c r="K184" s="171">
        <f>'1. RB-i'!K456</f>
        <v>0</v>
      </c>
      <c r="L184" s="171">
        <f>'1. RB-i'!L456</f>
        <v>0</v>
      </c>
      <c r="M184" s="171">
        <f>'1. RB-i'!M456</f>
        <v>0</v>
      </c>
      <c r="N184" s="171">
        <f>'1. RB-i'!N456</f>
        <v>0</v>
      </c>
      <c r="O184" s="171">
        <f>'1. RB-i'!O456</f>
        <v>0</v>
      </c>
      <c r="P184" s="171">
        <f>'1. RB-i'!P456</f>
        <v>0</v>
      </c>
      <c r="Q184" s="171">
        <f>'1. RB-i'!Q456</f>
        <v>0</v>
      </c>
      <c r="R184" s="171"/>
      <c r="S184" s="62">
        <f>SUM(J184:Q184)</f>
        <v>0</v>
      </c>
      <c r="T184" s="468">
        <f t="shared" si="29"/>
        <v>0</v>
      </c>
    </row>
    <row r="185" spans="1:20" s="1" customFormat="1" x14ac:dyDescent="0.3">
      <c r="A185" s="62"/>
      <c r="B185" s="62" t="s">
        <v>524</v>
      </c>
      <c r="C185" s="62"/>
      <c r="D185" s="680">
        <v>57419603.640000008</v>
      </c>
      <c r="E185" s="680">
        <v>0</v>
      </c>
      <c r="F185" s="680">
        <v>57419603.640000008</v>
      </c>
      <c r="G185" s="680">
        <v>14255709.389148939</v>
      </c>
      <c r="H185" s="680">
        <v>43163894.250851072</v>
      </c>
      <c r="I185" s="680">
        <v>43163894.250851072</v>
      </c>
      <c r="J185" s="680">
        <v>32893758.539220218</v>
      </c>
      <c r="K185" s="680">
        <v>138618.23852046242</v>
      </c>
      <c r="L185" s="680">
        <v>4111253.2622524542</v>
      </c>
      <c r="M185" s="680">
        <v>2056626.6772564026</v>
      </c>
      <c r="N185" s="680">
        <v>549308.46099777764</v>
      </c>
      <c r="O185" s="680">
        <v>2805499.6632766193</v>
      </c>
      <c r="P185" s="680">
        <v>608829.40932712401</v>
      </c>
      <c r="Q185" s="680">
        <v>0</v>
      </c>
      <c r="R185" s="171"/>
      <c r="S185" s="62">
        <f t="shared" si="28"/>
        <v>43163894.250851065</v>
      </c>
      <c r="T185" s="468">
        <f t="shared" si="29"/>
        <v>0</v>
      </c>
    </row>
    <row r="186" spans="1:20" s="1" customFormat="1" x14ac:dyDescent="0.3">
      <c r="A186" s="62"/>
      <c r="B186" s="62"/>
      <c r="C186" s="62"/>
      <c r="D186" s="171"/>
      <c r="E186" s="171"/>
      <c r="F186" s="171"/>
      <c r="G186" s="62"/>
      <c r="H186" s="468"/>
      <c r="I186" s="468"/>
      <c r="J186" s="171"/>
      <c r="K186" s="171"/>
      <c r="L186" s="171"/>
      <c r="M186" s="171"/>
      <c r="N186" s="171"/>
      <c r="O186" s="171"/>
      <c r="P186" s="171"/>
      <c r="Q186" s="171"/>
      <c r="R186" s="171"/>
      <c r="S186" s="62"/>
      <c r="T186" s="62"/>
    </row>
    <row r="187" spans="1:20" s="1" customFormat="1" x14ac:dyDescent="0.3">
      <c r="A187" s="62"/>
      <c r="B187" s="62" t="s">
        <v>534</v>
      </c>
      <c r="C187" s="62"/>
      <c r="D187" s="171"/>
      <c r="E187" s="171"/>
      <c r="F187" s="171">
        <f>D187+E187</f>
        <v>0</v>
      </c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</row>
    <row r="188" spans="1:20" s="1" customFormat="1" x14ac:dyDescent="0.3">
      <c r="A188" s="62"/>
      <c r="B188" s="498" t="s">
        <v>535</v>
      </c>
      <c r="C188" s="498"/>
      <c r="D188" s="171"/>
      <c r="E188" s="171"/>
      <c r="F188" s="171">
        <f>D188+E188</f>
        <v>0</v>
      </c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</row>
    <row r="189" spans="1:20" s="1" customFormat="1" x14ac:dyDescent="0.3">
      <c r="A189" s="62"/>
      <c r="B189" s="62" t="s">
        <v>536</v>
      </c>
      <c r="C189" s="62"/>
      <c r="D189" s="171"/>
      <c r="E189" s="171"/>
      <c r="F189" s="171">
        <f>D189+E189</f>
        <v>0</v>
      </c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</row>
    <row r="190" spans="1:20" s="1" customFormat="1" x14ac:dyDescent="0.3">
      <c r="A190" s="62"/>
      <c r="B190" s="498" t="s">
        <v>537</v>
      </c>
      <c r="C190" s="498"/>
      <c r="D190" s="171"/>
      <c r="E190" s="171"/>
      <c r="F190" s="171">
        <f>D190+E190</f>
        <v>0</v>
      </c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</row>
    <row r="191" spans="1:20" s="1" customFormat="1" x14ac:dyDescent="0.3">
      <c r="A191" s="62"/>
      <c r="B191" s="498" t="s">
        <v>524</v>
      </c>
      <c r="C191" s="498"/>
      <c r="D191" s="171">
        <f t="shared" ref="D191:L191" si="30">SUM(D187:D190)</f>
        <v>0</v>
      </c>
      <c r="E191" s="171">
        <f t="shared" si="30"/>
        <v>0</v>
      </c>
      <c r="F191" s="171">
        <f t="shared" si="30"/>
        <v>0</v>
      </c>
      <c r="G191" s="171">
        <f t="shared" si="30"/>
        <v>0</v>
      </c>
      <c r="H191" s="171">
        <f t="shared" si="30"/>
        <v>0</v>
      </c>
      <c r="I191" s="171">
        <f t="shared" si="30"/>
        <v>0</v>
      </c>
      <c r="J191" s="171">
        <f t="shared" si="30"/>
        <v>0</v>
      </c>
      <c r="K191" s="171">
        <f t="shared" si="30"/>
        <v>0</v>
      </c>
      <c r="L191" s="171">
        <f t="shared" si="30"/>
        <v>0</v>
      </c>
      <c r="M191" s="171">
        <f>SUM(M187:M190)</f>
        <v>0</v>
      </c>
      <c r="N191" s="171">
        <f>SUM(N187:N190)</f>
        <v>0</v>
      </c>
      <c r="O191" s="171">
        <f>SUM(O187:O190)</f>
        <v>0</v>
      </c>
      <c r="P191" s="171">
        <f>SUM(P187:P190)</f>
        <v>0</v>
      </c>
      <c r="Q191" s="171">
        <f>SUM(Q187:Q190)</f>
        <v>0</v>
      </c>
      <c r="R191" s="171"/>
      <c r="S191" s="62">
        <f>SUM(J191:Q191)</f>
        <v>0</v>
      </c>
      <c r="T191" s="468">
        <f>I191-S191</f>
        <v>0</v>
      </c>
    </row>
    <row r="192" spans="1:20" s="1" customFormat="1" x14ac:dyDescent="0.3">
      <c r="A192" s="62"/>
      <c r="B192" s="62"/>
      <c r="C192" s="62"/>
      <c r="D192" s="171"/>
      <c r="E192" s="171"/>
      <c r="F192" s="171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</row>
    <row r="193" spans="1:20" s="1" customFormat="1" x14ac:dyDescent="0.3">
      <c r="A193" s="463" t="s">
        <v>538</v>
      </c>
      <c r="B193" s="62"/>
      <c r="C193" s="62"/>
      <c r="D193" s="171">
        <f>D142+SUM(D146:D147,D152,D154,D156)+D166+D172+D185+D191</f>
        <v>8315341179.6024952</v>
      </c>
      <c r="E193" s="171">
        <f t="shared" ref="E193:L193" si="31">E142+SUM(E146:E147,E152,E154,E156)+E166+E172+E185+E191</f>
        <v>0</v>
      </c>
      <c r="F193" s="171">
        <f t="shared" si="31"/>
        <v>8315341179.6024952</v>
      </c>
      <c r="G193" s="171">
        <f t="shared" si="31"/>
        <v>681174168.12636185</v>
      </c>
      <c r="H193" s="171">
        <f t="shared" si="31"/>
        <v>7634167011.4761333</v>
      </c>
      <c r="I193" s="171">
        <f t="shared" si="31"/>
        <v>7634167011.4761333</v>
      </c>
      <c r="J193" s="171">
        <f t="shared" si="31"/>
        <v>4002691850.706367</v>
      </c>
      <c r="K193" s="171">
        <f t="shared" si="31"/>
        <v>947572667.61717868</v>
      </c>
      <c r="L193" s="171">
        <f t="shared" si="31"/>
        <v>2473708363.986165</v>
      </c>
      <c r="M193" s="171">
        <f>M142+SUM(M146:M147,M152,M154,M156)+M166+M172+M185+M191</f>
        <v>178926208.46877405</v>
      </c>
      <c r="N193" s="171">
        <f>N142+SUM(N146:N147,N152,N154,N156)+N166+N172+N185+N191</f>
        <v>10441490.41569642</v>
      </c>
      <c r="O193" s="171">
        <f>O142+SUM(O146:O147,O152,O154,O156)+O166+O172+O185+O191</f>
        <v>48965566.058440767</v>
      </c>
      <c r="P193" s="171">
        <f>P142+SUM(P146:P147,P152,P154,P156)+P166+P172+P185+P191</f>
        <v>9739653.0432508364</v>
      </c>
      <c r="Q193" s="171">
        <f>Q142+SUM(Q146:Q147,Q152,Q154,Q156)+Q166+Q172+Q185+Q191</f>
        <v>-37878786.944044746</v>
      </c>
      <c r="R193" s="171"/>
      <c r="S193" s="62">
        <f>SUM(J193:Q193)</f>
        <v>7634167013.3518276</v>
      </c>
      <c r="T193" s="468">
        <f>I193-S193</f>
        <v>-1.8756942749023438</v>
      </c>
    </row>
    <row r="194" spans="1:20" s="1" customFormat="1" x14ac:dyDescent="0.3">
      <c r="A194" s="62"/>
      <c r="B194" s="62"/>
      <c r="C194" s="62"/>
      <c r="D194" s="171"/>
      <c r="E194" s="171"/>
      <c r="F194" s="171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</row>
    <row r="195" spans="1:20" s="1" customFormat="1" x14ac:dyDescent="0.3">
      <c r="A195" s="463" t="s">
        <v>128</v>
      </c>
      <c r="B195" s="62"/>
      <c r="C195" s="489"/>
      <c r="D195" s="171">
        <f>D193-D146</f>
        <v>8315341179.6024952</v>
      </c>
      <c r="E195" s="171">
        <f t="shared" ref="E195:Q195" si="32">E193-E146</f>
        <v>0</v>
      </c>
      <c r="F195" s="171">
        <f t="shared" si="32"/>
        <v>8315341179.6024952</v>
      </c>
      <c r="G195" s="171">
        <f t="shared" si="32"/>
        <v>681174168.12636185</v>
      </c>
      <c r="H195" s="171">
        <f t="shared" si="32"/>
        <v>7634167011.4761333</v>
      </c>
      <c r="I195" s="171">
        <f t="shared" si="32"/>
        <v>7634167011.4761333</v>
      </c>
      <c r="J195" s="171">
        <f t="shared" si="32"/>
        <v>4002691850.706367</v>
      </c>
      <c r="K195" s="171">
        <f t="shared" si="32"/>
        <v>947572667.61717868</v>
      </c>
      <c r="L195" s="171">
        <f t="shared" si="32"/>
        <v>2473708363.986165</v>
      </c>
      <c r="M195" s="171">
        <f t="shared" si="32"/>
        <v>178926208.46877405</v>
      </c>
      <c r="N195" s="171">
        <f t="shared" si="32"/>
        <v>10441490.41569642</v>
      </c>
      <c r="O195" s="171">
        <f t="shared" si="32"/>
        <v>48965566.058440767</v>
      </c>
      <c r="P195" s="171">
        <f t="shared" si="32"/>
        <v>9739653.0432508364</v>
      </c>
      <c r="Q195" s="171">
        <f t="shared" si="32"/>
        <v>-37878786.944044746</v>
      </c>
      <c r="R195" s="62"/>
      <c r="S195" s="62">
        <f>SUM(J195:Q195)</f>
        <v>7634167013.3518276</v>
      </c>
      <c r="T195" s="468">
        <f>I195-S195</f>
        <v>-1.8756942749023438</v>
      </c>
    </row>
    <row r="196" spans="1:20" x14ac:dyDescent="0.3">
      <c r="A196" s="62"/>
      <c r="B196" s="62"/>
      <c r="C196" s="62"/>
      <c r="D196" s="171"/>
      <c r="E196" s="171"/>
      <c r="F196" s="171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</row>
    <row r="197" spans="1:20" x14ac:dyDescent="0.3">
      <c r="A197" s="463" t="s">
        <v>1276</v>
      </c>
      <c r="B197" s="62"/>
      <c r="C197" s="62"/>
      <c r="D197" s="171">
        <f>D195-D170</f>
        <v>8207767991.3124952</v>
      </c>
      <c r="E197" s="171">
        <f t="shared" ref="E197:Q197" si="33">E195-E170</f>
        <v>0</v>
      </c>
      <c r="F197" s="171">
        <f t="shared" si="33"/>
        <v>8207767991.3124952</v>
      </c>
      <c r="G197" s="171">
        <f t="shared" si="33"/>
        <v>679949320.65636182</v>
      </c>
      <c r="H197" s="171">
        <f t="shared" si="33"/>
        <v>7527818670.6561337</v>
      </c>
      <c r="I197" s="171">
        <f t="shared" si="33"/>
        <v>7527818670.6561337</v>
      </c>
      <c r="J197" s="171">
        <f t="shared" si="33"/>
        <v>3896343509.8863668</v>
      </c>
      <c r="K197" s="171">
        <f t="shared" si="33"/>
        <v>947572667.61717868</v>
      </c>
      <c r="L197" s="171">
        <f t="shared" si="33"/>
        <v>2473708363.986165</v>
      </c>
      <c r="M197" s="171">
        <f t="shared" si="33"/>
        <v>178926208.46877405</v>
      </c>
      <c r="N197" s="171">
        <f t="shared" si="33"/>
        <v>10441490.41569642</v>
      </c>
      <c r="O197" s="171">
        <f t="shared" si="33"/>
        <v>48965566.058440767</v>
      </c>
      <c r="P197" s="171">
        <f t="shared" si="33"/>
        <v>9739653.0432508364</v>
      </c>
      <c r="Q197" s="171">
        <f t="shared" si="33"/>
        <v>-37878786.944044746</v>
      </c>
      <c r="R197" s="62"/>
      <c r="S197" s="62">
        <f>SUM(J197:Q197)</f>
        <v>7527818672.5318279</v>
      </c>
      <c r="T197" s="468">
        <f>I197-S197</f>
        <v>-1.8756942749023438</v>
      </c>
    </row>
    <row r="198" spans="1:20" x14ac:dyDescent="0.3">
      <c r="A198" s="62"/>
      <c r="B198" s="62"/>
      <c r="C198" s="62"/>
      <c r="D198" s="171"/>
      <c r="E198" s="171"/>
      <c r="F198" s="171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</row>
    <row r="199" spans="1:20" x14ac:dyDescent="0.3">
      <c r="D199" s="3"/>
      <c r="E199" s="3"/>
      <c r="F199" s="3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</sheetData>
  <customSheetViews>
    <customSheetView guid="{121E4431-22F3-11D5-8242-00600818425F}" scale="75" hiddenColumns="1" showRuler="0">
      <pane xSplit="2" ySplit="7" topLeftCell="C11" activePane="bottomRight" state="frozen"/>
      <selection pane="bottomRight" activeCell="D19" sqref="D19"/>
      <rowBreaks count="3" manualBreakCount="3">
        <brk id="58" max="16383" man="1"/>
        <brk id="133" max="16383" man="1"/>
        <brk id="198" max="16383" man="1"/>
      </rowBreaks>
      <pageMargins left="0" right="0" top="0.5" bottom="0.4" header="0.2" footer="0.2"/>
      <printOptions horizontalCentered="1" gridLines="1"/>
      <pageSetup scale="60" fitToHeight="0" orientation="landscape" horizontalDpi="180" verticalDpi="180" r:id="rId1"/>
      <headerFooter alignWithMargins="0">
        <oddFooter>&amp;L&amp;8&amp;F &amp;C&amp;8&amp;A
page &amp;P&amp;R&amp;8&amp;D
&amp;T</oddFooter>
      </headerFooter>
    </customSheetView>
    <customSheetView guid="{26EFD302-2526-11D5-9AB1-0060975861A8}" scale="75" showPageBreaks="1" printArea="1" hiddenColumns="1" showRuler="0">
      <pane xSplit="2" ySplit="7" topLeftCell="C105" activePane="bottomRight" state="frozen"/>
      <selection pane="bottomRight" activeCell="D110" sqref="D110"/>
      <rowBreaks count="3" manualBreakCount="3">
        <brk id="56" max="16383" man="1"/>
        <brk id="104" max="16383" man="1"/>
        <brk id="157" max="16383" man="1"/>
      </rowBreaks>
      <pageMargins left="0" right="0" top="0.5" bottom="0.4" header="0.2" footer="0.2"/>
      <printOptions horizontalCentered="1" gridLines="1"/>
      <pageSetup scale="60" fitToHeight="0" orientation="landscape" horizontalDpi="180" verticalDpi="180" r:id="rId2"/>
      <headerFooter alignWithMargins="0">
        <oddFooter>&amp;L&amp;8&amp;F &amp;C&amp;8&amp;A
page &amp;P&amp;R&amp;8&amp;D
&amp;T</oddFooter>
      </headerFooter>
    </customSheetView>
    <customSheetView guid="{44D25261-300E-11D5-83AB-006008184210}" scale="75" showPageBreaks="1" printArea="1" hiddenColumns="1" showRuler="0">
      <pane xSplit="2" ySplit="7" topLeftCell="C105" activePane="bottomRight" state="frozen"/>
      <selection pane="bottomRight" activeCell="D110" sqref="D110"/>
      <rowBreaks count="3" manualBreakCount="3">
        <brk id="56" max="16383" man="1"/>
        <brk id="104" max="16383" man="1"/>
        <brk id="157" max="16383" man="1"/>
      </rowBreaks>
      <pageMargins left="0" right="0" top="0.5" bottom="0.4" header="0.2" footer="0.2"/>
      <printOptions horizontalCentered="1" gridLines="1"/>
      <pageSetup scale="60" fitToHeight="0" orientation="landscape" horizontalDpi="180" verticalDpi="180" r:id="rId3"/>
      <headerFooter alignWithMargins="0">
        <oddFooter>&amp;L&amp;8&amp;F 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47" fitToHeight="0" orientation="landscape" horizontalDpi="180" verticalDpi="180" r:id="rId4"/>
  <headerFooter alignWithMargins="0">
    <oddFooter>&amp;L&amp;8&amp;F &amp;C&amp;8&amp;A
page &amp;P&amp;R&amp;8&amp;D
&amp;T</oddFooter>
  </headerFooter>
  <rowBreaks count="3" manualBreakCount="3">
    <brk id="64" max="16383" man="1"/>
    <brk id="99" max="16383" man="1"/>
    <brk id="143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BB63"/>
  <sheetViews>
    <sheetView zoomScale="75" zoomScaleNormal="75" workbookViewId="0">
      <pane xSplit="2" ySplit="7" topLeftCell="C8" activePane="bottomRight" state="frozen"/>
      <selection activeCell="C9" sqref="C9"/>
      <selection pane="topRight" activeCell="C9" sqref="C9"/>
      <selection pane="bottomLeft" activeCell="C9" sqref="C9"/>
      <selection pane="bottomRight" activeCell="C8" sqref="C8"/>
    </sheetView>
  </sheetViews>
  <sheetFormatPr defaultColWidth="9.1796875" defaultRowHeight="13" x14ac:dyDescent="0.3"/>
  <cols>
    <col min="1" max="1" width="4.54296875" style="32" customWidth="1"/>
    <col min="2" max="2" width="32.1796875" style="32" customWidth="1"/>
    <col min="3" max="3" width="15.1796875" style="32" customWidth="1"/>
    <col min="4" max="4" width="11.453125" style="32" customWidth="1"/>
    <col min="5" max="8" width="15" style="32" customWidth="1"/>
    <col min="9" max="16" width="12.54296875" style="32" customWidth="1"/>
    <col min="17" max="17" width="12.453125" style="32" customWidth="1"/>
    <col min="18" max="18" width="13.81640625" style="32" customWidth="1"/>
    <col min="19" max="20" width="9.1796875" style="32"/>
    <col min="21" max="21" width="11.453125" style="32" bestFit="1" customWidth="1"/>
    <col min="22" max="22" width="8.54296875" style="32" bestFit="1" customWidth="1"/>
    <col min="23" max="16384" width="9.1796875" style="32"/>
  </cols>
  <sheetData>
    <row r="1" spans="1:54" x14ac:dyDescent="0.3">
      <c r="A1" s="301" t="str">
        <f>'1. RB-i'!$A$1</f>
        <v>CPS Energy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3"/>
      <c r="O1" s="42"/>
      <c r="P1" s="42"/>
    </row>
    <row r="2" spans="1:54" x14ac:dyDescent="0.3">
      <c r="A2" s="307" t="s">
        <v>1263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98"/>
      <c r="O2" s="35"/>
      <c r="P2" s="35"/>
      <c r="S2" s="1"/>
      <c r="T2" s="1"/>
    </row>
    <row r="3" spans="1:54" x14ac:dyDescent="0.3">
      <c r="A3" s="307" t="str">
        <f>'10n. Late Payment by class'!A3</f>
        <v>Based on FYE 2017 Test Year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98"/>
      <c r="O3" s="31"/>
      <c r="P3" s="31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</row>
    <row r="4" spans="1:54" s="179" customFormat="1" x14ac:dyDescent="0.3">
      <c r="A4" s="304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305"/>
    </row>
    <row r="5" spans="1:54" s="179" customFormat="1" x14ac:dyDescent="0.3">
      <c r="A5" s="304"/>
      <c r="B5" s="196"/>
      <c r="C5" s="196"/>
      <c r="D5" s="196"/>
      <c r="E5" s="196"/>
      <c r="F5" s="196"/>
      <c r="G5" s="196"/>
      <c r="H5" s="199"/>
      <c r="I5" s="199"/>
      <c r="J5" s="199"/>
      <c r="K5" s="196"/>
      <c r="L5" s="196"/>
      <c r="M5" s="196"/>
      <c r="N5" s="305"/>
      <c r="P5" s="179" t="s">
        <v>832</v>
      </c>
    </row>
    <row r="6" spans="1:54" s="179" customFormat="1" x14ac:dyDescent="0.3">
      <c r="A6" s="304"/>
      <c r="B6" s="196"/>
      <c r="C6" s="196" t="s">
        <v>359</v>
      </c>
      <c r="D6" s="196"/>
      <c r="E6" s="196" t="s">
        <v>355</v>
      </c>
      <c r="F6" s="196" t="s">
        <v>961</v>
      </c>
      <c r="G6" s="196" t="s">
        <v>962</v>
      </c>
      <c r="H6" s="196" t="s">
        <v>963</v>
      </c>
      <c r="I6" s="196" t="s">
        <v>964</v>
      </c>
      <c r="J6" s="196" t="s">
        <v>965</v>
      </c>
      <c r="K6" s="196" t="s">
        <v>966</v>
      </c>
      <c r="L6" s="196" t="s">
        <v>967</v>
      </c>
      <c r="M6" s="196" t="s">
        <v>968</v>
      </c>
      <c r="N6" s="305" t="s">
        <v>932</v>
      </c>
      <c r="P6" s="179" t="s">
        <v>833</v>
      </c>
      <c r="Q6" s="179" t="s">
        <v>824</v>
      </c>
    </row>
    <row r="7" spans="1:54" s="179" customFormat="1" ht="13.5" thickBot="1" x14ac:dyDescent="0.35">
      <c r="A7" s="299"/>
      <c r="B7" s="282"/>
      <c r="C7" s="282"/>
      <c r="D7" s="282"/>
      <c r="E7" s="282" t="s">
        <v>816</v>
      </c>
      <c r="F7" s="282" t="s">
        <v>817</v>
      </c>
      <c r="G7" s="282" t="s">
        <v>818</v>
      </c>
      <c r="H7" s="282" t="s">
        <v>819</v>
      </c>
      <c r="I7" s="282" t="s">
        <v>820</v>
      </c>
      <c r="J7" s="282" t="s">
        <v>821</v>
      </c>
      <c r="K7" s="282" t="s">
        <v>822</v>
      </c>
      <c r="L7" s="282" t="s">
        <v>823</v>
      </c>
      <c r="M7" s="282" t="s">
        <v>908</v>
      </c>
      <c r="N7" s="300" t="s">
        <v>914</v>
      </c>
    </row>
    <row r="8" spans="1:54" x14ac:dyDescent="0.3">
      <c r="A8" s="157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158"/>
      <c r="O8" s="35"/>
      <c r="P8" s="35"/>
    </row>
    <row r="9" spans="1:54" x14ac:dyDescent="0.3">
      <c r="A9" s="157" t="s">
        <v>544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158"/>
    </row>
    <row r="10" spans="1:54" x14ac:dyDescent="0.3">
      <c r="A10" s="157"/>
      <c r="B10" s="35" t="s">
        <v>969</v>
      </c>
      <c r="C10" s="35"/>
      <c r="D10" s="35"/>
      <c r="E10" s="243">
        <f>-'9b. Summary Schedules-sf'!E$206</f>
        <v>988504.33250960952</v>
      </c>
      <c r="F10" s="243">
        <f>$E10*'11a. AF by class'!F$10/'11a. AF by class'!$E$10</f>
        <v>393505.98130231642</v>
      </c>
      <c r="G10" s="243">
        <f>$E10*'11a. AF by class'!G10/'11a. AF by class'!$E10</f>
        <v>116674.162960024</v>
      </c>
      <c r="H10" s="243">
        <f>$E10*'11a. AF by class'!H10/'11a. AF by class'!$E10</f>
        <v>206645.05402416832</v>
      </c>
      <c r="I10" s="243">
        <f>$E10*'11a. AF by class'!I10/'11a. AF by class'!$E10</f>
        <v>121238.96457063404</v>
      </c>
      <c r="J10" s="243">
        <f>$E10*'11a. AF by class'!J10/'11a. AF by class'!$E10</f>
        <v>50956.552233123693</v>
      </c>
      <c r="K10" s="243">
        <f>$E10*'11a. AF by class'!K10/'11a. AF by class'!$E10</f>
        <v>75493.709060574183</v>
      </c>
      <c r="L10" s="243">
        <f>$E10*'11a. AF by class'!L10/'11a. AF by class'!$E10</f>
        <v>19651.757882870195</v>
      </c>
      <c r="M10" s="243">
        <f>$E10*'11a. AF by class'!M10/'11a. AF by class'!$E10</f>
        <v>105.6485608705264</v>
      </c>
      <c r="N10" s="244">
        <f>$E10*'11a. AF by class'!N10/'11a. AF by class'!$E10</f>
        <v>4232.5019150281714</v>
      </c>
      <c r="P10" s="32">
        <f>SUM(F10:O10)</f>
        <v>988504.33250960952</v>
      </c>
      <c r="Q10" s="32">
        <f>E10-P10</f>
        <v>0</v>
      </c>
    </row>
    <row r="11" spans="1:54" x14ac:dyDescent="0.3">
      <c r="A11" s="157"/>
      <c r="B11" s="35" t="s">
        <v>1140</v>
      </c>
      <c r="C11" s="35"/>
      <c r="D11" s="35"/>
      <c r="E11" s="642"/>
      <c r="F11" s="642"/>
      <c r="G11" s="642"/>
      <c r="H11" s="642"/>
      <c r="I11" s="642"/>
      <c r="J11" s="642"/>
      <c r="K11" s="642"/>
      <c r="L11" s="642"/>
      <c r="M11" s="642"/>
      <c r="N11" s="643"/>
      <c r="O11" s="641"/>
      <c r="P11" s="641"/>
      <c r="Q11" s="32">
        <f t="shared" ref="Q11:Q13" si="0">E11-P11</f>
        <v>0</v>
      </c>
    </row>
    <row r="12" spans="1:54" x14ac:dyDescent="0.3">
      <c r="A12" s="157"/>
      <c r="B12" s="35" t="s">
        <v>1139</v>
      </c>
      <c r="C12" s="35"/>
      <c r="D12" s="35"/>
      <c r="E12" s="642"/>
      <c r="F12" s="642"/>
      <c r="G12" s="642"/>
      <c r="H12" s="642"/>
      <c r="I12" s="642"/>
      <c r="J12" s="642"/>
      <c r="K12" s="642"/>
      <c r="L12" s="642"/>
      <c r="M12" s="642"/>
      <c r="N12" s="643"/>
      <c r="O12" s="641"/>
      <c r="P12" s="641"/>
      <c r="Q12" s="32">
        <f t="shared" si="0"/>
        <v>0</v>
      </c>
    </row>
    <row r="13" spans="1:54" x14ac:dyDescent="0.3">
      <c r="A13" s="157"/>
      <c r="B13" s="35" t="s">
        <v>947</v>
      </c>
      <c r="C13" s="35"/>
      <c r="D13" s="35"/>
      <c r="E13" s="642"/>
      <c r="F13" s="642"/>
      <c r="G13" s="642"/>
      <c r="H13" s="642"/>
      <c r="I13" s="642"/>
      <c r="J13" s="642"/>
      <c r="K13" s="642"/>
      <c r="L13" s="642"/>
      <c r="M13" s="642"/>
      <c r="N13" s="643"/>
      <c r="O13" s="641"/>
      <c r="P13" s="641"/>
      <c r="Q13" s="32">
        <f t="shared" si="0"/>
        <v>0</v>
      </c>
    </row>
    <row r="14" spans="1:54" x14ac:dyDescent="0.3">
      <c r="A14" s="157"/>
      <c r="B14" s="35"/>
      <c r="C14" s="35"/>
      <c r="D14" s="35"/>
      <c r="E14" s="243"/>
      <c r="F14" s="243"/>
      <c r="G14" s="243"/>
      <c r="H14" s="243"/>
      <c r="I14" s="243"/>
      <c r="J14" s="243"/>
      <c r="K14" s="243"/>
      <c r="L14" s="243"/>
      <c r="M14" s="243"/>
      <c r="N14" s="244"/>
    </row>
    <row r="15" spans="1:54" x14ac:dyDescent="0.3">
      <c r="A15" s="157"/>
      <c r="B15" s="35" t="s">
        <v>970</v>
      </c>
      <c r="C15" s="35"/>
      <c r="D15" s="35"/>
      <c r="E15" s="243">
        <f>-'9b. Summary Schedules-sf'!I206</f>
        <v>2187232.3386628544</v>
      </c>
      <c r="F15" s="243">
        <f>$E15*'11a. AF by class'!F11/'11a. AF by class'!$E11</f>
        <v>744087.19615798816</v>
      </c>
      <c r="G15" s="243">
        <f>$E15*'11a. AF by class'!G11/'11a. AF by class'!$E11</f>
        <v>199668.2122650324</v>
      </c>
      <c r="H15" s="243">
        <f>$E15*'11a. AF by class'!H11/'11a. AF by class'!$E11</f>
        <v>485313.67052683164</v>
      </c>
      <c r="I15" s="243">
        <f>$E15*'11a. AF by class'!I11/'11a. AF by class'!$E11</f>
        <v>314921.76783808914</v>
      </c>
      <c r="J15" s="243">
        <f>$E15*'11a. AF by class'!J11/'11a. AF by class'!$E11</f>
        <v>151905.79215458891</v>
      </c>
      <c r="K15" s="243">
        <f>$E15*'11a. AF by class'!K11/'11a. AF by class'!$E11</f>
        <v>238277.08471272636</v>
      </c>
      <c r="L15" s="243">
        <f>$E15*'11a. AF by class'!L11/'11a. AF by class'!$E11</f>
        <v>43661.641419599822</v>
      </c>
      <c r="M15" s="243">
        <f>$E15*'11a. AF by class'!M11/'11a. AF by class'!$E11</f>
        <v>428.0523309827214</v>
      </c>
      <c r="N15" s="244">
        <f>$E15*'11a. AF by class'!N11/'11a. AF by class'!$E11</f>
        <v>8968.9212570151376</v>
      </c>
      <c r="P15" s="32">
        <f>SUM(F15:O15)</f>
        <v>2187232.3386628544</v>
      </c>
      <c r="Q15" s="32">
        <f>E15-P15</f>
        <v>0</v>
      </c>
    </row>
    <row r="16" spans="1:54" x14ac:dyDescent="0.3">
      <c r="A16" s="157"/>
      <c r="B16" s="35" t="s">
        <v>971</v>
      </c>
      <c r="C16" s="35"/>
      <c r="D16" s="35"/>
      <c r="E16" s="35">
        <f>E10+E15</f>
        <v>3175736.6711724638</v>
      </c>
      <c r="F16" s="35">
        <f t="shared" ref="F16:P16" si="1">F10+F15</f>
        <v>1137593.1774603045</v>
      </c>
      <c r="G16" s="35">
        <f t="shared" si="1"/>
        <v>316342.37522505643</v>
      </c>
      <c r="H16" s="35">
        <f t="shared" si="1"/>
        <v>691958.72455099993</v>
      </c>
      <c r="I16" s="35">
        <f t="shared" si="1"/>
        <v>436160.73240872321</v>
      </c>
      <c r="J16" s="35">
        <f t="shared" si="1"/>
        <v>202862.3443877126</v>
      </c>
      <c r="K16" s="35">
        <f t="shared" si="1"/>
        <v>313770.79377330054</v>
      </c>
      <c r="L16" s="35">
        <f t="shared" si="1"/>
        <v>63313.399302470018</v>
      </c>
      <c r="M16" s="35">
        <f t="shared" si="1"/>
        <v>533.70089185324775</v>
      </c>
      <c r="N16" s="158">
        <f t="shared" si="1"/>
        <v>13201.423172043309</v>
      </c>
      <c r="O16" s="35"/>
      <c r="P16" s="35">
        <f t="shared" si="1"/>
        <v>3175736.6711724638</v>
      </c>
      <c r="Q16" s="32">
        <f>E16-P16</f>
        <v>0</v>
      </c>
    </row>
    <row r="17" spans="1:17" x14ac:dyDescent="0.3">
      <c r="A17" s="157"/>
      <c r="B17" s="35" t="s">
        <v>617</v>
      </c>
      <c r="C17" s="35"/>
      <c r="D17" s="35"/>
      <c r="E17" s="243">
        <f>-'9b. Summary Schedules-sf'!J206</f>
        <v>0</v>
      </c>
      <c r="F17" s="243">
        <f>$E17*'11a. AF by class'!F13/'11a. AF by class'!$E13</f>
        <v>0</v>
      </c>
      <c r="G17" s="243">
        <f>$E17*'11a. AF by class'!G13/'11a. AF by class'!$E13</f>
        <v>0</v>
      </c>
      <c r="H17" s="243">
        <f>$E17*'11a. AF by class'!H13/'11a. AF by class'!$E13</f>
        <v>0</v>
      </c>
      <c r="I17" s="243">
        <f>$E17*'11a. AF by class'!I13/'11a. AF by class'!$E13</f>
        <v>0</v>
      </c>
      <c r="J17" s="243">
        <f>$E17*'11a. AF by class'!J13/'11a. AF by class'!$E13</f>
        <v>0</v>
      </c>
      <c r="K17" s="243">
        <f>$E17*'11a. AF by class'!K13/'11a. AF by class'!$E13</f>
        <v>0</v>
      </c>
      <c r="L17" s="243">
        <f>$E17*'11a. AF by class'!L13/'11a. AF by class'!$E13</f>
        <v>0</v>
      </c>
      <c r="M17" s="243">
        <f>$E17*'11a. AF by class'!M13/'11a. AF by class'!$E13</f>
        <v>0</v>
      </c>
      <c r="N17" s="244">
        <f>$E17*'11a. AF by class'!N13/'11a. AF by class'!$E13</f>
        <v>0</v>
      </c>
      <c r="P17" s="32">
        <f>SUM(F17:O17)</f>
        <v>0</v>
      </c>
      <c r="Q17" s="32">
        <f>E17-P17</f>
        <v>0</v>
      </c>
    </row>
    <row r="18" spans="1:17" x14ac:dyDescent="0.3">
      <c r="A18" s="157"/>
      <c r="B18" s="35" t="s">
        <v>972</v>
      </c>
      <c r="C18" s="35"/>
      <c r="D18" s="35"/>
      <c r="E18" s="243">
        <f t="shared" ref="E18:N18" si="2">SUM(E16:E17)</f>
        <v>3175736.6711724638</v>
      </c>
      <c r="F18" s="243">
        <f t="shared" si="2"/>
        <v>1137593.1774603045</v>
      </c>
      <c r="G18" s="243">
        <f t="shared" si="2"/>
        <v>316342.37522505643</v>
      </c>
      <c r="H18" s="243">
        <f t="shared" si="2"/>
        <v>691958.72455099993</v>
      </c>
      <c r="I18" s="243">
        <f t="shared" si="2"/>
        <v>436160.73240872321</v>
      </c>
      <c r="J18" s="243">
        <f t="shared" si="2"/>
        <v>202862.3443877126</v>
      </c>
      <c r="K18" s="243">
        <f t="shared" si="2"/>
        <v>313770.79377330054</v>
      </c>
      <c r="L18" s="243">
        <f t="shared" si="2"/>
        <v>63313.399302470018</v>
      </c>
      <c r="M18" s="243">
        <f t="shared" si="2"/>
        <v>533.70089185324775</v>
      </c>
      <c r="N18" s="244">
        <f t="shared" si="2"/>
        <v>13201.423172043309</v>
      </c>
      <c r="P18" s="32">
        <f>SUM(F18:O18)</f>
        <v>3175736.6711724638</v>
      </c>
      <c r="Q18" s="32">
        <f>E18-P18</f>
        <v>0</v>
      </c>
    </row>
    <row r="19" spans="1:17" x14ac:dyDescent="0.3">
      <c r="A19" s="157"/>
      <c r="B19" s="35"/>
      <c r="C19" s="35"/>
      <c r="D19" s="35"/>
      <c r="E19" s="243"/>
      <c r="F19" s="243"/>
      <c r="G19" s="243"/>
      <c r="H19" s="243"/>
      <c r="I19" s="243"/>
      <c r="J19" s="243"/>
      <c r="K19" s="243"/>
      <c r="L19" s="243"/>
      <c r="M19" s="243"/>
      <c r="N19" s="244"/>
    </row>
    <row r="20" spans="1:17" x14ac:dyDescent="0.3">
      <c r="A20" s="157" t="s">
        <v>984</v>
      </c>
      <c r="B20" s="35"/>
      <c r="C20" s="35"/>
      <c r="D20" s="35"/>
      <c r="E20" s="243">
        <f>-'9b. Summary Schedules-sf'!K206</f>
        <v>0</v>
      </c>
      <c r="F20" s="243">
        <f>$E20*'11a. AF by class'!F16/'11a. AF by class'!$E16</f>
        <v>0</v>
      </c>
      <c r="G20" s="243">
        <f>$E20*'11a. AF by class'!G16/'11a. AF by class'!$E16</f>
        <v>0</v>
      </c>
      <c r="H20" s="243">
        <f>$E20*'11a. AF by class'!H16/'11a. AF by class'!$E16</f>
        <v>0</v>
      </c>
      <c r="I20" s="243">
        <f>$E20*'11a. AF by class'!I16/'11a. AF by class'!$E16</f>
        <v>0</v>
      </c>
      <c r="J20" s="243">
        <f>$E20*'11a. AF by class'!J16/'11a. AF by class'!$E16</f>
        <v>0</v>
      </c>
      <c r="K20" s="243">
        <f>$E20*'11a. AF by class'!K16/'11a. AF by class'!$E16</f>
        <v>0</v>
      </c>
      <c r="L20" s="243">
        <f>$E20*'11a. AF by class'!L16/'11a. AF by class'!$E16</f>
        <v>0</v>
      </c>
      <c r="M20" s="243">
        <f>$E20*'11a. AF by class'!M16/'11a. AF by class'!$E16</f>
        <v>0</v>
      </c>
      <c r="N20" s="244">
        <f>$E20*'11a. AF by class'!N16/'11a. AF by class'!$E16</f>
        <v>0</v>
      </c>
      <c r="P20" s="32">
        <f>SUM(F20:O20)</f>
        <v>0</v>
      </c>
      <c r="Q20" s="32">
        <f>E20-P20</f>
        <v>0</v>
      </c>
    </row>
    <row r="21" spans="1:17" x14ac:dyDescent="0.3">
      <c r="A21" s="157"/>
      <c r="B21" s="35"/>
      <c r="C21" s="35"/>
      <c r="D21" s="35"/>
      <c r="E21" s="243"/>
      <c r="F21" s="243"/>
      <c r="G21" s="243"/>
      <c r="H21" s="243"/>
      <c r="I21" s="243"/>
      <c r="J21" s="243"/>
      <c r="K21" s="243"/>
      <c r="L21" s="243"/>
      <c r="M21" s="243"/>
      <c r="N21" s="244"/>
    </row>
    <row r="22" spans="1:17" s="16" customFormat="1" x14ac:dyDescent="0.3">
      <c r="A22" s="153" t="s">
        <v>366</v>
      </c>
      <c r="B22" s="53"/>
      <c r="C22" s="53"/>
      <c r="D22" s="35"/>
      <c r="E22" s="243">
        <f>-'9b. Summary Schedules-sf'!L206</f>
        <v>0</v>
      </c>
      <c r="F22" s="243">
        <f>$E22*'11a. AF by class'!F18/'11a. AF by class'!$E18</f>
        <v>0</v>
      </c>
      <c r="G22" s="243">
        <f>$E22*'11a. AF by class'!G18/'11a. AF by class'!$E18</f>
        <v>0</v>
      </c>
      <c r="H22" s="243">
        <f>$E22*'11a. AF by class'!H18/'11a. AF by class'!$E18</f>
        <v>0</v>
      </c>
      <c r="I22" s="243">
        <f>$E22*'11a. AF by class'!I18/'11a. AF by class'!$E18</f>
        <v>0</v>
      </c>
      <c r="J22" s="243">
        <f>$E22*'11a. AF by class'!J18/'11a. AF by class'!$E18</f>
        <v>0</v>
      </c>
      <c r="K22" s="243">
        <f>$E22*'11a. AF by class'!K18/'11a. AF by class'!$E18</f>
        <v>0</v>
      </c>
      <c r="L22" s="243">
        <f>$E22*'11a. AF by class'!L18/'11a. AF by class'!$E18</f>
        <v>0</v>
      </c>
      <c r="M22" s="243">
        <f>$E22*'11a. AF by class'!M18/'11a. AF by class'!$E18</f>
        <v>0</v>
      </c>
      <c r="N22" s="244">
        <f>$E22*'11a. AF by class'!N18/'11a. AF by class'!$E18</f>
        <v>0</v>
      </c>
      <c r="P22" s="16">
        <f>SUM(F22:O22)</f>
        <v>0</v>
      </c>
      <c r="Q22" s="16">
        <f>E22-P22</f>
        <v>0</v>
      </c>
    </row>
    <row r="23" spans="1:17" x14ac:dyDescent="0.3">
      <c r="A23" s="157"/>
      <c r="B23" s="35"/>
      <c r="C23" s="35"/>
      <c r="D23" s="35"/>
      <c r="E23" s="243"/>
      <c r="F23" s="243"/>
      <c r="G23" s="243"/>
      <c r="H23" s="243"/>
      <c r="I23" s="243"/>
      <c r="J23" s="243"/>
      <c r="K23" s="243"/>
      <c r="L23" s="243"/>
      <c r="M23" s="243"/>
      <c r="N23" s="244"/>
    </row>
    <row r="24" spans="1:17" x14ac:dyDescent="0.3">
      <c r="A24" s="157" t="s">
        <v>367</v>
      </c>
      <c r="B24" s="35"/>
      <c r="C24" s="35"/>
      <c r="D24" s="35"/>
      <c r="E24" s="243"/>
      <c r="F24" s="243"/>
      <c r="G24" s="243"/>
      <c r="H24" s="243"/>
      <c r="I24" s="243"/>
      <c r="J24" s="243"/>
      <c r="K24" s="243"/>
      <c r="L24" s="243"/>
      <c r="M24" s="243"/>
      <c r="N24" s="244"/>
    </row>
    <row r="25" spans="1:17" x14ac:dyDescent="0.3">
      <c r="A25" s="157"/>
      <c r="B25" s="35" t="s">
        <v>973</v>
      </c>
      <c r="C25" s="35"/>
      <c r="D25" s="35"/>
      <c r="E25" s="243"/>
      <c r="F25" s="243"/>
      <c r="G25" s="243"/>
      <c r="H25" s="243"/>
      <c r="I25" s="243"/>
      <c r="J25" s="243"/>
      <c r="K25" s="243"/>
      <c r="L25" s="243"/>
      <c r="M25" s="243"/>
      <c r="N25" s="244"/>
    </row>
    <row r="26" spans="1:17" x14ac:dyDescent="0.3">
      <c r="A26" s="157"/>
      <c r="B26" s="35" t="s">
        <v>974</v>
      </c>
      <c r="C26" s="35"/>
      <c r="D26" s="35"/>
      <c r="E26" s="243">
        <f>-'9b. Summary Schedules-sf'!N206</f>
        <v>209219.86994391639</v>
      </c>
      <c r="F26" s="243">
        <f>$E26*'11a. AF by class'!F22/'11a. AF by class'!$E22</f>
        <v>84366.443588136768</v>
      </c>
      <c r="G26" s="243">
        <f>$E26*'11a. AF by class'!G22/'11a. AF by class'!$E22</f>
        <v>25174.353672944599</v>
      </c>
      <c r="H26" s="243">
        <f>$E26*'11a. AF by class'!H22/'11a. AF by class'!$E22</f>
        <v>43582.906219004442</v>
      </c>
      <c r="I26" s="243">
        <f>$E26*'11a. AF by class'!I22/'11a. AF by class'!$E22</f>
        <v>25339.912935424793</v>
      </c>
      <c r="J26" s="243">
        <f>$E26*'11a. AF by class'!J22/'11a. AF by class'!$E22</f>
        <v>10501.292328639272</v>
      </c>
      <c r="K26" s="243">
        <f>$E26*'11a. AF by class'!K22/'11a. AF by class'!$E22</f>
        <v>15457.141051824654</v>
      </c>
      <c r="L26" s="243">
        <f>$E26*'11a. AF by class'!L22/'11a. AF by class'!$E22</f>
        <v>3876.8750272595321</v>
      </c>
      <c r="M26" s="243">
        <f>$E26*'11a. AF by class'!M22/'11a. AF by class'!$E22</f>
        <v>20.89282971816758</v>
      </c>
      <c r="N26" s="244">
        <f>$E26*'11a. AF by class'!N22/'11a. AF by class'!$E22</f>
        <v>900.05229096416554</v>
      </c>
      <c r="P26" s="32">
        <f>SUM(F26:O26)</f>
        <v>209219.86994391639</v>
      </c>
      <c r="Q26" s="32">
        <f>E26-P26</f>
        <v>0</v>
      </c>
    </row>
    <row r="27" spans="1:17" x14ac:dyDescent="0.3">
      <c r="A27" s="157"/>
      <c r="B27" s="35" t="s">
        <v>975</v>
      </c>
      <c r="C27" s="35"/>
      <c r="D27" s="35"/>
      <c r="E27" s="243">
        <f>-'9b. Summary Schedules-sf'!O206</f>
        <v>266573.8386527478</v>
      </c>
      <c r="F27" s="243">
        <f>$E27*'11a. AF by class'!F23/'11a. AF by class'!$E23</f>
        <v>109370.74685174154</v>
      </c>
      <c r="G27" s="243">
        <f>$E27*'11a. AF by class'!G23/'11a. AF by class'!$E23</f>
        <v>32635.461987246734</v>
      </c>
      <c r="H27" s="243">
        <f>$E27*'11a. AF by class'!H23/'11a. AF by class'!$E23</f>
        <v>56499.892616217832</v>
      </c>
      <c r="I27" s="243">
        <f>$E27*'11a. AF by class'!I23/'11a. AF by class'!$E23</f>
        <v>32850.089265766132</v>
      </c>
      <c r="J27" s="243">
        <f>$E27*'11a. AF by class'!J23/'11a. AF by class'!$E23</f>
        <v>13613.637555930391</v>
      </c>
      <c r="K27" s="243">
        <f>$E27*'11a. AF by class'!K23/'11a. AF by class'!$E23</f>
        <v>20038.287607378712</v>
      </c>
      <c r="L27" s="243">
        <f>$E27*'11a. AF by class'!L23/'11a. AF by class'!$E23</f>
        <v>371.83037032040556</v>
      </c>
      <c r="M27" s="243">
        <f>$E27*'11a. AF by class'!M23/'11a. AF by class'!$E23</f>
        <v>27.08499129437719</v>
      </c>
      <c r="N27" s="244">
        <f>$E27*'11a. AF by class'!N23/'11a. AF by class'!$E23</f>
        <v>1166.8074068516726</v>
      </c>
      <c r="P27" s="32">
        <f>SUM(F27:O27)</f>
        <v>266573.8386527478</v>
      </c>
      <c r="Q27" s="32">
        <f>E27-P27</f>
        <v>0</v>
      </c>
    </row>
    <row r="28" spans="1:17" x14ac:dyDescent="0.3">
      <c r="A28" s="157"/>
      <c r="B28" s="35" t="s">
        <v>976</v>
      </c>
      <c r="C28" s="35"/>
      <c r="D28" s="35"/>
      <c r="E28" s="243">
        <f>-'9b. Summary Schedules-sf'!P206</f>
        <v>57932.745435065473</v>
      </c>
      <c r="F28" s="243">
        <f>$E28*'11a. AF by class'!F24/'11a. AF by class'!$E24</f>
        <v>29431.680612334636</v>
      </c>
      <c r="G28" s="243">
        <f>$E28*'11a. AF by class'!G24/'11a. AF by class'!$E24</f>
        <v>10822.478643734887</v>
      </c>
      <c r="H28" s="243">
        <f>$E28*'11a. AF by class'!H24/'11a. AF by class'!$E24</f>
        <v>10028.563336673507</v>
      </c>
      <c r="I28" s="243">
        <f>$E28*'11a. AF by class'!I24/'11a. AF by class'!$E24</f>
        <v>5156.4743037877006</v>
      </c>
      <c r="J28" s="243">
        <f>$E28*'11a. AF by class'!J24/'11a. AF by class'!$E24</f>
        <v>1753.0065836339375</v>
      </c>
      <c r="K28" s="243">
        <f>$E28*'11a. AF by class'!K24/'11a. AF by class'!$E24</f>
        <v>585.33587651443054</v>
      </c>
      <c r="L28" s="243">
        <f>$E28*'11a. AF by class'!L24/'11a. AF by class'!$E24</f>
        <v>0</v>
      </c>
      <c r="M28" s="243">
        <f>$E28*'11a. AF by class'!M24/'11a. AF by class'!$E24</f>
        <v>3.5210503797974022</v>
      </c>
      <c r="N28" s="244">
        <f>$E28*'11a. AF by class'!N24/'11a. AF by class'!$E24</f>
        <v>151.68502800657717</v>
      </c>
      <c r="P28" s="32">
        <f>SUM(F28:O28)</f>
        <v>57932.745435065466</v>
      </c>
      <c r="Q28" s="32">
        <f>E28-P28</f>
        <v>0</v>
      </c>
    </row>
    <row r="29" spans="1:17" x14ac:dyDescent="0.3">
      <c r="A29" s="157"/>
      <c r="B29" s="35" t="s">
        <v>931</v>
      </c>
      <c r="C29" s="35"/>
      <c r="D29" s="35"/>
      <c r="E29" s="580">
        <f>-'9b. Summary Schedules-sf'!Q206</f>
        <v>21989.367079307111</v>
      </c>
      <c r="F29" s="580">
        <f>$E29*'11a. AF by class'!F25/'11a. AF by class'!$E25</f>
        <v>10649.859942561608</v>
      </c>
      <c r="G29" s="580">
        <f>$E29*'11a. AF by class'!G25/'11a. AF by class'!$E25</f>
        <v>3675.6364531529161</v>
      </c>
      <c r="H29" s="580">
        <f>$E29*'11a. AF by class'!H25/'11a. AF by class'!$E25</f>
        <v>4238.8635435356291</v>
      </c>
      <c r="I29" s="580">
        <f>$E29*'11a. AF by class'!I25/'11a. AF by class'!$E25</f>
        <v>2273.6571049402378</v>
      </c>
      <c r="J29" s="580">
        <f>$E29*'11a. AF by class'!J25/'11a. AF by class'!$E25</f>
        <v>803.47819537108887</v>
      </c>
      <c r="K29" s="580">
        <f>$E29*'11a. AF by class'!K25/'11a. AF by class'!$E25</f>
        <v>272.13633472715327</v>
      </c>
      <c r="L29" s="580">
        <f>$E29*'11a. AF by class'!L25/'11a. AF by class'!$E25</f>
        <v>0</v>
      </c>
      <c r="M29" s="580">
        <f>$E29*'11a. AF by class'!M25/'11a. AF by class'!$E25</f>
        <v>1.7181577647082098</v>
      </c>
      <c r="N29" s="600">
        <f>$E29*'11a. AF by class'!N25/'11a. AF by class'!$E25</f>
        <v>74.017347253769941</v>
      </c>
      <c r="P29" s="32">
        <f>SUM(F29:O29)</f>
        <v>21989.367079307114</v>
      </c>
      <c r="Q29" s="32">
        <f>E29-P29</f>
        <v>0</v>
      </c>
    </row>
    <row r="30" spans="1:17" x14ac:dyDescent="0.3">
      <c r="A30" s="157"/>
      <c r="B30" s="35" t="s">
        <v>977</v>
      </c>
      <c r="C30" s="35"/>
      <c r="D30" s="35"/>
      <c r="E30" s="243">
        <f t="shared" ref="E30:N30" si="3">SUM(E26:E29)</f>
        <v>555715.8211110367</v>
      </c>
      <c r="F30" s="243">
        <f t="shared" si="3"/>
        <v>233818.73099477455</v>
      </c>
      <c r="G30" s="243">
        <f t="shared" si="3"/>
        <v>72307.930757079128</v>
      </c>
      <c r="H30" s="243">
        <f t="shared" si="3"/>
        <v>114350.22571543141</v>
      </c>
      <c r="I30" s="243">
        <f t="shared" si="3"/>
        <v>65620.133609918863</v>
      </c>
      <c r="J30" s="243">
        <f t="shared" si="3"/>
        <v>26671.414663574687</v>
      </c>
      <c r="K30" s="243">
        <f t="shared" si="3"/>
        <v>36352.900870444952</v>
      </c>
      <c r="L30" s="243">
        <f t="shared" si="3"/>
        <v>4248.7053975799372</v>
      </c>
      <c r="M30" s="243">
        <f t="shared" si="3"/>
        <v>53.217029157050376</v>
      </c>
      <c r="N30" s="244">
        <f t="shared" si="3"/>
        <v>2292.5620730761852</v>
      </c>
      <c r="P30" s="32">
        <f>SUM(F30:O30)</f>
        <v>555715.8211110367</v>
      </c>
      <c r="Q30" s="32">
        <f>E30-P30</f>
        <v>0</v>
      </c>
    </row>
    <row r="31" spans="1:17" x14ac:dyDescent="0.3">
      <c r="A31" s="157"/>
      <c r="B31" s="35"/>
      <c r="C31" s="35"/>
      <c r="D31" s="35"/>
      <c r="E31" s="243"/>
      <c r="F31" s="243"/>
      <c r="G31" s="243"/>
      <c r="H31" s="243"/>
      <c r="I31" s="243"/>
      <c r="J31" s="243"/>
      <c r="K31" s="243"/>
      <c r="L31" s="243"/>
      <c r="M31" s="243"/>
      <c r="N31" s="244"/>
    </row>
    <row r="32" spans="1:17" x14ac:dyDescent="0.3">
      <c r="A32" s="157"/>
      <c r="B32" s="35" t="s">
        <v>978</v>
      </c>
      <c r="C32" s="35"/>
      <c r="D32" s="35"/>
      <c r="E32" s="243"/>
      <c r="F32" s="243"/>
      <c r="G32" s="243"/>
      <c r="H32" s="243"/>
      <c r="I32" s="243"/>
      <c r="J32" s="243"/>
      <c r="K32" s="243"/>
      <c r="L32" s="243"/>
      <c r="M32" s="243"/>
      <c r="N32" s="244"/>
    </row>
    <row r="33" spans="1:17" x14ac:dyDescent="0.3">
      <c r="A33" s="157"/>
      <c r="B33" s="35" t="s">
        <v>975</v>
      </c>
      <c r="C33" s="35"/>
      <c r="D33" s="35"/>
      <c r="E33" s="243">
        <f>-'9b. Summary Schedules-sf'!R206</f>
        <v>6782985.5569821028</v>
      </c>
      <c r="F33" s="243">
        <f>$E33*'11a. AF by class'!F29/'11a. AF by class'!$E29</f>
        <v>4864822.729416755</v>
      </c>
      <c r="G33" s="243">
        <f>$E33*'11a. AF by class'!G29/'11a. AF by class'!$E29</f>
        <v>1196420.3471512597</v>
      </c>
      <c r="H33" s="243">
        <f>$E33*'11a. AF by class'!H29/'11a. AF by class'!$E29</f>
        <v>637521.32232846622</v>
      </c>
      <c r="I33" s="243">
        <f>$E33*'11a. AF by class'!I29/'11a. AF by class'!$E29</f>
        <v>17349.660672518054</v>
      </c>
      <c r="J33" s="243">
        <f>$E33*'11a. AF by class'!J29/'11a. AF by class'!$E29</f>
        <v>1531.6031981624567</v>
      </c>
      <c r="K33" s="243">
        <f>$E33*'11a. AF by class'!K29/'11a. AF by class'!$E29</f>
        <v>331.84735960186566</v>
      </c>
      <c r="L33" s="243">
        <f>$E33*'11a. AF by class'!L29/'11a. AF by class'!$E29</f>
        <v>17.017813312916186</v>
      </c>
      <c r="M33" s="243">
        <f>$E33*'11a. AF by class'!M29/'11a. AF by class'!$E29</f>
        <v>15409.629954845606</v>
      </c>
      <c r="N33" s="244">
        <f>$E33*'11a. AF by class'!N29/'11a. AF by class'!$E29</f>
        <v>49581.399087181308</v>
      </c>
      <c r="P33" s="32">
        <f t="shared" ref="P33:P39" si="4">SUM(F33:O33)</f>
        <v>6782985.5569821028</v>
      </c>
      <c r="Q33" s="32">
        <f t="shared" ref="Q33:Q39" si="5">E33-P33</f>
        <v>0</v>
      </c>
    </row>
    <row r="34" spans="1:17" x14ac:dyDescent="0.3">
      <c r="A34" s="157"/>
      <c r="B34" s="35" t="s">
        <v>976</v>
      </c>
      <c r="C34" s="35"/>
      <c r="D34" s="35"/>
      <c r="E34" s="243">
        <f>-'9b. Summary Schedules-sf'!S206</f>
        <v>37655.744263635963</v>
      </c>
      <c r="F34" s="243">
        <f>$E34*'11a. AF by class'!F30/'11a. AF by class'!$E30</f>
        <v>27010.011134548498</v>
      </c>
      <c r="G34" s="243">
        <f>$E34*'11a. AF by class'!G30/'11a. AF by class'!$E30</f>
        <v>6642.6525066886043</v>
      </c>
      <c r="H34" s="243">
        <f>$E34*'11a. AF by class'!H30/'11a. AF by class'!$E30</f>
        <v>3539.5859155320964</v>
      </c>
      <c r="I34" s="243">
        <f>$E34*'11a. AF by class'!I30/'11a. AF by class'!$E30</f>
        <v>94.437459894675399</v>
      </c>
      <c r="J34" s="243">
        <f>$E34*'11a. AF by class'!J30/'11a. AF by class'!$E30</f>
        <v>7.7005032330325616</v>
      </c>
      <c r="K34" s="243">
        <f>$E34*'11a. AF by class'!K30/'11a. AF by class'!$E30</f>
        <v>0.51966586235189072</v>
      </c>
      <c r="L34" s="243">
        <f>$E34*'11a. AF by class'!L30/'11a. AF by class'!$E30</f>
        <v>0</v>
      </c>
      <c r="M34" s="243">
        <f>$E34*'11a. AF by class'!M30/'11a. AF by class'!$E30</f>
        <v>85.555897883570353</v>
      </c>
      <c r="N34" s="244">
        <f>$E34*'11a. AF by class'!N30/'11a. AF by class'!$E30</f>
        <v>275.28117999313338</v>
      </c>
      <c r="P34" s="32">
        <f t="shared" si="4"/>
        <v>37655.744263635963</v>
      </c>
      <c r="Q34" s="32">
        <f t="shared" si="5"/>
        <v>0</v>
      </c>
    </row>
    <row r="35" spans="1:17" x14ac:dyDescent="0.3">
      <c r="A35" s="157"/>
      <c r="B35" s="35" t="s">
        <v>931</v>
      </c>
      <c r="C35" s="35"/>
      <c r="D35" s="35"/>
      <c r="E35" s="243">
        <f>-'9b. Summary Schedules-sf'!T206</f>
        <v>24037.633438386056</v>
      </c>
      <c r="F35" s="243">
        <f>$E35*'11a. AF by class'!F31/'11a. AF by class'!$E31</f>
        <v>17241.90450926734</v>
      </c>
      <c r="G35" s="243">
        <f>$E35*'11a. AF by class'!G31/'11a. AF by class'!$E31</f>
        <v>4240.352943137902</v>
      </c>
      <c r="H35" s="243">
        <f>$E35*'11a. AF by class'!H31/'11a. AF by class'!$E31</f>
        <v>2259.5030432952904</v>
      </c>
      <c r="I35" s="243">
        <f>$E35*'11a. AF by class'!I31/'11a. AF by class'!$E31</f>
        <v>60.284375948258045</v>
      </c>
      <c r="J35" s="243">
        <f>$E35*'11a. AF by class'!J31/'11a. AF by class'!$E31</f>
        <v>4.915634457011536</v>
      </c>
      <c r="K35" s="243">
        <f>$E35*'11a. AF by class'!K31/'11a. AF by class'!$E31</f>
        <v>0.3317299326817601</v>
      </c>
      <c r="L35" s="243">
        <f>$E35*'11a. AF by class'!L31/'11a. AF by class'!$E31</f>
        <v>0</v>
      </c>
      <c r="M35" s="243">
        <f>$E35*'11a. AF by class'!M31/'11a. AF by class'!$E31</f>
        <v>54.614809826060686</v>
      </c>
      <c r="N35" s="244">
        <f>$E35*'11a. AF by class'!N31/'11a. AF by class'!$E31</f>
        <v>175.72639252151055</v>
      </c>
      <c r="P35" s="32">
        <f t="shared" si="4"/>
        <v>24037.633438386056</v>
      </c>
      <c r="Q35" s="32">
        <f t="shared" si="5"/>
        <v>0</v>
      </c>
    </row>
    <row r="36" spans="1:17" x14ac:dyDescent="0.3">
      <c r="A36" s="157"/>
      <c r="B36" s="35" t="s">
        <v>456</v>
      </c>
      <c r="C36" s="35"/>
      <c r="D36" s="35"/>
      <c r="E36" s="243">
        <f>-'9b. Summary Schedules-sf'!U206</f>
        <v>9584.0005951105049</v>
      </c>
      <c r="F36" s="243">
        <f>$E36*'11a. AF by class'!F32/'11a. AF by class'!$E32</f>
        <v>5232.0033581938533</v>
      </c>
      <c r="G36" s="243">
        <f>$E36*'11a. AF by class'!G32/'11a. AF by class'!$E32</f>
        <v>1286.722173092897</v>
      </c>
      <c r="H36" s="243">
        <f>$E36*'11a. AF by class'!H32/'11a. AF by class'!$E32</f>
        <v>2056.9179299217444</v>
      </c>
      <c r="I36" s="243">
        <f>$E36*'11a. AF by class'!I32/'11a. AF by class'!$E32</f>
        <v>914.65550466996945</v>
      </c>
      <c r="J36" s="243">
        <f>$E36*'11a. AF by class'!J32/'11a. AF by class'!$E32</f>
        <v>74.58171448784644</v>
      </c>
      <c r="K36" s="243">
        <f>$E36*'11a. AF by class'!K32/'11a. AF by class'!$E32</f>
        <v>5.0331218366031329</v>
      </c>
      <c r="L36" s="243">
        <f>$E36*'11a. AF by class'!L32/'11a. AF by class'!$E32</f>
        <v>0</v>
      </c>
      <c r="M36" s="243">
        <f>$E36*'11a. AF by class'!M32/'11a. AF by class'!$E32</f>
        <v>14.08679290759097</v>
      </c>
      <c r="N36" s="244">
        <f>$E36*'11a. AF by class'!N32/'11a. AF by class'!$E32</f>
        <v>0</v>
      </c>
      <c r="P36" s="32">
        <f t="shared" si="4"/>
        <v>9584.0005951105013</v>
      </c>
      <c r="Q36" s="32">
        <f t="shared" si="5"/>
        <v>0</v>
      </c>
    </row>
    <row r="37" spans="1:17" x14ac:dyDescent="0.3">
      <c r="A37" s="157"/>
      <c r="B37" s="35" t="s">
        <v>932</v>
      </c>
      <c r="C37" s="35"/>
      <c r="D37" s="35"/>
      <c r="E37" s="243">
        <f>-'9b. Summary Schedules-sf'!V206</f>
        <v>24596.971438306799</v>
      </c>
      <c r="F37" s="243">
        <f>$E37*'11a. AF by class'!F33/'11a. AF by class'!$E33</f>
        <v>0</v>
      </c>
      <c r="G37" s="243">
        <f>$E37*'11a. AF by class'!G33/'11a. AF by class'!$E33</f>
        <v>0</v>
      </c>
      <c r="H37" s="243">
        <f>$E37*'11a. AF by class'!H33/'11a. AF by class'!$E33</f>
        <v>0</v>
      </c>
      <c r="I37" s="243">
        <f>$E37*'11a. AF by class'!I33/'11a. AF by class'!$E33</f>
        <v>0</v>
      </c>
      <c r="J37" s="243">
        <f>$E37*'11a. AF by class'!J33/'11a. AF by class'!$E33</f>
        <v>0</v>
      </c>
      <c r="K37" s="243">
        <f>$E37*'11a. AF by class'!K33/'11a. AF by class'!$E33</f>
        <v>0</v>
      </c>
      <c r="L37" s="243">
        <f>$E37*'11a. AF by class'!L33/'11a. AF by class'!$E33</f>
        <v>0</v>
      </c>
      <c r="M37" s="243">
        <f>$E37*'11a. AF by class'!M33/'11a. AF by class'!$E33</f>
        <v>0</v>
      </c>
      <c r="N37" s="244">
        <f>$E37*'11a. AF by class'!N33/'11a. AF by class'!$E33</f>
        <v>24596.971438306799</v>
      </c>
      <c r="P37" s="32">
        <f t="shared" si="4"/>
        <v>24596.971438306799</v>
      </c>
      <c r="Q37" s="32">
        <f t="shared" si="5"/>
        <v>0</v>
      </c>
    </row>
    <row r="38" spans="1:17" x14ac:dyDescent="0.3">
      <c r="A38" s="157"/>
      <c r="B38" s="35" t="s">
        <v>1013</v>
      </c>
      <c r="C38" s="35"/>
      <c r="D38" s="35"/>
      <c r="E38" s="580">
        <f>-'9b. Summary Schedules-sf'!W206</f>
        <v>1840.036049861596</v>
      </c>
      <c r="F38" s="580">
        <f>$E38*'11a. AF by class'!F34/'11a. AF by class'!$E34</f>
        <v>641.53505874215341</v>
      </c>
      <c r="G38" s="580">
        <f>$E38*'11a. AF by class'!G34/'11a. AF by class'!$E34</f>
        <v>172.14939182637235</v>
      </c>
      <c r="H38" s="580">
        <f>$E38*'11a. AF by class'!H34/'11a. AF by class'!$E34</f>
        <v>418.42640988502444</v>
      </c>
      <c r="I38" s="580">
        <f>$E38*'11a. AF by class'!I34/'11a. AF by class'!$E34</f>
        <v>271.51838638316599</v>
      </c>
      <c r="J38" s="580">
        <f>$E38*'11a. AF by class'!J34/'11a. AF by class'!$E34</f>
        <v>130.96971940433156</v>
      </c>
      <c r="K38" s="580">
        <f>$E38*'11a. AF by class'!K34/'11a. AF by class'!$E34</f>
        <v>205.43708362054826</v>
      </c>
      <c r="L38" s="580">
        <f>$E38*'11a. AF by class'!L34/'11a. AF by class'!$E34</f>
        <v>0</v>
      </c>
      <c r="M38" s="580">
        <f>$E38*'11a. AF by class'!M34/'11a. AF by class'!$E34</f>
        <v>0</v>
      </c>
      <c r="N38" s="600">
        <f>$E38*'11a. AF by class'!N34/'11a. AF by class'!$E34</f>
        <v>0</v>
      </c>
      <c r="P38" s="32">
        <f t="shared" si="4"/>
        <v>1840.036049861596</v>
      </c>
      <c r="Q38" s="32">
        <f t="shared" si="5"/>
        <v>0</v>
      </c>
    </row>
    <row r="39" spans="1:17" x14ac:dyDescent="0.3">
      <c r="A39" s="157"/>
      <c r="B39" s="35" t="s">
        <v>979</v>
      </c>
      <c r="C39" s="35"/>
      <c r="D39" s="35"/>
      <c r="E39" s="243">
        <f t="shared" ref="E39:N39" si="6">SUM(E33:E38)</f>
        <v>6880699.9427674031</v>
      </c>
      <c r="F39" s="243">
        <f t="shared" si="6"/>
        <v>4914948.183477507</v>
      </c>
      <c r="G39" s="243">
        <f t="shared" si="6"/>
        <v>1208762.2241660056</v>
      </c>
      <c r="H39" s="243">
        <f t="shared" si="6"/>
        <v>645795.75562710036</v>
      </c>
      <c r="I39" s="243">
        <f t="shared" si="6"/>
        <v>18690.556399414119</v>
      </c>
      <c r="J39" s="243">
        <f t="shared" si="6"/>
        <v>1749.7707697446788</v>
      </c>
      <c r="K39" s="243">
        <f t="shared" si="6"/>
        <v>543.16896085405074</v>
      </c>
      <c r="L39" s="243">
        <f t="shared" si="6"/>
        <v>17.017813312916186</v>
      </c>
      <c r="M39" s="243">
        <f t="shared" si="6"/>
        <v>15563.887455462827</v>
      </c>
      <c r="N39" s="244">
        <f t="shared" si="6"/>
        <v>74629.378098002751</v>
      </c>
      <c r="P39" s="32">
        <f t="shared" si="4"/>
        <v>6880699.942767405</v>
      </c>
      <c r="Q39" s="32">
        <f t="shared" si="5"/>
        <v>0</v>
      </c>
    </row>
    <row r="40" spans="1:17" x14ac:dyDescent="0.3">
      <c r="A40" s="157"/>
      <c r="B40" s="35"/>
      <c r="C40" s="35"/>
      <c r="D40" s="35"/>
      <c r="E40" s="243"/>
      <c r="F40" s="243"/>
      <c r="G40" s="243"/>
      <c r="H40" s="243"/>
      <c r="I40" s="243"/>
      <c r="J40" s="243"/>
      <c r="K40" s="243"/>
      <c r="L40" s="243"/>
      <c r="M40" s="243"/>
      <c r="N40" s="244"/>
    </row>
    <row r="41" spans="1:17" x14ac:dyDescent="0.3">
      <c r="A41" s="157"/>
      <c r="B41" s="35" t="s">
        <v>543</v>
      </c>
      <c r="C41" s="35"/>
      <c r="D41" s="35"/>
      <c r="E41" s="243">
        <f t="shared" ref="E41:N41" si="7">SUM(E30,E39)</f>
        <v>7436415.7638784396</v>
      </c>
      <c r="F41" s="243">
        <f t="shared" si="7"/>
        <v>5148766.9144722819</v>
      </c>
      <c r="G41" s="243">
        <f t="shared" si="7"/>
        <v>1281070.1549230847</v>
      </c>
      <c r="H41" s="243">
        <f t="shared" si="7"/>
        <v>760145.98134253174</v>
      </c>
      <c r="I41" s="243">
        <f t="shared" si="7"/>
        <v>84310.69000933299</v>
      </c>
      <c r="J41" s="243">
        <f t="shared" si="7"/>
        <v>28421.185433319366</v>
      </c>
      <c r="K41" s="243">
        <f t="shared" si="7"/>
        <v>36896.069831298999</v>
      </c>
      <c r="L41" s="243">
        <f t="shared" si="7"/>
        <v>4265.7232108928538</v>
      </c>
      <c r="M41" s="243">
        <f t="shared" si="7"/>
        <v>15617.104484619878</v>
      </c>
      <c r="N41" s="244">
        <f t="shared" si="7"/>
        <v>76921.940171078939</v>
      </c>
      <c r="P41" s="32">
        <f>SUM(F41:O41)</f>
        <v>7436415.7638784414</v>
      </c>
      <c r="Q41" s="32">
        <f>E41-P41</f>
        <v>0</v>
      </c>
    </row>
    <row r="42" spans="1:17" x14ac:dyDescent="0.3">
      <c r="A42" s="157"/>
      <c r="B42" s="35"/>
      <c r="C42" s="35"/>
      <c r="D42" s="35"/>
      <c r="E42" s="243"/>
      <c r="F42" s="243"/>
      <c r="G42" s="243"/>
      <c r="H42" s="243"/>
      <c r="I42" s="243"/>
      <c r="J42" s="243"/>
      <c r="K42" s="243"/>
      <c r="L42" s="243"/>
      <c r="M42" s="243"/>
      <c r="N42" s="244"/>
    </row>
    <row r="43" spans="1:17" x14ac:dyDescent="0.3">
      <c r="A43" s="157" t="s">
        <v>907</v>
      </c>
      <c r="B43" s="35"/>
      <c r="C43" s="35"/>
      <c r="D43" s="35"/>
      <c r="E43" s="243"/>
      <c r="F43" s="243"/>
      <c r="G43" s="243"/>
      <c r="H43" s="243"/>
      <c r="I43" s="243"/>
      <c r="J43" s="243"/>
      <c r="K43" s="243"/>
      <c r="L43" s="243"/>
      <c r="M43" s="243"/>
      <c r="N43" s="244"/>
    </row>
    <row r="44" spans="1:17" x14ac:dyDescent="0.3">
      <c r="A44" s="157"/>
      <c r="B44" s="35" t="s">
        <v>907</v>
      </c>
      <c r="C44" s="35"/>
      <c r="D44" s="35"/>
      <c r="E44" s="243">
        <f>-'9b. Summary Schedules-sf'!Y206</f>
        <v>348725.44591267267</v>
      </c>
      <c r="F44" s="243">
        <f>$E44*'11a. AF by class'!F40/'11a. AF by class'!$E40</f>
        <v>185262.4335927112</v>
      </c>
      <c r="G44" s="243">
        <f>$E44*'11a. AF by class'!G40/'11a. AF by class'!$E40</f>
        <v>44905.253522133462</v>
      </c>
      <c r="H44" s="243">
        <f>$E44*'11a. AF by class'!H40/'11a. AF by class'!$E40</f>
        <v>97501.64118027738</v>
      </c>
      <c r="I44" s="243">
        <f>$E44*'11a. AF by class'!I40/'11a. AF by class'!$E40</f>
        <v>15274.26986343355</v>
      </c>
      <c r="J44" s="243">
        <f>$E44*'11a. AF by class'!J40/'11a. AF by class'!$E40</f>
        <v>1357.7337167709152</v>
      </c>
      <c r="K44" s="243">
        <f>$E44*'11a. AF by class'!K40/'11a. AF by class'!$E40</f>
        <v>3392.0555293687007</v>
      </c>
      <c r="L44" s="243">
        <f>$E44*'11a. AF by class'!L40/'11a. AF by class'!$E40</f>
        <v>411.25260504848825</v>
      </c>
      <c r="M44" s="243">
        <f>$E44*'11a. AF by class'!M40/'11a. AF by class'!$E40</f>
        <v>620.80590292893351</v>
      </c>
      <c r="N44" s="244">
        <f>$E44*'11a. AF by class'!N40/'11a. AF by class'!$E40</f>
        <v>0</v>
      </c>
      <c r="P44" s="32">
        <f>SUM(F44:O44)</f>
        <v>348725.44591267256</v>
      </c>
      <c r="Q44" s="32">
        <f>E44-P44</f>
        <v>0</v>
      </c>
    </row>
    <row r="45" spans="1:17" x14ac:dyDescent="0.3">
      <c r="A45" s="157"/>
      <c r="B45" s="35" t="s">
        <v>996</v>
      </c>
      <c r="C45" s="35"/>
      <c r="D45" s="35"/>
      <c r="E45" s="580">
        <f>-'9b. Summary Schedules-sf'!Z206</f>
        <v>66413.904370362114</v>
      </c>
      <c r="F45" s="580">
        <f>$E45*'11a. AF by class'!F41/'11a. AF by class'!$E41</f>
        <v>42840.080864125899</v>
      </c>
      <c r="G45" s="580">
        <f>$E45*'11a. AF by class'!G41/'11a. AF by class'!$E41</f>
        <v>10535.788716311659</v>
      </c>
      <c r="H45" s="580">
        <f>$E45*'11a. AF by class'!H41/'11a. AF by class'!$E41</f>
        <v>11228.143971622309</v>
      </c>
      <c r="I45" s="580">
        <f>$E45*'11a. AF by class'!I41/'11a. AF by class'!$E41</f>
        <v>1527.8272354744734</v>
      </c>
      <c r="J45" s="580">
        <f>$E45*'11a. AF by class'!J41/'11a. AF by class'!$E41</f>
        <v>134.87440038519136</v>
      </c>
      <c r="K45" s="580">
        <f>$E45*'11a. AF by class'!K41/'11a. AF by class'!$E41</f>
        <v>29.222786750124794</v>
      </c>
      <c r="L45" s="580">
        <f>$E45*'11a. AF by class'!L41/'11a. AF by class'!$E41</f>
        <v>2.6225577852676101</v>
      </c>
      <c r="M45" s="580">
        <f>$E45*'11a. AF by class'!M41/'11a. AF by class'!$E41</f>
        <v>115.34383790719129</v>
      </c>
      <c r="N45" s="600">
        <f>$E45*'11a. AF by class'!N41/'11a. AF by class'!$E41</f>
        <v>0</v>
      </c>
      <c r="P45" s="32">
        <f>SUM(F45:O45)</f>
        <v>66413.904370362114</v>
      </c>
      <c r="Q45" s="32">
        <f>E45-P45</f>
        <v>0</v>
      </c>
    </row>
    <row r="46" spans="1:17" x14ac:dyDescent="0.3">
      <c r="A46" s="157"/>
      <c r="B46" s="35" t="s">
        <v>997</v>
      </c>
      <c r="C46" s="35"/>
      <c r="D46" s="35"/>
      <c r="E46" s="243">
        <f>E44+E45</f>
        <v>415139.35028303479</v>
      </c>
      <c r="F46" s="243">
        <f t="shared" ref="F46:N46" si="8">SUM(F44:F45)</f>
        <v>228102.51445683709</v>
      </c>
      <c r="G46" s="243">
        <f t="shared" si="8"/>
        <v>55441.042238445123</v>
      </c>
      <c r="H46" s="243">
        <f t="shared" si="8"/>
        <v>108729.78515189969</v>
      </c>
      <c r="I46" s="243">
        <f t="shared" si="8"/>
        <v>16802.097098908023</v>
      </c>
      <c r="J46" s="243">
        <f t="shared" si="8"/>
        <v>1492.6081171561066</v>
      </c>
      <c r="K46" s="243">
        <f t="shared" si="8"/>
        <v>3421.2783161188254</v>
      </c>
      <c r="L46" s="243">
        <f t="shared" si="8"/>
        <v>413.87516283375584</v>
      </c>
      <c r="M46" s="243">
        <f t="shared" si="8"/>
        <v>736.14974083612481</v>
      </c>
      <c r="N46" s="244">
        <f t="shared" si="8"/>
        <v>0</v>
      </c>
      <c r="P46" s="32">
        <f>SUM(F46:O46)</f>
        <v>415139.35028303473</v>
      </c>
      <c r="Q46" s="32">
        <f>E46-P46</f>
        <v>0</v>
      </c>
    </row>
    <row r="47" spans="1:17" x14ac:dyDescent="0.3">
      <c r="A47" s="157"/>
      <c r="B47" s="35"/>
      <c r="C47" s="35"/>
      <c r="D47" s="35"/>
      <c r="E47" s="243"/>
      <c r="F47" s="243"/>
      <c r="G47" s="243"/>
      <c r="H47" s="243"/>
      <c r="I47" s="243"/>
      <c r="J47" s="243"/>
      <c r="K47" s="243"/>
      <c r="L47" s="243"/>
      <c r="M47" s="243"/>
      <c r="N47" s="244"/>
    </row>
    <row r="48" spans="1:17" x14ac:dyDescent="0.3">
      <c r="A48" s="157" t="s">
        <v>84</v>
      </c>
      <c r="B48" s="35"/>
      <c r="C48" s="35"/>
      <c r="D48" s="35"/>
      <c r="E48" s="243">
        <f>-'9b. Summary Schedules-sf'!AA206</f>
        <v>4208062.3516622186</v>
      </c>
      <c r="F48" s="243">
        <f>$E48*'11a. AF by class'!F44/'11a. AF by class'!$E44</f>
        <v>2524830.7426846372</v>
      </c>
      <c r="G48" s="243">
        <f>$E48*'11a. AF by class'!G44/'11a. AF by class'!$E44</f>
        <v>620939.14653763466</v>
      </c>
      <c r="H48" s="243">
        <f>$E48*'11a. AF by class'!H44/'11a. AF by class'!$E44</f>
        <v>992615.88135495293</v>
      </c>
      <c r="I48" s="243">
        <f>$E48*'11a. AF by class'!I44/'11a. AF by class'!$E44</f>
        <v>45022.150937010592</v>
      </c>
      <c r="J48" s="243">
        <f>$E48*'11a. AF by class'!J44/'11a. AF by class'!$E44</f>
        <v>3974.4910096429162</v>
      </c>
      <c r="K48" s="243">
        <f>$E48*'11a. AF by class'!K44/'11a. AF by class'!$E44</f>
        <v>861.1397187559653</v>
      </c>
      <c r="L48" s="243">
        <f>$E48*'11a. AF by class'!L44/'11a. AF by class'!$E44</f>
        <v>154.56353926389119</v>
      </c>
      <c r="M48" s="243">
        <f>$E48*'11a. AF by class'!M44/'11a. AF by class'!$E44</f>
        <v>6797.9252618820256</v>
      </c>
      <c r="N48" s="244">
        <f>$E48*'11a. AF by class'!N44/'11a. AF by class'!$E44</f>
        <v>12866.310618438485</v>
      </c>
      <c r="P48" s="32">
        <f>SUM(F48:O48)</f>
        <v>4208062.3516622186</v>
      </c>
      <c r="Q48" s="32">
        <f>E48-P48</f>
        <v>0</v>
      </c>
    </row>
    <row r="49" spans="1:17" x14ac:dyDescent="0.3">
      <c r="A49" s="157"/>
      <c r="B49" s="35"/>
      <c r="C49" s="35"/>
      <c r="D49" s="35"/>
      <c r="E49" s="243"/>
      <c r="F49" s="243"/>
      <c r="G49" s="243"/>
      <c r="H49" s="243"/>
      <c r="I49" s="243"/>
      <c r="J49" s="243"/>
      <c r="K49" s="243"/>
      <c r="L49" s="243"/>
      <c r="M49" s="243"/>
      <c r="N49" s="244"/>
    </row>
    <row r="50" spans="1:17" x14ac:dyDescent="0.3">
      <c r="A50" s="157" t="s">
        <v>82</v>
      </c>
      <c r="B50" s="35"/>
      <c r="C50" s="35"/>
      <c r="D50" s="35"/>
      <c r="E50" s="243"/>
      <c r="F50" s="243"/>
      <c r="G50" s="243"/>
      <c r="H50" s="243"/>
      <c r="I50" s="243"/>
      <c r="J50" s="243"/>
      <c r="K50" s="243"/>
      <c r="L50" s="243"/>
      <c r="M50" s="243"/>
      <c r="N50" s="244"/>
    </row>
    <row r="51" spans="1:17" x14ac:dyDescent="0.3">
      <c r="A51" s="157"/>
      <c r="B51" s="35" t="s">
        <v>81</v>
      </c>
      <c r="C51" s="35"/>
      <c r="D51" s="35"/>
      <c r="E51" s="243">
        <f>-'9b. Summary Schedules-sf'!AC206</f>
        <v>202809.12224107143</v>
      </c>
      <c r="F51" s="243">
        <f>$E51*'11a. AF by class'!F47/'11a. AF by class'!$E47</f>
        <v>145989.31184683813</v>
      </c>
      <c r="G51" s="243">
        <f>$E51*'11a. AF by class'!G47/'11a. AF by class'!$E47</f>
        <v>35903.586394628634</v>
      </c>
      <c r="H51" s="243">
        <f>$E51*'11a. AF by class'!H47/'11a. AF by class'!$E47</f>
        <v>19131.488301029502</v>
      </c>
      <c r="I51" s="243">
        <f>$E51*'11a. AF by class'!I47/'11a. AF by class'!$E47</f>
        <v>520.64898625005537</v>
      </c>
      <c r="J51" s="243">
        <f>$E51*'11a. AF by class'!J47/'11a. AF by class'!$E47</f>
        <v>45.96214689799411</v>
      </c>
      <c r="K51" s="243">
        <f>$E51*'11a. AF by class'!K47/'11a. AF by class'!$E47</f>
        <v>9.9584651612320556</v>
      </c>
      <c r="L51" s="243">
        <f>$E51*'11a. AF by class'!L47/'11a. AF by class'!$E47</f>
        <v>1.7874168238108818</v>
      </c>
      <c r="M51" s="243">
        <f>$E51*'11a. AF by class'!M47/'11a. AF by class'!$E47</f>
        <v>462.43026684592951</v>
      </c>
      <c r="N51" s="244">
        <f>$E51*'11a. AF by class'!N47/'11a. AF by class'!$E47</f>
        <v>743.94841659614349</v>
      </c>
      <c r="P51" s="32">
        <f>SUM(F51:O51)</f>
        <v>202809.12224107145</v>
      </c>
      <c r="Q51" s="32">
        <f>E51-P51</f>
        <v>0</v>
      </c>
    </row>
    <row r="52" spans="1:17" x14ac:dyDescent="0.3">
      <c r="A52" s="157"/>
      <c r="B52" s="35" t="s">
        <v>1007</v>
      </c>
      <c r="C52" s="35"/>
      <c r="D52" s="35"/>
      <c r="E52" s="243">
        <f>-'9b. Summary Schedules-sf'!AD206</f>
        <v>20694.167805387904</v>
      </c>
      <c r="F52" s="243">
        <f>$E52*'11a. AF by class'!F48/'11a. AF by class'!$E48</f>
        <v>7183.4651028477756</v>
      </c>
      <c r="G52" s="243">
        <f>$E52*'11a. AF by class'!G48/'11a. AF by class'!$E48</f>
        <v>1927.6096166682635</v>
      </c>
      <c r="H52" s="243">
        <f>$E52*'11a. AF by class'!H48/'11a. AF by class'!$E48</f>
        <v>4685.2490328623317</v>
      </c>
      <c r="I52" s="243">
        <f>$E52*'11a. AF by class'!I48/'11a. AF by class'!$E48</f>
        <v>3040.2747703129608</v>
      </c>
      <c r="J52" s="243">
        <f>$E52*'11a. AF by class'!J48/'11a. AF by class'!$E48</f>
        <v>1466.5081760542025</v>
      </c>
      <c r="K52" s="243">
        <f>$E52*'11a. AF by class'!K48/'11a. AF by class'!$E48</f>
        <v>2300.3421261380581</v>
      </c>
      <c r="L52" s="243">
        <f>$E52*'11a. AF by class'!L48/'11a. AF by class'!$E48</f>
        <v>0</v>
      </c>
      <c r="M52" s="243">
        <f>$E52*'11a. AF by class'!M48/'11a. AF by class'!$E48</f>
        <v>4.1324444200678707</v>
      </c>
      <c r="N52" s="244">
        <f>$E52*'11a. AF by class'!N48/'11a. AF by class'!$E48</f>
        <v>86.586536084244329</v>
      </c>
      <c r="P52" s="32">
        <f>SUM(F52:O52)</f>
        <v>20694.167805387904</v>
      </c>
      <c r="Q52" s="32">
        <f>E52-P52</f>
        <v>0</v>
      </c>
    </row>
    <row r="53" spans="1:17" x14ac:dyDescent="0.3">
      <c r="A53" s="157"/>
      <c r="B53" s="35" t="s">
        <v>1008</v>
      </c>
      <c r="C53" s="35"/>
      <c r="D53" s="35"/>
      <c r="E53" s="580">
        <f>-'9b. Summary Schedules-sf'!AE206</f>
        <v>0</v>
      </c>
      <c r="F53" s="580">
        <f>$E53*'11a. AF by class'!F49/'11a. AF by class'!$E49</f>
        <v>0</v>
      </c>
      <c r="G53" s="580">
        <f>$E53*'11a. AF by class'!G49/'11a. AF by class'!$E49</f>
        <v>0</v>
      </c>
      <c r="H53" s="580">
        <f>$E53*'11a. AF by class'!H49/'11a. AF by class'!$E49</f>
        <v>0</v>
      </c>
      <c r="I53" s="580">
        <f>$E53*'11a. AF by class'!I49/'11a. AF by class'!$E49</f>
        <v>0</v>
      </c>
      <c r="J53" s="580">
        <f>$E53*'11a. AF by class'!J49/'11a. AF by class'!$E49</f>
        <v>0</v>
      </c>
      <c r="K53" s="580">
        <f>$E53*'11a. AF by class'!K49/'11a. AF by class'!$E49</f>
        <v>0</v>
      </c>
      <c r="L53" s="580">
        <f>$E53*'11a. AF by class'!L49/'11a. AF by class'!$E49</f>
        <v>0</v>
      </c>
      <c r="M53" s="580">
        <f>$E53*'11a. AF by class'!M49/'11a. AF by class'!$E49</f>
        <v>0</v>
      </c>
      <c r="N53" s="600">
        <f>$E53*'11a. AF by class'!N49/'11a. AF by class'!$E49</f>
        <v>0</v>
      </c>
      <c r="P53" s="32">
        <f>SUM(F53:O53)</f>
        <v>0</v>
      </c>
      <c r="Q53" s="32">
        <f>E53-P53</f>
        <v>0</v>
      </c>
    </row>
    <row r="54" spans="1:17" x14ac:dyDescent="0.3">
      <c r="A54" s="157"/>
      <c r="B54" s="35" t="s">
        <v>83</v>
      </c>
      <c r="C54" s="35"/>
      <c r="D54" s="35"/>
      <c r="E54" s="243">
        <f t="shared" ref="E54:N54" si="9">SUM(E51:E53)</f>
        <v>223503.29004645933</v>
      </c>
      <c r="F54" s="243">
        <f t="shared" si="9"/>
        <v>153172.77694968591</v>
      </c>
      <c r="G54" s="243">
        <f t="shared" si="9"/>
        <v>37831.196011296895</v>
      </c>
      <c r="H54" s="243">
        <f t="shared" si="9"/>
        <v>23816.737333891833</v>
      </c>
      <c r="I54" s="243">
        <f t="shared" si="9"/>
        <v>3560.923756563016</v>
      </c>
      <c r="J54" s="243">
        <f t="shared" si="9"/>
        <v>1512.4703229521967</v>
      </c>
      <c r="K54" s="243">
        <f t="shared" si="9"/>
        <v>2310.3005912992903</v>
      </c>
      <c r="L54" s="243">
        <f t="shared" si="9"/>
        <v>1.7874168238108818</v>
      </c>
      <c r="M54" s="243">
        <f t="shared" si="9"/>
        <v>466.56271126599739</v>
      </c>
      <c r="N54" s="244">
        <f t="shared" si="9"/>
        <v>830.53495268038785</v>
      </c>
      <c r="P54" s="32">
        <f>SUM(F54:O54)</f>
        <v>223503.29004645933</v>
      </c>
      <c r="Q54" s="32">
        <f>E54-P54</f>
        <v>0</v>
      </c>
    </row>
    <row r="55" spans="1:17" x14ac:dyDescent="0.3">
      <c r="A55" s="157"/>
      <c r="B55" s="35"/>
      <c r="C55" s="35"/>
      <c r="D55" s="35"/>
      <c r="E55" s="243"/>
      <c r="F55" s="243"/>
      <c r="G55" s="243"/>
      <c r="H55" s="243"/>
      <c r="I55" s="243"/>
      <c r="J55" s="243"/>
      <c r="K55" s="243"/>
      <c r="L55" s="243"/>
      <c r="M55" s="243"/>
      <c r="N55" s="244"/>
    </row>
    <row r="56" spans="1:17" x14ac:dyDescent="0.3">
      <c r="A56" s="157" t="s">
        <v>912</v>
      </c>
      <c r="B56" s="35"/>
      <c r="C56" s="35"/>
      <c r="D56" s="53"/>
      <c r="E56" s="243"/>
      <c r="F56" s="243"/>
      <c r="G56" s="243"/>
      <c r="H56" s="243"/>
      <c r="I56" s="243"/>
      <c r="J56" s="243"/>
      <c r="K56" s="243"/>
      <c r="L56" s="243"/>
      <c r="M56" s="243"/>
      <c r="N56" s="244"/>
    </row>
    <row r="57" spans="1:17" x14ac:dyDescent="0.3">
      <c r="A57" s="157"/>
      <c r="B57" s="35" t="s">
        <v>1006</v>
      </c>
      <c r="C57" s="35"/>
      <c r="D57" s="53"/>
      <c r="E57" s="580">
        <f>-'9b. Summary Schedules-sf'!AG206</f>
        <v>62293.171041331167</v>
      </c>
      <c r="F57" s="580">
        <f>$E57*'11a. AF by class'!F53/'11a. AF by class'!$E53</f>
        <v>21623.523329342319</v>
      </c>
      <c r="G57" s="580">
        <f>$E57*'11a. AF by class'!G53/'11a. AF by class'!$E53</f>
        <v>5802.4520087619985</v>
      </c>
      <c r="H57" s="580">
        <f>$E57*'11a. AF by class'!H53/'11a. AF by class'!$E53</f>
        <v>14103.443159445949</v>
      </c>
      <c r="I57" s="580">
        <f>$E57*'11a. AF by class'!I53/'11a. AF by class'!$E53</f>
        <v>9151.7744545610658</v>
      </c>
      <c r="J57" s="580">
        <f>$E57*'11a. AF by class'!J53/'11a. AF by class'!$E53</f>
        <v>4414.4536520415377</v>
      </c>
      <c r="K57" s="580">
        <f>$E57*'11a. AF by class'!K53/'11a. AF by class'!$E53</f>
        <v>6924.4439720735818</v>
      </c>
      <c r="L57" s="580">
        <f>$E57*'11a. AF by class'!L53/'11a. AF by class'!$E53</f>
        <v>0</v>
      </c>
      <c r="M57" s="580">
        <f>$E57*'11a. AF by class'!M53/'11a. AF by class'!$E53</f>
        <v>12.439401743473836</v>
      </c>
      <c r="N57" s="600">
        <f>$E57*'11a. AF by class'!N53/'11a. AF by class'!$E53</f>
        <v>260.64106336123922</v>
      </c>
      <c r="P57" s="32">
        <f>SUM(F57:O57)</f>
        <v>62293.171041331167</v>
      </c>
      <c r="Q57" s="32">
        <f>E57-P57</f>
        <v>0</v>
      </c>
    </row>
    <row r="58" spans="1:17" x14ac:dyDescent="0.3">
      <c r="A58" s="157"/>
      <c r="B58" s="35" t="s">
        <v>1014</v>
      </c>
      <c r="C58" s="35"/>
      <c r="D58" s="53"/>
      <c r="E58" s="243">
        <f t="shared" ref="E58:N58" si="10">SUM(E57:E57)</f>
        <v>62293.171041331167</v>
      </c>
      <c r="F58" s="243">
        <f t="shared" si="10"/>
        <v>21623.523329342319</v>
      </c>
      <c r="G58" s="243">
        <f t="shared" si="10"/>
        <v>5802.4520087619985</v>
      </c>
      <c r="H58" s="243">
        <f t="shared" si="10"/>
        <v>14103.443159445949</v>
      </c>
      <c r="I58" s="243">
        <f t="shared" si="10"/>
        <v>9151.7744545610658</v>
      </c>
      <c r="J58" s="243">
        <f t="shared" si="10"/>
        <v>4414.4536520415377</v>
      </c>
      <c r="K58" s="243">
        <f t="shared" si="10"/>
        <v>6924.4439720735818</v>
      </c>
      <c r="L58" s="243">
        <f t="shared" si="10"/>
        <v>0</v>
      </c>
      <c r="M58" s="243">
        <f t="shared" si="10"/>
        <v>12.439401743473836</v>
      </c>
      <c r="N58" s="244">
        <f t="shared" si="10"/>
        <v>260.64106336123922</v>
      </c>
      <c r="P58" s="32">
        <f>SUM(F58:O58)</f>
        <v>62293.171041331167</v>
      </c>
      <c r="Q58" s="32">
        <f>E58-P58</f>
        <v>0</v>
      </c>
    </row>
    <row r="59" spans="1:17" x14ac:dyDescent="0.3">
      <c r="A59" s="157"/>
      <c r="B59" s="35"/>
      <c r="C59" s="35"/>
      <c r="D59" s="35"/>
      <c r="E59" s="243"/>
      <c r="F59" s="243"/>
      <c r="G59" s="243"/>
      <c r="H59" s="243"/>
      <c r="I59" s="243"/>
      <c r="J59" s="243"/>
      <c r="K59" s="243"/>
      <c r="L59" s="243"/>
      <c r="M59" s="243"/>
      <c r="N59" s="244"/>
    </row>
    <row r="60" spans="1:17" x14ac:dyDescent="0.3">
      <c r="A60" s="157" t="s">
        <v>913</v>
      </c>
      <c r="B60" s="35"/>
      <c r="C60" s="35"/>
      <c r="D60" s="35"/>
      <c r="E60" s="243">
        <f>-'9b. Summary Schedules-sf'!AH206</f>
        <v>1379375.0499999989</v>
      </c>
      <c r="F60" s="243">
        <f>$E60*'11a. AF by class'!F56/'11a. AF by class'!$E56</f>
        <v>548611.92682815855</v>
      </c>
      <c r="G60" s="243">
        <f>$E60*'11a. AF by class'!G56/'11a. AF by class'!$E56</f>
        <v>140637.52733064015</v>
      </c>
      <c r="H60" s="243">
        <f>$E60*'11a. AF by class'!H56/'11a. AF by class'!$E56</f>
        <v>323419.18651773612</v>
      </c>
      <c r="I60" s="243">
        <f>$E60*'11a. AF by class'!I56/'11a. AF by class'!$E56</f>
        <v>181888.69410965272</v>
      </c>
      <c r="J60" s="243">
        <f>$E60*'11a. AF by class'!J56/'11a. AF by class'!$E56</f>
        <v>78893.061246405327</v>
      </c>
      <c r="K60" s="243">
        <f>$E60*'11a. AF by class'!K56/'11a. AF by class'!$E56</f>
        <v>105922.08127499938</v>
      </c>
      <c r="L60" s="243">
        <f>$E60*'11a. AF by class'!L56/'11a. AF by class'!$E56</f>
        <v>0</v>
      </c>
      <c r="M60" s="243">
        <f>$E60*'11a. AF by class'!M56/'11a. AF by class'!$E56</f>
        <v>0</v>
      </c>
      <c r="N60" s="244">
        <f>$E60*'11a. AF by class'!N56/'11a. AF by class'!$E56</f>
        <v>2.5726924064704733</v>
      </c>
      <c r="P60" s="32">
        <f>SUM(F60:O60)</f>
        <v>1379375.0499999984</v>
      </c>
      <c r="Q60" s="32">
        <f>E60-P60</f>
        <v>0</v>
      </c>
    </row>
    <row r="61" spans="1:17" x14ac:dyDescent="0.3">
      <c r="A61" s="157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158"/>
    </row>
    <row r="62" spans="1:17" x14ac:dyDescent="0.3">
      <c r="A62" s="157" t="s">
        <v>1001</v>
      </c>
      <c r="B62" s="35"/>
      <c r="C62" s="35"/>
      <c r="D62" s="35"/>
      <c r="E62" s="35">
        <f t="shared" ref="E62:N62" si="11">SUM(E18,E20,E22,E41,E46,E48,E54,E58,E60)</f>
        <v>16900525.648083944</v>
      </c>
      <c r="F62" s="35">
        <f t="shared" si="11"/>
        <v>9762701.5761812478</v>
      </c>
      <c r="G62" s="35">
        <f t="shared" si="11"/>
        <v>2458063.8942749198</v>
      </c>
      <c r="H62" s="35">
        <f t="shared" si="11"/>
        <v>2914789.7394114584</v>
      </c>
      <c r="I62" s="35">
        <f t="shared" si="11"/>
        <v>776897.06277475157</v>
      </c>
      <c r="J62" s="35">
        <f t="shared" si="11"/>
        <v>321570.61416923004</v>
      </c>
      <c r="K62" s="35">
        <f t="shared" si="11"/>
        <v>470106.10747784656</v>
      </c>
      <c r="L62" s="35">
        <f t="shared" si="11"/>
        <v>68149.348632284324</v>
      </c>
      <c r="M62" s="35">
        <f t="shared" si="11"/>
        <v>24163.882492200748</v>
      </c>
      <c r="N62" s="158">
        <f t="shared" si="11"/>
        <v>104083.42267000882</v>
      </c>
      <c r="P62" s="32">
        <f>SUM(F62:O62)</f>
        <v>16900525.648083948</v>
      </c>
      <c r="Q62" s="32">
        <f>E62-P62</f>
        <v>0</v>
      </c>
    </row>
    <row r="63" spans="1:17" ht="13.5" thickBot="1" x14ac:dyDescent="0.35">
      <c r="A63" s="33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161"/>
    </row>
  </sheetData>
  <phoneticPr fontId="0" type="noConversion"/>
  <printOptions horizontalCentered="1" gridLines="1" gridLinesSet="0"/>
  <pageMargins left="0" right="0" top="0.5" bottom="0.4" header="0.2" footer="0.2"/>
  <pageSetup scale="65" orientation="landscape" horizontalDpi="300" verticalDpi="300" r:id="rId1"/>
  <headerFooter alignWithMargins="0">
    <oddFooter>&amp;L&amp;8&amp;F&amp;C&amp;8&amp;A
page &amp;P&amp;R&amp;8&amp;D
&amp;T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BB63"/>
  <sheetViews>
    <sheetView zoomScale="75" zoomScaleNormal="75" workbookViewId="0">
      <pane xSplit="2" ySplit="7" topLeftCell="C8" activePane="bottomRight" state="frozen"/>
      <selection activeCell="C9" sqref="C9"/>
      <selection pane="topRight" activeCell="C9" sqref="C9"/>
      <selection pane="bottomLeft" activeCell="C9" sqref="C9"/>
      <selection pane="bottomRight" activeCell="C8" sqref="C8"/>
    </sheetView>
  </sheetViews>
  <sheetFormatPr defaultColWidth="9.1796875" defaultRowHeight="13" x14ac:dyDescent="0.3"/>
  <cols>
    <col min="1" max="1" width="4.54296875" style="32" customWidth="1"/>
    <col min="2" max="2" width="32.1796875" style="32" customWidth="1"/>
    <col min="3" max="3" width="15.1796875" style="32" customWidth="1"/>
    <col min="4" max="4" width="11.453125" style="32" customWidth="1"/>
    <col min="5" max="8" width="15" style="32" customWidth="1"/>
    <col min="9" max="16" width="12.54296875" style="32" customWidth="1"/>
    <col min="17" max="17" width="12.453125" style="32" customWidth="1"/>
    <col min="18" max="18" width="13.81640625" style="32" customWidth="1"/>
    <col min="19" max="20" width="9.1796875" style="32"/>
    <col min="21" max="21" width="11.453125" style="32" bestFit="1" customWidth="1"/>
    <col min="22" max="22" width="8.54296875" style="32" bestFit="1" customWidth="1"/>
    <col min="23" max="16384" width="9.1796875" style="32"/>
  </cols>
  <sheetData>
    <row r="1" spans="1:54" x14ac:dyDescent="0.3">
      <c r="A1" s="301" t="str">
        <f>'1. RB-i'!$A$1</f>
        <v>CPS Energy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3"/>
      <c r="O1" s="42"/>
      <c r="P1" s="42"/>
    </row>
    <row r="2" spans="1:54" x14ac:dyDescent="0.3">
      <c r="A2" s="307" t="s">
        <v>1264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98"/>
      <c r="O2" s="35"/>
      <c r="P2" s="35"/>
    </row>
    <row r="3" spans="1:54" x14ac:dyDescent="0.3">
      <c r="A3" s="307" t="str">
        <f>'10o. Other Revenue by class'!A3</f>
        <v>Based on FYE 2017 Test Year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98"/>
      <c r="O3" s="31"/>
      <c r="P3" s="31"/>
      <c r="Q3" s="35"/>
      <c r="R3" s="35"/>
      <c r="S3" s="1"/>
      <c r="T3" s="1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</row>
    <row r="4" spans="1:54" s="5" customFormat="1" x14ac:dyDescent="0.3">
      <c r="A4" s="304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305"/>
    </row>
    <row r="5" spans="1:54" s="5" customFormat="1" x14ac:dyDescent="0.3">
      <c r="A5" s="304"/>
      <c r="B5" s="196"/>
      <c r="C5" s="196"/>
      <c r="D5" s="196"/>
      <c r="E5" s="196"/>
      <c r="F5" s="196"/>
      <c r="G5" s="196"/>
      <c r="H5" s="199"/>
      <c r="I5" s="199"/>
      <c r="J5" s="199"/>
      <c r="K5" s="196"/>
      <c r="L5" s="196"/>
      <c r="M5" s="196"/>
      <c r="N5" s="305"/>
      <c r="P5" s="5" t="s">
        <v>832</v>
      </c>
    </row>
    <row r="6" spans="1:54" s="5" customFormat="1" x14ac:dyDescent="0.3">
      <c r="A6" s="304"/>
      <c r="B6" s="196"/>
      <c r="C6" s="196" t="s">
        <v>359</v>
      </c>
      <c r="D6" s="196"/>
      <c r="E6" s="196" t="s">
        <v>355</v>
      </c>
      <c r="F6" s="196" t="s">
        <v>961</v>
      </c>
      <c r="G6" s="196" t="s">
        <v>962</v>
      </c>
      <c r="H6" s="196" t="s">
        <v>963</v>
      </c>
      <c r="I6" s="196" t="s">
        <v>964</v>
      </c>
      <c r="J6" s="196" t="s">
        <v>965</v>
      </c>
      <c r="K6" s="196" t="s">
        <v>966</v>
      </c>
      <c r="L6" s="196" t="s">
        <v>967</v>
      </c>
      <c r="M6" s="196" t="s">
        <v>968</v>
      </c>
      <c r="N6" s="305" t="s">
        <v>932</v>
      </c>
      <c r="P6" s="5" t="s">
        <v>833</v>
      </c>
      <c r="Q6" s="5" t="s">
        <v>824</v>
      </c>
    </row>
    <row r="7" spans="1:54" s="5" customFormat="1" ht="13.5" thickBot="1" x14ac:dyDescent="0.35">
      <c r="A7" s="299"/>
      <c r="B7" s="282"/>
      <c r="C7" s="282"/>
      <c r="D7" s="282"/>
      <c r="E7" s="282" t="s">
        <v>816</v>
      </c>
      <c r="F7" s="282" t="s">
        <v>817</v>
      </c>
      <c r="G7" s="282" t="s">
        <v>818</v>
      </c>
      <c r="H7" s="282" t="s">
        <v>819</v>
      </c>
      <c r="I7" s="282" t="s">
        <v>820</v>
      </c>
      <c r="J7" s="282" t="s">
        <v>821</v>
      </c>
      <c r="K7" s="282" t="s">
        <v>822</v>
      </c>
      <c r="L7" s="282" t="s">
        <v>823</v>
      </c>
      <c r="M7" s="282" t="s">
        <v>908</v>
      </c>
      <c r="N7" s="300" t="s">
        <v>914</v>
      </c>
    </row>
    <row r="8" spans="1:54" x14ac:dyDescent="0.3">
      <c r="A8" s="157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158"/>
      <c r="O8" s="35"/>
      <c r="P8" s="35"/>
    </row>
    <row r="9" spans="1:54" x14ac:dyDescent="0.3">
      <c r="A9" s="157" t="s">
        <v>544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158"/>
    </row>
    <row r="10" spans="1:54" x14ac:dyDescent="0.3">
      <c r="A10" s="157"/>
      <c r="B10" s="35" t="s">
        <v>969</v>
      </c>
      <c r="C10" s="35"/>
      <c r="D10" s="35"/>
      <c r="E10" s="243">
        <f>-'9b. Summary Schedules-sf'!E$207</f>
        <v>5948046.0163923278</v>
      </c>
      <c r="F10" s="243">
        <f>$E10*'11a. AF by class'!F$10/'11a. AF by class'!$E$10</f>
        <v>2367811.2553836918</v>
      </c>
      <c r="G10" s="243">
        <f>$E10*'11a. AF by class'!G10/'11a. AF by class'!$E10</f>
        <v>702053.86803758249</v>
      </c>
      <c r="H10" s="243">
        <f>$E10*'11a. AF by class'!H10/'11a. AF by class'!$E10</f>
        <v>1243428.3290141097</v>
      </c>
      <c r="I10" s="243">
        <f>$E10*'11a. AF by class'!I10/'11a. AF by class'!$E10</f>
        <v>729521.27424173919</v>
      </c>
      <c r="J10" s="243">
        <f>$E10*'11a. AF by class'!J10/'11a. AF by class'!$E10</f>
        <v>306616.68093030085</v>
      </c>
      <c r="K10" s="243">
        <f>$E10*'11a. AF by class'!K10/'11a. AF by class'!$E10</f>
        <v>454262.10151290812</v>
      </c>
      <c r="L10" s="243">
        <f>$E10*'11a. AF by class'!L10/'11a. AF by class'!$E10</f>
        <v>118248.91034473669</v>
      </c>
      <c r="M10" s="243">
        <f>$E10*'11a. AF by class'!M10/'11a. AF by class'!$E10</f>
        <v>635.71041719982338</v>
      </c>
      <c r="N10" s="244">
        <f>$E10*'11a. AF by class'!N10/'11a. AF by class'!$E10</f>
        <v>25467.886510058852</v>
      </c>
      <c r="P10" s="32">
        <f>SUM(F10:O10)</f>
        <v>5948046.0163923269</v>
      </c>
      <c r="Q10" s="32">
        <f>E10-P10</f>
        <v>0</v>
      </c>
    </row>
    <row r="11" spans="1:54" x14ac:dyDescent="0.3">
      <c r="A11" s="157"/>
      <c r="B11" s="35" t="s">
        <v>1140</v>
      </c>
      <c r="C11" s="35"/>
      <c r="D11" s="35"/>
      <c r="E11" s="642"/>
      <c r="F11" s="642"/>
      <c r="G11" s="642"/>
      <c r="H11" s="642"/>
      <c r="I11" s="642"/>
      <c r="J11" s="642"/>
      <c r="K11" s="642"/>
      <c r="L11" s="642"/>
      <c r="M11" s="642"/>
      <c r="N11" s="643"/>
      <c r="O11" s="641"/>
      <c r="P11" s="641"/>
      <c r="Q11" s="32">
        <f t="shared" ref="Q11:Q13" si="0">E11-P11</f>
        <v>0</v>
      </c>
    </row>
    <row r="12" spans="1:54" x14ac:dyDescent="0.3">
      <c r="A12" s="157"/>
      <c r="B12" s="35" t="s">
        <v>1139</v>
      </c>
      <c r="C12" s="35"/>
      <c r="D12" s="35"/>
      <c r="E12" s="642"/>
      <c r="F12" s="642"/>
      <c r="G12" s="642"/>
      <c r="H12" s="642"/>
      <c r="I12" s="642"/>
      <c r="J12" s="642"/>
      <c r="K12" s="642"/>
      <c r="L12" s="642"/>
      <c r="M12" s="642"/>
      <c r="N12" s="643"/>
      <c r="O12" s="641"/>
      <c r="P12" s="641"/>
      <c r="Q12" s="32">
        <f t="shared" si="0"/>
        <v>0</v>
      </c>
    </row>
    <row r="13" spans="1:54" x14ac:dyDescent="0.3">
      <c r="A13" s="157"/>
      <c r="B13" s="35" t="s">
        <v>947</v>
      </c>
      <c r="C13" s="35"/>
      <c r="D13" s="35"/>
      <c r="E13" s="642"/>
      <c r="F13" s="642"/>
      <c r="G13" s="642"/>
      <c r="H13" s="642"/>
      <c r="I13" s="642"/>
      <c r="J13" s="642"/>
      <c r="K13" s="642"/>
      <c r="L13" s="642"/>
      <c r="M13" s="642"/>
      <c r="N13" s="643"/>
      <c r="O13" s="641"/>
      <c r="P13" s="641"/>
      <c r="Q13" s="32">
        <f t="shared" si="0"/>
        <v>0</v>
      </c>
    </row>
    <row r="14" spans="1:54" x14ac:dyDescent="0.3">
      <c r="A14" s="157"/>
      <c r="B14" s="35"/>
      <c r="C14" s="35"/>
      <c r="D14" s="35"/>
      <c r="E14" s="243"/>
      <c r="F14" s="243"/>
      <c r="G14" s="243"/>
      <c r="H14" s="243"/>
      <c r="I14" s="243"/>
      <c r="J14" s="243"/>
      <c r="K14" s="243"/>
      <c r="L14" s="243"/>
      <c r="M14" s="243"/>
      <c r="N14" s="244"/>
    </row>
    <row r="15" spans="1:54" x14ac:dyDescent="0.3">
      <c r="A15" s="157"/>
      <c r="B15" s="35" t="s">
        <v>970</v>
      </c>
      <c r="C15" s="35"/>
      <c r="D15" s="35"/>
      <c r="E15" s="243">
        <f>-'9b. Summary Schedules-sf'!I207</f>
        <v>201713.35418358946</v>
      </c>
      <c r="F15" s="243">
        <f>$E15*'11a. AF by class'!F11/'11a. AF by class'!$E11</f>
        <v>68622.030448693869</v>
      </c>
      <c r="G15" s="243">
        <f>$E15*'11a. AF by class'!G11/'11a. AF by class'!$E11</f>
        <v>18414.022190455922</v>
      </c>
      <c r="H15" s="243">
        <f>$E15*'11a. AF by class'!H11/'11a. AF by class'!$E11</f>
        <v>44757.132830691153</v>
      </c>
      <c r="I15" s="243">
        <f>$E15*'11a. AF by class'!I11/'11a. AF by class'!$E11</f>
        <v>29043.062766199502</v>
      </c>
      <c r="J15" s="243">
        <f>$E15*'11a. AF by class'!J11/'11a. AF by class'!$E11</f>
        <v>14009.223580769518</v>
      </c>
      <c r="K15" s="243">
        <f>$E15*'11a. AF by class'!K11/'11a. AF by class'!$E11</f>
        <v>21974.652227332477</v>
      </c>
      <c r="L15" s="243">
        <f>$E15*'11a. AF by class'!L11/'11a. AF by class'!$E11</f>
        <v>4026.6120723566041</v>
      </c>
      <c r="M15" s="243">
        <f>$E15*'11a. AF by class'!M11/'11a. AF by class'!$E11</f>
        <v>39.476314391645438</v>
      </c>
      <c r="N15" s="244">
        <f>$E15*'11a. AF by class'!N11/'11a. AF by class'!$E11</f>
        <v>827.14175269876796</v>
      </c>
      <c r="P15" s="32">
        <f>SUM(F15:O15)</f>
        <v>201713.35418358946</v>
      </c>
      <c r="Q15" s="32">
        <f>E15-P15</f>
        <v>0</v>
      </c>
    </row>
    <row r="16" spans="1:54" x14ac:dyDescent="0.3">
      <c r="A16" s="157"/>
      <c r="B16" s="35" t="s">
        <v>971</v>
      </c>
      <c r="C16" s="35"/>
      <c r="D16" s="35"/>
      <c r="E16" s="35">
        <f>E10+E15</f>
        <v>6149759.370575917</v>
      </c>
      <c r="F16" s="35">
        <f t="shared" ref="F16:P16" si="1">F10+F15</f>
        <v>2436433.2858323855</v>
      </c>
      <c r="G16" s="35">
        <f t="shared" si="1"/>
        <v>720467.89022803842</v>
      </c>
      <c r="H16" s="35">
        <f t="shared" si="1"/>
        <v>1288185.4618448007</v>
      </c>
      <c r="I16" s="35">
        <f t="shared" si="1"/>
        <v>758564.33700793865</v>
      </c>
      <c r="J16" s="35">
        <f t="shared" si="1"/>
        <v>320625.90451107034</v>
      </c>
      <c r="K16" s="35">
        <f t="shared" si="1"/>
        <v>476236.75374024059</v>
      </c>
      <c r="L16" s="35">
        <f t="shared" si="1"/>
        <v>122275.52241709329</v>
      </c>
      <c r="M16" s="35">
        <f t="shared" si="1"/>
        <v>675.18673159146886</v>
      </c>
      <c r="N16" s="35">
        <f t="shared" si="1"/>
        <v>26295.02826275762</v>
      </c>
      <c r="O16" s="35"/>
      <c r="P16" s="35">
        <f t="shared" si="1"/>
        <v>6149759.370575916</v>
      </c>
      <c r="Q16" s="32">
        <f>E16-P16</f>
        <v>0</v>
      </c>
    </row>
    <row r="17" spans="1:17" x14ac:dyDescent="0.3">
      <c r="A17" s="157"/>
      <c r="B17" s="35" t="s">
        <v>617</v>
      </c>
      <c r="C17" s="35"/>
      <c r="D17" s="35"/>
      <c r="E17" s="243">
        <f>-'9b. Summary Schedules-sf'!J207</f>
        <v>0</v>
      </c>
      <c r="F17" s="243">
        <f>$E17*'11a. AF by class'!F13/'11a. AF by class'!$E13</f>
        <v>0</v>
      </c>
      <c r="G17" s="243">
        <f>$E17*'11a. AF by class'!G13/'11a. AF by class'!$E13</f>
        <v>0</v>
      </c>
      <c r="H17" s="243">
        <f>$E17*'11a. AF by class'!H13/'11a. AF by class'!$E13</f>
        <v>0</v>
      </c>
      <c r="I17" s="243">
        <f>$E17*'11a. AF by class'!I13/'11a. AF by class'!$E13</f>
        <v>0</v>
      </c>
      <c r="J17" s="243">
        <f>$E17*'11a. AF by class'!J13/'11a. AF by class'!$E13</f>
        <v>0</v>
      </c>
      <c r="K17" s="243">
        <f>$E17*'11a. AF by class'!K13/'11a. AF by class'!$E13</f>
        <v>0</v>
      </c>
      <c r="L17" s="243">
        <f>$E17*'11a. AF by class'!L13/'11a. AF by class'!$E13</f>
        <v>0</v>
      </c>
      <c r="M17" s="243">
        <f>$E17*'11a. AF by class'!M13/'11a. AF by class'!$E13</f>
        <v>0</v>
      </c>
      <c r="N17" s="244">
        <f>$E17*'11a. AF by class'!N13/'11a. AF by class'!$E13</f>
        <v>0</v>
      </c>
      <c r="P17" s="32">
        <f>SUM(F17:O17)</f>
        <v>0</v>
      </c>
      <c r="Q17" s="32">
        <f>E17-P17</f>
        <v>0</v>
      </c>
    </row>
    <row r="18" spans="1:17" x14ac:dyDescent="0.3">
      <c r="A18" s="157"/>
      <c r="B18" s="35" t="s">
        <v>972</v>
      </c>
      <c r="C18" s="35"/>
      <c r="D18" s="35"/>
      <c r="E18" s="243">
        <f t="shared" ref="E18:N18" si="2">SUM(E16:E17)</f>
        <v>6149759.370575917</v>
      </c>
      <c r="F18" s="243">
        <f t="shared" si="2"/>
        <v>2436433.2858323855</v>
      </c>
      <c r="G18" s="243">
        <f t="shared" si="2"/>
        <v>720467.89022803842</v>
      </c>
      <c r="H18" s="243">
        <f t="shared" si="2"/>
        <v>1288185.4618448007</v>
      </c>
      <c r="I18" s="243">
        <f t="shared" si="2"/>
        <v>758564.33700793865</v>
      </c>
      <c r="J18" s="243">
        <f t="shared" si="2"/>
        <v>320625.90451107034</v>
      </c>
      <c r="K18" s="243">
        <f t="shared" si="2"/>
        <v>476236.75374024059</v>
      </c>
      <c r="L18" s="243">
        <f t="shared" si="2"/>
        <v>122275.52241709329</v>
      </c>
      <c r="M18" s="243">
        <f t="shared" si="2"/>
        <v>675.18673159146886</v>
      </c>
      <c r="N18" s="244">
        <f t="shared" si="2"/>
        <v>26295.02826275762</v>
      </c>
      <c r="P18" s="32">
        <f>SUM(F18:O18)</f>
        <v>6149759.3705759188</v>
      </c>
      <c r="Q18" s="32">
        <f>E18-P18</f>
        <v>0</v>
      </c>
    </row>
    <row r="19" spans="1:17" x14ac:dyDescent="0.3">
      <c r="A19" s="157"/>
      <c r="B19" s="35"/>
      <c r="C19" s="35"/>
      <c r="D19" s="35"/>
      <c r="E19" s="243"/>
      <c r="F19" s="243"/>
      <c r="G19" s="243"/>
      <c r="H19" s="243"/>
      <c r="I19" s="243"/>
      <c r="J19" s="243"/>
      <c r="K19" s="243"/>
      <c r="L19" s="243"/>
      <c r="M19" s="243"/>
      <c r="N19" s="244"/>
    </row>
    <row r="20" spans="1:17" x14ac:dyDescent="0.3">
      <c r="A20" s="157" t="s">
        <v>984</v>
      </c>
      <c r="B20" s="35"/>
      <c r="C20" s="35"/>
      <c r="D20" s="35"/>
      <c r="E20" s="243">
        <f>-'9b. Summary Schedules-sf'!K207</f>
        <v>0</v>
      </c>
      <c r="F20" s="243">
        <f>$E20*'11a. AF by class'!F16/'11a. AF by class'!$E16</f>
        <v>0</v>
      </c>
      <c r="G20" s="243">
        <f>$E20*'11a. AF by class'!G16/'11a. AF by class'!$E16</f>
        <v>0</v>
      </c>
      <c r="H20" s="243">
        <f>$E20*'11a. AF by class'!H16/'11a. AF by class'!$E16</f>
        <v>0</v>
      </c>
      <c r="I20" s="243">
        <f>$E20*'11a. AF by class'!I16/'11a. AF by class'!$E16</f>
        <v>0</v>
      </c>
      <c r="J20" s="243">
        <f>$E20*'11a. AF by class'!J16/'11a. AF by class'!$E16</f>
        <v>0</v>
      </c>
      <c r="K20" s="243">
        <f>$E20*'11a. AF by class'!K16/'11a. AF by class'!$E16</f>
        <v>0</v>
      </c>
      <c r="L20" s="243">
        <f>$E20*'11a. AF by class'!L16/'11a. AF by class'!$E16</f>
        <v>0</v>
      </c>
      <c r="M20" s="243">
        <f>$E20*'11a. AF by class'!M16/'11a. AF by class'!$E16</f>
        <v>0</v>
      </c>
      <c r="N20" s="244">
        <f>$E20*'11a. AF by class'!N16/'11a. AF by class'!$E16</f>
        <v>0</v>
      </c>
      <c r="P20" s="32">
        <f>SUM(F20:O20)</f>
        <v>0</v>
      </c>
      <c r="Q20" s="32">
        <f>E20-P20</f>
        <v>0</v>
      </c>
    </row>
    <row r="21" spans="1:17" x14ac:dyDescent="0.3">
      <c r="A21" s="157"/>
      <c r="B21" s="35"/>
      <c r="C21" s="35"/>
      <c r="D21" s="35"/>
      <c r="E21" s="243"/>
      <c r="F21" s="243"/>
      <c r="G21" s="243"/>
      <c r="H21" s="243"/>
      <c r="I21" s="243"/>
      <c r="J21" s="243"/>
      <c r="K21" s="243"/>
      <c r="L21" s="243"/>
      <c r="M21" s="243"/>
      <c r="N21" s="244"/>
    </row>
    <row r="22" spans="1:17" s="16" customFormat="1" x14ac:dyDescent="0.3">
      <c r="A22" s="153" t="s">
        <v>366</v>
      </c>
      <c r="B22" s="53"/>
      <c r="C22" s="53"/>
      <c r="D22" s="35"/>
      <c r="E22" s="243">
        <f>-'9b. Summary Schedules-sf'!L207</f>
        <v>0</v>
      </c>
      <c r="F22" s="243">
        <f>$E22*'11a. AF by class'!F18/'11a. AF by class'!$E18</f>
        <v>0</v>
      </c>
      <c r="G22" s="243">
        <f>$E22*'11a. AF by class'!G18/'11a. AF by class'!$E18</f>
        <v>0</v>
      </c>
      <c r="H22" s="243">
        <f>$E22*'11a. AF by class'!H18/'11a. AF by class'!$E18</f>
        <v>0</v>
      </c>
      <c r="I22" s="243">
        <f>$E22*'11a. AF by class'!I18/'11a. AF by class'!$E18</f>
        <v>0</v>
      </c>
      <c r="J22" s="243">
        <f>$E22*'11a. AF by class'!J18/'11a. AF by class'!$E18</f>
        <v>0</v>
      </c>
      <c r="K22" s="243">
        <f>$E22*'11a. AF by class'!K18/'11a. AF by class'!$E18</f>
        <v>0</v>
      </c>
      <c r="L22" s="243">
        <f>$E22*'11a. AF by class'!L18/'11a. AF by class'!$E18</f>
        <v>0</v>
      </c>
      <c r="M22" s="243">
        <f>$E22*'11a. AF by class'!M18/'11a. AF by class'!$E18</f>
        <v>0</v>
      </c>
      <c r="N22" s="244">
        <f>$E22*'11a. AF by class'!N18/'11a. AF by class'!$E18</f>
        <v>0</v>
      </c>
      <c r="P22" s="16">
        <f>SUM(F22:O22)</f>
        <v>0</v>
      </c>
      <c r="Q22" s="16">
        <f>E22-P22</f>
        <v>0</v>
      </c>
    </row>
    <row r="23" spans="1:17" x14ac:dyDescent="0.3">
      <c r="A23" s="157"/>
      <c r="B23" s="35"/>
      <c r="C23" s="35"/>
      <c r="D23" s="35"/>
      <c r="E23" s="243"/>
      <c r="F23" s="243"/>
      <c r="G23" s="243"/>
      <c r="H23" s="243"/>
      <c r="I23" s="243"/>
      <c r="J23" s="243"/>
      <c r="K23" s="243"/>
      <c r="L23" s="243"/>
      <c r="M23" s="243"/>
      <c r="N23" s="244"/>
    </row>
    <row r="24" spans="1:17" x14ac:dyDescent="0.3">
      <c r="A24" s="157" t="s">
        <v>367</v>
      </c>
      <c r="B24" s="35"/>
      <c r="C24" s="35"/>
      <c r="D24" s="35"/>
      <c r="E24" s="243"/>
      <c r="F24" s="243"/>
      <c r="G24" s="243"/>
      <c r="H24" s="243"/>
      <c r="I24" s="243"/>
      <c r="J24" s="243"/>
      <c r="K24" s="243"/>
      <c r="L24" s="243"/>
      <c r="M24" s="243"/>
      <c r="N24" s="244"/>
    </row>
    <row r="25" spans="1:17" x14ac:dyDescent="0.3">
      <c r="A25" s="157"/>
      <c r="B25" s="35" t="s">
        <v>973</v>
      </c>
      <c r="C25" s="35"/>
      <c r="D25" s="35"/>
      <c r="E25" s="243"/>
      <c r="F25" s="243"/>
      <c r="G25" s="243"/>
      <c r="H25" s="243"/>
      <c r="I25" s="243"/>
      <c r="J25" s="243"/>
      <c r="K25" s="243"/>
      <c r="L25" s="243"/>
      <c r="M25" s="243"/>
      <c r="N25" s="244"/>
    </row>
    <row r="26" spans="1:17" x14ac:dyDescent="0.3">
      <c r="A26" s="157"/>
      <c r="B26" s="35" t="s">
        <v>974</v>
      </c>
      <c r="C26" s="35"/>
      <c r="D26" s="35"/>
      <c r="E26" s="243">
        <f>-'9b. Summary Schedules-sf'!N207</f>
        <v>664921.01821430086</v>
      </c>
      <c r="F26" s="243">
        <f>$E26*'11a. AF by class'!F22/'11a. AF by class'!$E22</f>
        <v>268124.73207626346</v>
      </c>
      <c r="G26" s="243">
        <f>$E26*'11a. AF by class'!G22/'11a. AF by class'!$E22</f>
        <v>80006.53514213684</v>
      </c>
      <c r="H26" s="243">
        <f>$E26*'11a. AF by class'!H22/'11a. AF by class'!$E22</f>
        <v>138510.69875746983</v>
      </c>
      <c r="I26" s="243">
        <f>$E26*'11a. AF by class'!I22/'11a. AF by class'!$E22</f>
        <v>80532.698519509402</v>
      </c>
      <c r="J26" s="243">
        <f>$E26*'11a. AF by class'!J22/'11a. AF by class'!$E22</f>
        <v>33374.124501638362</v>
      </c>
      <c r="K26" s="243">
        <f>$E26*'11a. AF by class'!K22/'11a. AF by class'!$E22</f>
        <v>49124.291921299759</v>
      </c>
      <c r="L26" s="243">
        <f>$E26*'11a. AF by class'!L22/'11a. AF by class'!$E22</f>
        <v>12321.084471116508</v>
      </c>
      <c r="M26" s="243">
        <f>$E26*'11a. AF by class'!M22/'11a. AF by class'!$E22</f>
        <v>66.399437172510972</v>
      </c>
      <c r="N26" s="244">
        <f>$E26*'11a. AF by class'!N22/'11a. AF by class'!$E22</f>
        <v>2860.45338769416</v>
      </c>
      <c r="P26" s="32">
        <f>SUM(F26:O26)</f>
        <v>664921.01821430086</v>
      </c>
      <c r="Q26" s="32">
        <f>E26-P26</f>
        <v>0</v>
      </c>
    </row>
    <row r="27" spans="1:17" x14ac:dyDescent="0.3">
      <c r="A27" s="157"/>
      <c r="B27" s="35" t="s">
        <v>975</v>
      </c>
      <c r="C27" s="35"/>
      <c r="D27" s="35"/>
      <c r="E27" s="243">
        <f>-'9b. Summary Schedules-sf'!O207</f>
        <v>1107532.6800220392</v>
      </c>
      <c r="F27" s="243">
        <f>$E27*'11a. AF by class'!F23/'11a. AF by class'!$E23</f>
        <v>454401.96603280865</v>
      </c>
      <c r="G27" s="243">
        <f>$E27*'11a. AF by class'!G23/'11a. AF by class'!$E23</f>
        <v>135590.35223098844</v>
      </c>
      <c r="H27" s="243">
        <f>$E27*'11a. AF by class'!H23/'11a. AF by class'!$E23</f>
        <v>234739.75468279564</v>
      </c>
      <c r="I27" s="243">
        <f>$E27*'11a. AF by class'!I23/'11a. AF by class'!$E23</f>
        <v>136482.06285865465</v>
      </c>
      <c r="J27" s="243">
        <f>$E27*'11a. AF by class'!J23/'11a. AF by class'!$E23</f>
        <v>56560.495821231074</v>
      </c>
      <c r="K27" s="243">
        <f>$E27*'11a. AF by class'!K23/'11a. AF by class'!$E23</f>
        <v>83252.949685592859</v>
      </c>
      <c r="L27" s="243">
        <f>$E27*'11a. AF by class'!L23/'11a. AF by class'!$E23</f>
        <v>1544.841341655419</v>
      </c>
      <c r="M27" s="243">
        <f>$E27*'11a. AF by class'!M23/'11a. AF by class'!$E23</f>
        <v>112.52984594527825</v>
      </c>
      <c r="N27" s="244">
        <f>$E27*'11a. AF by class'!N23/'11a. AF by class'!$E23</f>
        <v>4847.7275223672004</v>
      </c>
      <c r="P27" s="32">
        <f>SUM(F27:O27)</f>
        <v>1107532.6800220392</v>
      </c>
      <c r="Q27" s="32">
        <f>E27-P27</f>
        <v>0</v>
      </c>
    </row>
    <row r="28" spans="1:17" x14ac:dyDescent="0.3">
      <c r="A28" s="157"/>
      <c r="B28" s="35" t="s">
        <v>976</v>
      </c>
      <c r="C28" s="35"/>
      <c r="D28" s="35"/>
      <c r="E28" s="243">
        <f>-'9b. Summary Schedules-sf'!P207</f>
        <v>296270.62897367764</v>
      </c>
      <c r="F28" s="243">
        <f>$E28*'11a. AF by class'!F24/'11a. AF by class'!$E24</f>
        <v>150514.91969325693</v>
      </c>
      <c r="G28" s="243">
        <f>$E28*'11a. AF by class'!G24/'11a. AF by class'!$E24</f>
        <v>55346.635667861388</v>
      </c>
      <c r="H28" s="243">
        <f>$E28*'11a. AF by class'!H24/'11a. AF by class'!$E24</f>
        <v>51286.517584237205</v>
      </c>
      <c r="I28" s="243">
        <f>$E28*'11a. AF by class'!I24/'11a. AF by class'!$E24</f>
        <v>26370.438234834572</v>
      </c>
      <c r="J28" s="243">
        <f>$E28*'11a. AF by class'!J24/'11a. AF by class'!$E24</f>
        <v>8964.9533994614412</v>
      </c>
      <c r="K28" s="243">
        <f>$E28*'11a. AF by class'!K24/'11a. AF by class'!$E24</f>
        <v>2993.4336271041466</v>
      </c>
      <c r="L28" s="243">
        <f>$E28*'11a. AF by class'!L24/'11a. AF by class'!$E24</f>
        <v>0</v>
      </c>
      <c r="M28" s="243">
        <f>$E28*'11a. AF by class'!M24/'11a. AF by class'!$E24</f>
        <v>18.006807770569864</v>
      </c>
      <c r="N28" s="244">
        <f>$E28*'11a. AF by class'!N24/'11a. AF by class'!$E24</f>
        <v>775.72395915138873</v>
      </c>
      <c r="P28" s="32">
        <f>SUM(F28:O28)</f>
        <v>296270.62897367764</v>
      </c>
      <c r="Q28" s="32">
        <f>E28-P28</f>
        <v>0</v>
      </c>
    </row>
    <row r="29" spans="1:17" x14ac:dyDescent="0.3">
      <c r="A29" s="157"/>
      <c r="B29" s="35" t="s">
        <v>931</v>
      </c>
      <c r="C29" s="35"/>
      <c r="D29" s="35"/>
      <c r="E29" s="580">
        <f>-'9b. Summary Schedules-sf'!Q207</f>
        <v>308176.44226643414</v>
      </c>
      <c r="F29" s="580">
        <f>$E29*'11a. AF by class'!F25/'11a. AF by class'!$E25</f>
        <v>149255.58957187887</v>
      </c>
      <c r="G29" s="580">
        <f>$E29*'11a. AF by class'!G25/'11a. AF by class'!$E25</f>
        <v>51513.286449405765</v>
      </c>
      <c r="H29" s="580">
        <f>$E29*'11a. AF by class'!H25/'11a. AF by class'!$E25</f>
        <v>59406.79790320107</v>
      </c>
      <c r="I29" s="580">
        <f>$E29*'11a. AF by class'!I25/'11a. AF by class'!$E25</f>
        <v>31864.835172707561</v>
      </c>
      <c r="J29" s="580">
        <f>$E29*'11a. AF by class'!J25/'11a. AF by class'!$E25</f>
        <v>11260.581116094561</v>
      </c>
      <c r="K29" s="580">
        <f>$E29*'11a. AF by class'!K25/'11a. AF by class'!$E25</f>
        <v>3813.9345777970511</v>
      </c>
      <c r="L29" s="580">
        <f>$E29*'11a. AF by class'!L25/'11a. AF by class'!$E25</f>
        <v>0</v>
      </c>
      <c r="M29" s="580">
        <f>$E29*'11a. AF by class'!M25/'11a. AF by class'!$E25</f>
        <v>24.079626542707643</v>
      </c>
      <c r="N29" s="600">
        <f>$E29*'11a. AF by class'!N25/'11a. AF by class'!$E25</f>
        <v>1037.3378488065514</v>
      </c>
      <c r="P29" s="32">
        <f>SUM(F29:O29)</f>
        <v>308176.44226643414</v>
      </c>
      <c r="Q29" s="32">
        <f>E29-P29</f>
        <v>0</v>
      </c>
    </row>
    <row r="30" spans="1:17" x14ac:dyDescent="0.3">
      <c r="A30" s="157"/>
      <c r="B30" s="35" t="s">
        <v>977</v>
      </c>
      <c r="C30" s="35"/>
      <c r="D30" s="35"/>
      <c r="E30" s="243">
        <f t="shared" ref="E30:N30" si="3">SUM(E26:E29)</f>
        <v>2376900.7694764519</v>
      </c>
      <c r="F30" s="243">
        <f t="shared" si="3"/>
        <v>1022297.207374208</v>
      </c>
      <c r="G30" s="243">
        <f t="shared" si="3"/>
        <v>322456.80949039245</v>
      </c>
      <c r="H30" s="243">
        <f t="shared" si="3"/>
        <v>483943.76892770379</v>
      </c>
      <c r="I30" s="243">
        <f t="shared" si="3"/>
        <v>275250.0347857062</v>
      </c>
      <c r="J30" s="243">
        <f t="shared" si="3"/>
        <v>110160.15483842544</v>
      </c>
      <c r="K30" s="243">
        <f t="shared" si="3"/>
        <v>139184.60981179381</v>
      </c>
      <c r="L30" s="243">
        <f t="shared" si="3"/>
        <v>13865.925812771928</v>
      </c>
      <c r="M30" s="243">
        <f t="shared" si="3"/>
        <v>221.01571743106675</v>
      </c>
      <c r="N30" s="244">
        <f t="shared" si="3"/>
        <v>9521.2427180193008</v>
      </c>
      <c r="P30" s="32">
        <f>SUM(F30:O30)</f>
        <v>2376900.7694764528</v>
      </c>
      <c r="Q30" s="32">
        <f>E30-P30</f>
        <v>0</v>
      </c>
    </row>
    <row r="31" spans="1:17" x14ac:dyDescent="0.3">
      <c r="A31" s="157"/>
      <c r="B31" s="35"/>
      <c r="C31" s="35"/>
      <c r="D31" s="35"/>
      <c r="E31" s="243"/>
      <c r="F31" s="243"/>
      <c r="G31" s="243"/>
      <c r="H31" s="243"/>
      <c r="I31" s="243"/>
      <c r="J31" s="243"/>
      <c r="K31" s="243"/>
      <c r="L31" s="243"/>
      <c r="M31" s="243"/>
      <c r="N31" s="244"/>
    </row>
    <row r="32" spans="1:17" x14ac:dyDescent="0.3">
      <c r="A32" s="157"/>
      <c r="B32" s="35" t="s">
        <v>978</v>
      </c>
      <c r="C32" s="35"/>
      <c r="D32" s="35"/>
      <c r="E32" s="243"/>
      <c r="F32" s="243"/>
      <c r="G32" s="243"/>
      <c r="H32" s="243"/>
      <c r="I32" s="243"/>
      <c r="J32" s="243"/>
      <c r="K32" s="243"/>
      <c r="L32" s="243"/>
      <c r="M32" s="243"/>
      <c r="N32" s="244"/>
    </row>
    <row r="33" spans="1:17" x14ac:dyDescent="0.3">
      <c r="A33" s="157"/>
      <c r="B33" s="35" t="s">
        <v>975</v>
      </c>
      <c r="C33" s="35"/>
      <c r="D33" s="35"/>
      <c r="E33" s="243">
        <f>-'9b. Summary Schedules-sf'!R207</f>
        <v>617275.01973020425</v>
      </c>
      <c r="F33" s="243">
        <f>$E33*'11a. AF by class'!F29/'11a. AF by class'!$E29</f>
        <v>442715.60377916298</v>
      </c>
      <c r="G33" s="243">
        <f>$E33*'11a. AF by class'!G29/'11a. AF by class'!$E29</f>
        <v>108878.36737809528</v>
      </c>
      <c r="H33" s="243">
        <f>$E33*'11a. AF by class'!H29/'11a. AF by class'!$E29</f>
        <v>58016.633459237099</v>
      </c>
      <c r="I33" s="243">
        <f>$E33*'11a. AF by class'!I29/'11a. AF by class'!$E29</f>
        <v>1578.8788055013674</v>
      </c>
      <c r="J33" s="243">
        <f>$E33*'11a. AF by class'!J29/'11a. AF by class'!$E29</f>
        <v>139.38115987751158</v>
      </c>
      <c r="K33" s="243">
        <f>$E33*'11a. AF by class'!K29/'11a. AF by class'!$E29</f>
        <v>30.199251306794178</v>
      </c>
      <c r="L33" s="243">
        <f>$E33*'11a. AF by class'!L29/'11a. AF by class'!$E29</f>
        <v>1.548679554194573</v>
      </c>
      <c r="M33" s="243">
        <f>$E33*'11a. AF by class'!M29/'11a. AF by class'!$E29</f>
        <v>1402.3293363231862</v>
      </c>
      <c r="N33" s="244">
        <f>$E33*'11a. AF by class'!N29/'11a. AF by class'!$E29</f>
        <v>4512.0778811458886</v>
      </c>
      <c r="P33" s="32">
        <f t="shared" ref="P33:P39" si="4">SUM(F33:O33)</f>
        <v>617275.01973020425</v>
      </c>
      <c r="Q33" s="32">
        <f t="shared" ref="Q33:Q39" si="5">E33-P33</f>
        <v>0</v>
      </c>
    </row>
    <row r="34" spans="1:17" x14ac:dyDescent="0.3">
      <c r="A34" s="157"/>
      <c r="B34" s="35" t="s">
        <v>976</v>
      </c>
      <c r="C34" s="35"/>
      <c r="D34" s="35"/>
      <c r="E34" s="243">
        <f>-'9b. Summary Schedules-sf'!S207</f>
        <v>152899.60445414591</v>
      </c>
      <c r="F34" s="243">
        <f>$E34*'11a. AF by class'!F30/'11a. AF by class'!$E30</f>
        <v>109673.04190990847</v>
      </c>
      <c r="G34" s="243">
        <f>$E34*'11a. AF by class'!G30/'11a. AF by class'!$E30</f>
        <v>26972.217935414625</v>
      </c>
      <c r="H34" s="243">
        <f>$E34*'11a. AF by class'!H30/'11a. AF by class'!$E30</f>
        <v>14372.343370171011</v>
      </c>
      <c r="I34" s="243">
        <f>$E34*'11a. AF by class'!I30/'11a. AF by class'!$E30</f>
        <v>383.45943084955218</v>
      </c>
      <c r="J34" s="243">
        <f>$E34*'11a. AF by class'!J30/'11a. AF by class'!$E30</f>
        <v>31.267577402939974</v>
      </c>
      <c r="K34" s="243">
        <f>$E34*'11a. AF by class'!K30/'11a. AF by class'!$E30</f>
        <v>2.110081910627851</v>
      </c>
      <c r="L34" s="243">
        <f>$E34*'11a. AF by class'!L30/'11a. AF by class'!$E30</f>
        <v>0</v>
      </c>
      <c r="M34" s="243">
        <f>$E34*'11a. AF by class'!M30/'11a. AF by class'!$E30</f>
        <v>347.39621274063984</v>
      </c>
      <c r="N34" s="244">
        <f>$E34*'11a. AF by class'!N30/'11a. AF by class'!$E30</f>
        <v>1117.7679357480445</v>
      </c>
      <c r="P34" s="32">
        <f t="shared" si="4"/>
        <v>152899.60445414588</v>
      </c>
      <c r="Q34" s="32">
        <f t="shared" si="5"/>
        <v>0</v>
      </c>
    </row>
    <row r="35" spans="1:17" x14ac:dyDescent="0.3">
      <c r="A35" s="157"/>
      <c r="B35" s="35" t="s">
        <v>931</v>
      </c>
      <c r="C35" s="35"/>
      <c r="D35" s="35"/>
      <c r="E35" s="243">
        <f>-'9b. Summary Schedules-sf'!T207</f>
        <v>336882.47264367866</v>
      </c>
      <c r="F35" s="243">
        <f>$E35*'11a. AF by class'!F31/'11a. AF by class'!$E31</f>
        <v>241641.73395258212</v>
      </c>
      <c r="G35" s="243">
        <f>$E35*'11a. AF by class'!G31/'11a. AF by class'!$E31</f>
        <v>59427.671531299864</v>
      </c>
      <c r="H35" s="243">
        <f>$E35*'11a. AF by class'!H31/'11a. AF by class'!$E31</f>
        <v>31666.468919343926</v>
      </c>
      <c r="I35" s="243">
        <f>$E35*'11a. AF by class'!I31/'11a. AF by class'!$E31</f>
        <v>844.87308966110334</v>
      </c>
      <c r="J35" s="243">
        <f>$E35*'11a. AF by class'!J31/'11a. AF by class'!$E31</f>
        <v>68.891602608684266</v>
      </c>
      <c r="K35" s="243">
        <f>$E35*'11a. AF by class'!K31/'11a. AF by class'!$E31</f>
        <v>4.6491265564142763</v>
      </c>
      <c r="L35" s="243">
        <f>$E35*'11a. AF by class'!L31/'11a. AF by class'!$E31</f>
        <v>0</v>
      </c>
      <c r="M35" s="243">
        <f>$E35*'11a. AF by class'!M31/'11a. AF by class'!$E31</f>
        <v>765.41529033329573</v>
      </c>
      <c r="N35" s="244">
        <f>$E35*'11a. AF by class'!N31/'11a. AF by class'!$E31</f>
        <v>2462.7691312932716</v>
      </c>
      <c r="P35" s="32">
        <f t="shared" si="4"/>
        <v>336882.47264367872</v>
      </c>
      <c r="Q35" s="32">
        <f t="shared" si="5"/>
        <v>0</v>
      </c>
    </row>
    <row r="36" spans="1:17" x14ac:dyDescent="0.3">
      <c r="A36" s="157"/>
      <c r="B36" s="35" t="s">
        <v>456</v>
      </c>
      <c r="C36" s="35"/>
      <c r="D36" s="35"/>
      <c r="E36" s="243">
        <f>-'9b. Summary Schedules-sf'!U207</f>
        <v>225323.76121160766</v>
      </c>
      <c r="F36" s="243">
        <f>$E36*'11a. AF by class'!F32/'11a. AF by class'!$E32</f>
        <v>123006.5319425628</v>
      </c>
      <c r="G36" s="243">
        <f>$E36*'11a. AF by class'!G32/'11a. AF by class'!$E32</f>
        <v>30251.362862349855</v>
      </c>
      <c r="H36" s="243">
        <f>$E36*'11a. AF by class'!H32/'11a. AF by class'!$E32</f>
        <v>48358.979100023484</v>
      </c>
      <c r="I36" s="243">
        <f>$E36*'11a. AF by class'!I32/'11a. AF by class'!$E32</f>
        <v>21503.923802997469</v>
      </c>
      <c r="J36" s="243">
        <f>$E36*'11a. AF by class'!J32/'11a. AF by class'!$E32</f>
        <v>1753.4465132008943</v>
      </c>
      <c r="K36" s="243">
        <f>$E36*'11a. AF by class'!K32/'11a. AF by class'!$E32</f>
        <v>118.33074628963089</v>
      </c>
      <c r="L36" s="243">
        <f>$E36*'11a. AF by class'!L32/'11a. AF by class'!$E32</f>
        <v>0</v>
      </c>
      <c r="M36" s="243">
        <f>$E36*'11a. AF by class'!M32/'11a. AF by class'!$E32</f>
        <v>331.18624418353329</v>
      </c>
      <c r="N36" s="244">
        <f>$E36*'11a. AF by class'!N32/'11a. AF by class'!$E32</f>
        <v>0</v>
      </c>
      <c r="P36" s="32">
        <f t="shared" si="4"/>
        <v>225323.76121160769</v>
      </c>
      <c r="Q36" s="32">
        <f t="shared" si="5"/>
        <v>0</v>
      </c>
    </row>
    <row r="37" spans="1:17" x14ac:dyDescent="0.3">
      <c r="A37" s="157"/>
      <c r="B37" s="35" t="s">
        <v>932</v>
      </c>
      <c r="C37" s="35"/>
      <c r="D37" s="35"/>
      <c r="E37" s="243">
        <f>-'9b. Summary Schedules-sf'!V207</f>
        <v>194158.51142555685</v>
      </c>
      <c r="F37" s="243">
        <f>$E37*'11a. AF by class'!F33/'11a. AF by class'!$E33</f>
        <v>0</v>
      </c>
      <c r="G37" s="243">
        <f>$E37*'11a. AF by class'!G33/'11a. AF by class'!$E33</f>
        <v>0</v>
      </c>
      <c r="H37" s="243">
        <f>$E37*'11a. AF by class'!H33/'11a. AF by class'!$E33</f>
        <v>0</v>
      </c>
      <c r="I37" s="243">
        <f>$E37*'11a. AF by class'!I33/'11a. AF by class'!$E33</f>
        <v>0</v>
      </c>
      <c r="J37" s="243">
        <f>$E37*'11a. AF by class'!J33/'11a. AF by class'!$E33</f>
        <v>0</v>
      </c>
      <c r="K37" s="243">
        <f>$E37*'11a. AF by class'!K33/'11a. AF by class'!$E33</f>
        <v>0</v>
      </c>
      <c r="L37" s="243">
        <f>$E37*'11a. AF by class'!L33/'11a. AF by class'!$E33</f>
        <v>0</v>
      </c>
      <c r="M37" s="243">
        <f>$E37*'11a. AF by class'!M33/'11a. AF by class'!$E33</f>
        <v>0</v>
      </c>
      <c r="N37" s="244">
        <f>$E37*'11a. AF by class'!N33/'11a. AF by class'!$E33</f>
        <v>194158.51142555685</v>
      </c>
      <c r="P37" s="32">
        <f t="shared" si="4"/>
        <v>194158.51142555685</v>
      </c>
      <c r="Q37" s="32">
        <f t="shared" si="5"/>
        <v>0</v>
      </c>
    </row>
    <row r="38" spans="1:17" x14ac:dyDescent="0.3">
      <c r="A38" s="157"/>
      <c r="B38" s="35" t="s">
        <v>1013</v>
      </c>
      <c r="C38" s="35"/>
      <c r="D38" s="35"/>
      <c r="E38" s="580">
        <f>-'9b. Summary Schedules-sf'!W207</f>
        <v>915.61226356775524</v>
      </c>
      <c r="F38" s="580">
        <f>$E38*'11a. AF by class'!F34/'11a. AF by class'!$E34</f>
        <v>319.23144513237054</v>
      </c>
      <c r="G38" s="580">
        <f>$E38*'11a. AF by class'!G34/'11a. AF by class'!$E34</f>
        <v>85.662503369873249</v>
      </c>
      <c r="H38" s="580">
        <f>$E38*'11a. AF by class'!H34/'11a. AF by class'!$E34</f>
        <v>208.21132951181792</v>
      </c>
      <c r="I38" s="580">
        <f>$E38*'11a. AF by class'!I34/'11a. AF by class'!$E34</f>
        <v>135.10907265933983</v>
      </c>
      <c r="J38" s="580">
        <f>$E38*'11a. AF by class'!J34/'11a. AF by class'!$E34</f>
        <v>65.171267297536787</v>
      </c>
      <c r="K38" s="580">
        <f>$E38*'11a. AF by class'!K34/'11a. AF by class'!$E34</f>
        <v>102.22664559681699</v>
      </c>
      <c r="L38" s="580">
        <f>$E38*'11a. AF by class'!L34/'11a. AF by class'!$E34</f>
        <v>0</v>
      </c>
      <c r="M38" s="580">
        <f>$E38*'11a. AF by class'!M34/'11a. AF by class'!$E34</f>
        <v>0</v>
      </c>
      <c r="N38" s="600">
        <f>$E38*'11a. AF by class'!N34/'11a. AF by class'!$E34</f>
        <v>0</v>
      </c>
      <c r="P38" s="32">
        <f t="shared" si="4"/>
        <v>915.61226356775535</v>
      </c>
      <c r="Q38" s="32">
        <f t="shared" si="5"/>
        <v>0</v>
      </c>
    </row>
    <row r="39" spans="1:17" x14ac:dyDescent="0.3">
      <c r="A39" s="157"/>
      <c r="B39" s="35" t="s">
        <v>979</v>
      </c>
      <c r="C39" s="35"/>
      <c r="D39" s="35"/>
      <c r="E39" s="243">
        <f t="shared" ref="E39:N39" si="6">SUM(E33:E38)</f>
        <v>1527454.981728761</v>
      </c>
      <c r="F39" s="243">
        <f t="shared" si="6"/>
        <v>917356.14302934869</v>
      </c>
      <c r="G39" s="243">
        <f t="shared" si="6"/>
        <v>225615.28221052952</v>
      </c>
      <c r="H39" s="243">
        <f t="shared" si="6"/>
        <v>152622.63617828736</v>
      </c>
      <c r="I39" s="243">
        <f t="shared" si="6"/>
        <v>24446.244201668833</v>
      </c>
      <c r="J39" s="243">
        <f t="shared" si="6"/>
        <v>2058.1581203875667</v>
      </c>
      <c r="K39" s="243">
        <f t="shared" si="6"/>
        <v>257.51585166028417</v>
      </c>
      <c r="L39" s="243">
        <f t="shared" si="6"/>
        <v>1.548679554194573</v>
      </c>
      <c r="M39" s="243">
        <f t="shared" si="6"/>
        <v>2846.3270835806552</v>
      </c>
      <c r="N39" s="244">
        <f t="shared" si="6"/>
        <v>202251.12637374405</v>
      </c>
      <c r="P39" s="32">
        <f t="shared" si="4"/>
        <v>1527454.9817287612</v>
      </c>
      <c r="Q39" s="32">
        <f t="shared" si="5"/>
        <v>0</v>
      </c>
    </row>
    <row r="40" spans="1:17" x14ac:dyDescent="0.3">
      <c r="A40" s="157"/>
      <c r="B40" s="35"/>
      <c r="C40" s="35"/>
      <c r="D40" s="35"/>
      <c r="E40" s="243"/>
      <c r="F40" s="243"/>
      <c r="G40" s="243"/>
      <c r="H40" s="243"/>
      <c r="I40" s="243"/>
      <c r="J40" s="243"/>
      <c r="K40" s="243"/>
      <c r="L40" s="243"/>
      <c r="M40" s="243"/>
      <c r="N40" s="244"/>
    </row>
    <row r="41" spans="1:17" x14ac:dyDescent="0.3">
      <c r="A41" s="157"/>
      <c r="B41" s="35" t="s">
        <v>543</v>
      </c>
      <c r="C41" s="35"/>
      <c r="D41" s="35"/>
      <c r="E41" s="243">
        <f t="shared" ref="E41:N41" si="7">SUM(E30,E39)</f>
        <v>3904355.7512052129</v>
      </c>
      <c r="F41" s="243">
        <f t="shared" si="7"/>
        <v>1939653.3504035566</v>
      </c>
      <c r="G41" s="243">
        <f t="shared" si="7"/>
        <v>548072.091700922</v>
      </c>
      <c r="H41" s="243">
        <f t="shared" si="7"/>
        <v>636566.40510599117</v>
      </c>
      <c r="I41" s="243">
        <f t="shared" si="7"/>
        <v>299696.27898737503</v>
      </c>
      <c r="J41" s="243">
        <f t="shared" si="7"/>
        <v>112218.31295881301</v>
      </c>
      <c r="K41" s="243">
        <f t="shared" si="7"/>
        <v>139442.12566345409</v>
      </c>
      <c r="L41" s="243">
        <f t="shared" si="7"/>
        <v>13867.474492326122</v>
      </c>
      <c r="M41" s="243">
        <f t="shared" si="7"/>
        <v>3067.3428010117218</v>
      </c>
      <c r="N41" s="244">
        <f t="shared" si="7"/>
        <v>211772.36909176334</v>
      </c>
      <c r="P41" s="32">
        <f>SUM(F41:O41)</f>
        <v>3904355.7512052124</v>
      </c>
      <c r="Q41" s="32">
        <f>E41-P41</f>
        <v>0</v>
      </c>
    </row>
    <row r="42" spans="1:17" x14ac:dyDescent="0.3">
      <c r="A42" s="157"/>
      <c r="B42" s="35"/>
      <c r="C42" s="35"/>
      <c r="D42" s="35"/>
      <c r="E42" s="243"/>
      <c r="F42" s="243"/>
      <c r="G42" s="243"/>
      <c r="H42" s="243"/>
      <c r="I42" s="243"/>
      <c r="J42" s="243"/>
      <c r="K42" s="243"/>
      <c r="L42" s="243"/>
      <c r="M42" s="243"/>
      <c r="N42" s="244"/>
    </row>
    <row r="43" spans="1:17" x14ac:dyDescent="0.3">
      <c r="A43" s="157" t="s">
        <v>907</v>
      </c>
      <c r="B43" s="35"/>
      <c r="C43" s="35"/>
      <c r="D43" s="35"/>
      <c r="E43" s="243"/>
      <c r="F43" s="243"/>
      <c r="G43" s="243"/>
      <c r="H43" s="243"/>
      <c r="I43" s="243"/>
      <c r="J43" s="243"/>
      <c r="K43" s="243"/>
      <c r="L43" s="243"/>
      <c r="M43" s="243"/>
      <c r="N43" s="244"/>
    </row>
    <row r="44" spans="1:17" x14ac:dyDescent="0.3">
      <c r="A44" s="157"/>
      <c r="B44" s="35" t="s">
        <v>907</v>
      </c>
      <c r="C44" s="35"/>
      <c r="D44" s="35"/>
      <c r="E44" s="243">
        <f>-'9b. Summary Schedules-sf'!Y207</f>
        <v>260821.2978619551</v>
      </c>
      <c r="F44" s="243">
        <f>$E44*'11a. AF by class'!F40/'11a. AF by class'!$E40</f>
        <v>138562.84059871995</v>
      </c>
      <c r="G44" s="243">
        <f>$E44*'11a. AF by class'!G40/'11a. AF by class'!$E40</f>
        <v>33585.867167823315</v>
      </c>
      <c r="H44" s="243">
        <f>$E44*'11a. AF by class'!H40/'11a. AF by class'!$E40</f>
        <v>72924.143891349027</v>
      </c>
      <c r="I44" s="243">
        <f>$E44*'11a. AF by class'!I40/'11a. AF by class'!$E40</f>
        <v>11424.044148106466</v>
      </c>
      <c r="J44" s="243">
        <f>$E44*'11a. AF by class'!J40/'11a. AF by class'!$E40</f>
        <v>1015.4861777646304</v>
      </c>
      <c r="K44" s="243">
        <f>$E44*'11a. AF by class'!K40/'11a. AF by class'!$E40</f>
        <v>2537.0110955749301</v>
      </c>
      <c r="L44" s="243">
        <f>$E44*'11a. AF by class'!L40/'11a. AF by class'!$E40</f>
        <v>307.58707015810228</v>
      </c>
      <c r="M44" s="243">
        <f>$E44*'11a. AF by class'!M40/'11a. AF by class'!$E40</f>
        <v>464.31771245862848</v>
      </c>
      <c r="N44" s="244">
        <f>$E44*'11a. AF by class'!N40/'11a. AF by class'!$E40</f>
        <v>0</v>
      </c>
      <c r="P44" s="32">
        <f>SUM(F44:O44)</f>
        <v>260821.29786195507</v>
      </c>
      <c r="Q44" s="32">
        <f>E44-P44</f>
        <v>0</v>
      </c>
    </row>
    <row r="45" spans="1:17" x14ac:dyDescent="0.3">
      <c r="A45" s="157"/>
      <c r="B45" s="35" t="s">
        <v>996</v>
      </c>
      <c r="C45" s="35"/>
      <c r="D45" s="35"/>
      <c r="E45" s="580">
        <f>-'9b. Summary Schedules-sf'!Z207</f>
        <v>21585.303193749587</v>
      </c>
      <c r="F45" s="580">
        <f>$E45*'11a. AF by class'!F41/'11a. AF by class'!$E41</f>
        <v>13923.532173927895</v>
      </c>
      <c r="G45" s="580">
        <f>$E45*'11a. AF by class'!G41/'11a. AF by class'!$E41</f>
        <v>3424.2557485953294</v>
      </c>
      <c r="H45" s="580">
        <f>$E45*'11a. AF by class'!H41/'11a. AF by class'!$E41</f>
        <v>3649.2793825067774</v>
      </c>
      <c r="I45" s="580">
        <f>$E45*'11a. AF by class'!I41/'11a. AF by class'!$E41</f>
        <v>496.56189344744797</v>
      </c>
      <c r="J45" s="580">
        <f>$E45*'11a. AF by class'!J41/'11a. AF by class'!$E41</f>
        <v>43.835772839892414</v>
      </c>
      <c r="K45" s="580">
        <f>$E45*'11a. AF by class'!K41/'11a. AF by class'!$E41</f>
        <v>9.4977507819766913</v>
      </c>
      <c r="L45" s="580">
        <f>$E45*'11a. AF by class'!L41/'11a. AF by class'!$E41</f>
        <v>0.85236224966457474</v>
      </c>
      <c r="M45" s="580">
        <f>$E45*'11a. AF by class'!M41/'11a. AF by class'!$E41</f>
        <v>37.488109400604664</v>
      </c>
      <c r="N45" s="600">
        <f>$E45*'11a. AF by class'!N41/'11a. AF by class'!$E41</f>
        <v>0</v>
      </c>
      <c r="P45" s="32">
        <f>SUM(F45:O45)</f>
        <v>21585.303193749587</v>
      </c>
      <c r="Q45" s="32">
        <f>E45-P45</f>
        <v>0</v>
      </c>
    </row>
    <row r="46" spans="1:17" x14ac:dyDescent="0.3">
      <c r="A46" s="157"/>
      <c r="B46" s="35" t="s">
        <v>997</v>
      </c>
      <c r="C46" s="35"/>
      <c r="D46" s="35"/>
      <c r="E46" s="243">
        <f>E44+E45</f>
        <v>282406.6010557047</v>
      </c>
      <c r="F46" s="243">
        <f t="shared" ref="F46:N46" si="8">SUM(F44:F45)</f>
        <v>152486.37277264785</v>
      </c>
      <c r="G46" s="243">
        <f t="shared" si="8"/>
        <v>37010.122916418644</v>
      </c>
      <c r="H46" s="243">
        <f t="shared" si="8"/>
        <v>76573.423273855806</v>
      </c>
      <c r="I46" s="243">
        <f t="shared" si="8"/>
        <v>11920.606041553914</v>
      </c>
      <c r="J46" s="243">
        <f t="shared" si="8"/>
        <v>1059.3219506045227</v>
      </c>
      <c r="K46" s="243">
        <f t="shared" si="8"/>
        <v>2546.5088463569068</v>
      </c>
      <c r="L46" s="243">
        <f t="shared" si="8"/>
        <v>308.43943240776684</v>
      </c>
      <c r="M46" s="243">
        <f t="shared" si="8"/>
        <v>501.80582185923316</v>
      </c>
      <c r="N46" s="244">
        <f t="shared" si="8"/>
        <v>0</v>
      </c>
      <c r="P46" s="32">
        <f>SUM(F46:O46)</f>
        <v>282406.60105570458</v>
      </c>
      <c r="Q46" s="32">
        <f>E46-P46</f>
        <v>0</v>
      </c>
    </row>
    <row r="47" spans="1:17" x14ac:dyDescent="0.3">
      <c r="A47" s="157"/>
      <c r="B47" s="35"/>
      <c r="C47" s="35"/>
      <c r="D47" s="35"/>
      <c r="E47" s="243"/>
      <c r="F47" s="243"/>
      <c r="G47" s="243"/>
      <c r="H47" s="243"/>
      <c r="I47" s="243"/>
      <c r="J47" s="243"/>
      <c r="K47" s="243"/>
      <c r="L47" s="243"/>
      <c r="M47" s="243"/>
      <c r="N47" s="244"/>
    </row>
    <row r="48" spans="1:17" x14ac:dyDescent="0.3">
      <c r="A48" s="157" t="s">
        <v>84</v>
      </c>
      <c r="B48" s="35"/>
      <c r="C48" s="35"/>
      <c r="D48" s="35"/>
      <c r="E48" s="243">
        <f>-'9b. Summary Schedules-sf'!AA207</f>
        <v>16480.23418976742</v>
      </c>
      <c r="F48" s="243">
        <f>$E48*'11a. AF by class'!F44/'11a. AF by class'!$E44</f>
        <v>9888.1143984311475</v>
      </c>
      <c r="G48" s="243">
        <f>$E48*'11a. AF by class'!G44/'11a. AF by class'!$E44</f>
        <v>2431.8134327292755</v>
      </c>
      <c r="H48" s="243">
        <f>$E48*'11a. AF by class'!H44/'11a. AF by class'!$E44</f>
        <v>3887.4286591191453</v>
      </c>
      <c r="I48" s="243">
        <f>$E48*'11a. AF by class'!I44/'11a. AF by class'!$E44</f>
        <v>176.32238526026234</v>
      </c>
      <c r="J48" s="243">
        <f>$E48*'11a. AF by class'!J44/'11a. AF by class'!$E44</f>
        <v>15.565487663976077</v>
      </c>
      <c r="K48" s="243">
        <f>$E48*'11a. AF by class'!K44/'11a. AF by class'!$E44</f>
        <v>3.3725223271948166</v>
      </c>
      <c r="L48" s="243">
        <f>$E48*'11a. AF by class'!L44/'11a. AF by class'!$E44</f>
        <v>0.60532452026573635</v>
      </c>
      <c r="M48" s="243">
        <f>$E48*'11a. AF by class'!M44/'11a. AF by class'!$E44</f>
        <v>26.62303715060175</v>
      </c>
      <c r="N48" s="244">
        <f>$E48*'11a. AF by class'!N44/'11a. AF by class'!$E44</f>
        <v>50.388942565549222</v>
      </c>
      <c r="P48" s="32">
        <f>SUM(F48:O48)</f>
        <v>16480.23418976742</v>
      </c>
      <c r="Q48" s="32">
        <f>E48-P48</f>
        <v>0</v>
      </c>
    </row>
    <row r="49" spans="1:17" x14ac:dyDescent="0.3">
      <c r="A49" s="157"/>
      <c r="B49" s="35"/>
      <c r="C49" s="35"/>
      <c r="D49" s="35"/>
      <c r="E49" s="243"/>
      <c r="F49" s="243"/>
      <c r="G49" s="243"/>
      <c r="H49" s="243"/>
      <c r="I49" s="243"/>
      <c r="J49" s="243"/>
      <c r="K49" s="243"/>
      <c r="L49" s="243"/>
      <c r="M49" s="243"/>
      <c r="N49" s="244"/>
    </row>
    <row r="50" spans="1:17" x14ac:dyDescent="0.3">
      <c r="A50" s="157" t="s">
        <v>82</v>
      </c>
      <c r="B50" s="35"/>
      <c r="C50" s="35"/>
      <c r="D50" s="35"/>
      <c r="E50" s="243"/>
      <c r="F50" s="243"/>
      <c r="G50" s="243"/>
      <c r="H50" s="243"/>
      <c r="I50" s="243"/>
      <c r="J50" s="243"/>
      <c r="K50" s="243"/>
      <c r="L50" s="243"/>
      <c r="M50" s="243"/>
      <c r="N50" s="244"/>
    </row>
    <row r="51" spans="1:17" x14ac:dyDescent="0.3">
      <c r="A51" s="157"/>
      <c r="B51" s="35" t="s">
        <v>81</v>
      </c>
      <c r="C51" s="35"/>
      <c r="D51" s="35"/>
      <c r="E51" s="243">
        <f>-'9b. Summary Schedules-sf'!AC207</f>
        <v>70429.032206784788</v>
      </c>
      <c r="F51" s="243">
        <f>$E51*'11a. AF by class'!F47/'11a. AF by class'!$E47</f>
        <v>50697.354400487107</v>
      </c>
      <c r="G51" s="243">
        <f>$E51*'11a. AF by class'!G47/'11a. AF by class'!$E47</f>
        <v>12468.151405540159</v>
      </c>
      <c r="H51" s="243">
        <f>$E51*'11a. AF by class'!H47/'11a. AF by class'!$E47</f>
        <v>6643.7455614807895</v>
      </c>
      <c r="I51" s="243">
        <f>$E51*'11a. AF by class'!I47/'11a. AF by class'!$E47</f>
        <v>180.80451123617706</v>
      </c>
      <c r="J51" s="243">
        <f>$E51*'11a. AF by class'!J47/'11a. AF by class'!$E47</f>
        <v>15.961163326391304</v>
      </c>
      <c r="K51" s="243">
        <f>$E51*'11a. AF by class'!K47/'11a. AF by class'!$E47</f>
        <v>3.4582520540514494</v>
      </c>
      <c r="L51" s="243">
        <f>$E51*'11a. AF by class'!L47/'11a. AF by class'!$E47</f>
        <v>0.62071190713743951</v>
      </c>
      <c r="M51" s="243">
        <f>$E51*'11a. AF by class'!M47/'11a. AF by class'!$E47</f>
        <v>160.58703768941473</v>
      </c>
      <c r="N51" s="244">
        <f>$E51*'11a. AF by class'!N47/'11a. AF by class'!$E47</f>
        <v>258.34916306356143</v>
      </c>
      <c r="P51" s="32">
        <f>SUM(F51:O51)</f>
        <v>70429.032206784774</v>
      </c>
      <c r="Q51" s="32">
        <f>E51-P51</f>
        <v>0</v>
      </c>
    </row>
    <row r="52" spans="1:17" x14ac:dyDescent="0.3">
      <c r="A52" s="157"/>
      <c r="B52" s="35" t="s">
        <v>1007</v>
      </c>
      <c r="C52" s="35"/>
      <c r="D52" s="35"/>
      <c r="E52" s="243">
        <f>-'9b. Summary Schedules-sf'!AD207</f>
        <v>6855.3365711190418</v>
      </c>
      <c r="F52" s="243">
        <f>$E52*'11a. AF by class'!F48/'11a. AF by class'!$E48</f>
        <v>2379.6594040417704</v>
      </c>
      <c r="G52" s="243">
        <f>$E52*'11a. AF by class'!G48/'11a. AF by class'!$E48</f>
        <v>638.55733771261953</v>
      </c>
      <c r="H52" s="243">
        <f>$E52*'11a. AF by class'!H48/'11a. AF by class'!$E48</f>
        <v>1552.0778289726063</v>
      </c>
      <c r="I52" s="243">
        <f>$E52*'11a. AF by class'!I48/'11a. AF by class'!$E48</f>
        <v>1007.1488264316945</v>
      </c>
      <c r="J52" s="243">
        <f>$E52*'11a. AF by class'!J48/'11a. AF by class'!$E48</f>
        <v>485.80871797763069</v>
      </c>
      <c r="K52" s="243">
        <f>$E52*'11a. AF by class'!K48/'11a. AF by class'!$E48</f>
        <v>762.03206873069837</v>
      </c>
      <c r="L52" s="243">
        <f>$E52*'11a. AF by class'!L48/'11a. AF by class'!$E48</f>
        <v>0</v>
      </c>
      <c r="M52" s="243">
        <f>$E52*'11a. AF by class'!M48/'11a. AF by class'!$E48</f>
        <v>1.3689507897791529</v>
      </c>
      <c r="N52" s="244">
        <f>$E52*'11a. AF by class'!N48/'11a. AF by class'!$E48</f>
        <v>28.683436462243009</v>
      </c>
      <c r="P52" s="32">
        <f>SUM(F52:O52)</f>
        <v>6855.3365711190399</v>
      </c>
      <c r="Q52" s="32">
        <f>E52-P52</f>
        <v>0</v>
      </c>
    </row>
    <row r="53" spans="1:17" x14ac:dyDescent="0.3">
      <c r="A53" s="157"/>
      <c r="B53" s="35" t="s">
        <v>1008</v>
      </c>
      <c r="C53" s="35"/>
      <c r="D53" s="35"/>
      <c r="E53" s="580">
        <f>-'9b. Summary Schedules-sf'!AE207</f>
        <v>0</v>
      </c>
      <c r="F53" s="580">
        <f>$E53*'11a. AF by class'!F49/'11a. AF by class'!$E49</f>
        <v>0</v>
      </c>
      <c r="G53" s="580">
        <f>$E53*'11a. AF by class'!G49/'11a. AF by class'!$E49</f>
        <v>0</v>
      </c>
      <c r="H53" s="580">
        <f>$E53*'11a. AF by class'!H49/'11a. AF by class'!$E49</f>
        <v>0</v>
      </c>
      <c r="I53" s="580">
        <f>$E53*'11a. AF by class'!I49/'11a. AF by class'!$E49</f>
        <v>0</v>
      </c>
      <c r="J53" s="580">
        <f>$E53*'11a. AF by class'!J49/'11a. AF by class'!$E49</f>
        <v>0</v>
      </c>
      <c r="K53" s="580">
        <f>$E53*'11a. AF by class'!K49/'11a. AF by class'!$E49</f>
        <v>0</v>
      </c>
      <c r="L53" s="580">
        <f>$E53*'11a. AF by class'!L49/'11a. AF by class'!$E49</f>
        <v>0</v>
      </c>
      <c r="M53" s="580">
        <f>$E53*'11a. AF by class'!M49/'11a. AF by class'!$E49</f>
        <v>0</v>
      </c>
      <c r="N53" s="600">
        <f>$E53*'11a. AF by class'!N49/'11a. AF by class'!$E49</f>
        <v>0</v>
      </c>
      <c r="P53" s="32">
        <f>SUM(F53:O53)</f>
        <v>0</v>
      </c>
      <c r="Q53" s="32">
        <f>E53-P53</f>
        <v>0</v>
      </c>
    </row>
    <row r="54" spans="1:17" x14ac:dyDescent="0.3">
      <c r="A54" s="157"/>
      <c r="B54" s="35" t="s">
        <v>83</v>
      </c>
      <c r="C54" s="35"/>
      <c r="D54" s="35"/>
      <c r="E54" s="243">
        <f t="shared" ref="E54:N54" si="9">SUM(E51:E53)</f>
        <v>77284.36877790383</v>
      </c>
      <c r="F54" s="243">
        <f t="shared" si="9"/>
        <v>53077.013804528877</v>
      </c>
      <c r="G54" s="243">
        <f t="shared" si="9"/>
        <v>13106.708743252779</v>
      </c>
      <c r="H54" s="243">
        <f t="shared" si="9"/>
        <v>8195.8233904533954</v>
      </c>
      <c r="I54" s="243">
        <f t="shared" si="9"/>
        <v>1187.9533376678714</v>
      </c>
      <c r="J54" s="243">
        <f t="shared" si="9"/>
        <v>501.76988130402202</v>
      </c>
      <c r="K54" s="243">
        <f t="shared" si="9"/>
        <v>765.49032078474977</v>
      </c>
      <c r="L54" s="243">
        <f t="shared" si="9"/>
        <v>0.62071190713743951</v>
      </c>
      <c r="M54" s="243">
        <f t="shared" si="9"/>
        <v>161.95598847919388</v>
      </c>
      <c r="N54" s="244">
        <f t="shared" si="9"/>
        <v>287.03259952580447</v>
      </c>
      <c r="P54" s="32">
        <f>SUM(F54:O54)</f>
        <v>77284.36877790383</v>
      </c>
      <c r="Q54" s="32">
        <f>E54-P54</f>
        <v>0</v>
      </c>
    </row>
    <row r="55" spans="1:17" x14ac:dyDescent="0.3">
      <c r="A55" s="157"/>
      <c r="B55" s="35"/>
      <c r="C55" s="35"/>
      <c r="D55" s="35"/>
      <c r="E55" s="243"/>
      <c r="F55" s="243"/>
      <c r="G55" s="243"/>
      <c r="H55" s="243"/>
      <c r="I55" s="243"/>
      <c r="J55" s="243"/>
      <c r="K55" s="243"/>
      <c r="L55" s="243"/>
      <c r="M55" s="243"/>
      <c r="N55" s="244"/>
    </row>
    <row r="56" spans="1:17" x14ac:dyDescent="0.3">
      <c r="A56" s="157" t="s">
        <v>912</v>
      </c>
      <c r="B56" s="35"/>
      <c r="C56" s="35"/>
      <c r="D56" s="53"/>
      <c r="E56" s="243"/>
      <c r="F56" s="243"/>
      <c r="G56" s="243"/>
      <c r="H56" s="243"/>
      <c r="I56" s="243"/>
      <c r="J56" s="243"/>
      <c r="K56" s="243"/>
      <c r="L56" s="243"/>
      <c r="M56" s="243"/>
      <c r="N56" s="244"/>
    </row>
    <row r="57" spans="1:17" x14ac:dyDescent="0.3">
      <c r="A57" s="157"/>
      <c r="B57" s="35" t="s">
        <v>1006</v>
      </c>
      <c r="C57" s="35"/>
      <c r="D57" s="53"/>
      <c r="E57" s="580">
        <f>-'9b. Summary Schedules-sf'!AG207</f>
        <v>15372.495370829585</v>
      </c>
      <c r="F57" s="580">
        <f>$E57*'11a. AF by class'!F53/'11a. AF by class'!$E53</f>
        <v>5336.1790180947737</v>
      </c>
      <c r="G57" s="580">
        <f>$E57*'11a. AF by class'!G53/'11a. AF by class'!$E53</f>
        <v>1431.9092310290671</v>
      </c>
      <c r="H57" s="580">
        <f>$E57*'11a. AF by class'!H53/'11a. AF by class'!$E53</f>
        <v>3480.3993930168053</v>
      </c>
      <c r="I57" s="580">
        <f>$E57*'11a. AF by class'!I53/'11a. AF by class'!$E53</f>
        <v>2258.4435514492002</v>
      </c>
      <c r="J57" s="580">
        <f>$E57*'11a. AF by class'!J53/'11a. AF by class'!$E53</f>
        <v>1089.3837510009691</v>
      </c>
      <c r="K57" s="580">
        <f>$E57*'11a. AF by class'!K53/'11a. AF by class'!$E53</f>
        <v>1708.7905644688346</v>
      </c>
      <c r="L57" s="580">
        <f>$E57*'11a. AF by class'!L53/'11a. AF by class'!$E53</f>
        <v>0</v>
      </c>
      <c r="M57" s="580">
        <f>$E57*'11a. AF by class'!M53/'11a. AF by class'!$E53</f>
        <v>3.0697529523832481</v>
      </c>
      <c r="N57" s="600">
        <f>$E57*'11a. AF by class'!N53/'11a. AF by class'!$E53</f>
        <v>64.320108817551201</v>
      </c>
      <c r="P57" s="32">
        <f>SUM(F57:O57)</f>
        <v>15372.495370829585</v>
      </c>
      <c r="Q57" s="32">
        <f>E57-P57</f>
        <v>0</v>
      </c>
    </row>
    <row r="58" spans="1:17" x14ac:dyDescent="0.3">
      <c r="A58" s="157"/>
      <c r="B58" s="35" t="s">
        <v>1014</v>
      </c>
      <c r="C58" s="35"/>
      <c r="D58" s="53"/>
      <c r="E58" s="243">
        <f t="shared" ref="E58:N58" si="10">SUM(E57:E57)</f>
        <v>15372.495370829585</v>
      </c>
      <c r="F58" s="243">
        <f t="shared" si="10"/>
        <v>5336.1790180947737</v>
      </c>
      <c r="G58" s="243">
        <f t="shared" si="10"/>
        <v>1431.9092310290671</v>
      </c>
      <c r="H58" s="243">
        <f t="shared" si="10"/>
        <v>3480.3993930168053</v>
      </c>
      <c r="I58" s="243">
        <f t="shared" si="10"/>
        <v>2258.4435514492002</v>
      </c>
      <c r="J58" s="243">
        <f t="shared" si="10"/>
        <v>1089.3837510009691</v>
      </c>
      <c r="K58" s="243">
        <f t="shared" si="10"/>
        <v>1708.7905644688346</v>
      </c>
      <c r="L58" s="243">
        <f t="shared" si="10"/>
        <v>0</v>
      </c>
      <c r="M58" s="243">
        <f t="shared" si="10"/>
        <v>3.0697529523832481</v>
      </c>
      <c r="N58" s="244">
        <f t="shared" si="10"/>
        <v>64.320108817551201</v>
      </c>
      <c r="P58" s="32">
        <f>SUM(F58:O58)</f>
        <v>15372.495370829585</v>
      </c>
      <c r="Q58" s="32">
        <f>E58-P58</f>
        <v>0</v>
      </c>
    </row>
    <row r="59" spans="1:17" x14ac:dyDescent="0.3">
      <c r="A59" s="157"/>
      <c r="B59" s="35"/>
      <c r="C59" s="35"/>
      <c r="D59" s="35"/>
      <c r="E59" s="243"/>
      <c r="F59" s="243"/>
      <c r="G59" s="243"/>
      <c r="H59" s="243"/>
      <c r="I59" s="243"/>
      <c r="J59" s="243"/>
      <c r="K59" s="243"/>
      <c r="L59" s="243"/>
      <c r="M59" s="243"/>
      <c r="N59" s="244"/>
    </row>
    <row r="60" spans="1:17" x14ac:dyDescent="0.3">
      <c r="A60" s="157" t="s">
        <v>913</v>
      </c>
      <c r="B60" s="35"/>
      <c r="C60" s="35"/>
      <c r="D60" s="35"/>
      <c r="E60" s="243">
        <f>-'9b. Summary Schedules-sf'!AH207</f>
        <v>-59785.648869029399</v>
      </c>
      <c r="F60" s="243">
        <f>$E60*'11a. AF by class'!F56/'11a. AF by class'!$E56</f>
        <v>-23778.246549196294</v>
      </c>
      <c r="G60" s="243">
        <f>$E60*'11a. AF by class'!G56/'11a. AF by class'!$E56</f>
        <v>-6095.5907726460509</v>
      </c>
      <c r="H60" s="243">
        <f>$E60*'11a. AF by class'!H56/'11a. AF by class'!$E56</f>
        <v>-14017.816200645731</v>
      </c>
      <c r="I60" s="243">
        <f>$E60*'11a. AF by class'!I56/'11a. AF by class'!$E56</f>
        <v>-7883.5220336093525</v>
      </c>
      <c r="J60" s="243">
        <f>$E60*'11a. AF by class'!J56/'11a. AF by class'!$E56</f>
        <v>-3419.4274123491091</v>
      </c>
      <c r="K60" s="243">
        <f>$E60*'11a. AF by class'!K56/'11a. AF by class'!$E56</f>
        <v>-4590.9343935022689</v>
      </c>
      <c r="L60" s="243">
        <f>$E60*'11a. AF by class'!L56/'11a. AF by class'!$E56</f>
        <v>0</v>
      </c>
      <c r="M60" s="243">
        <f>$E60*'11a. AF by class'!M56/'11a. AF by class'!$E56</f>
        <v>0</v>
      </c>
      <c r="N60" s="244">
        <f>$E60*'11a. AF by class'!N56/'11a. AF by class'!$E56</f>
        <v>-0.11150708058788079</v>
      </c>
      <c r="P60" s="32">
        <f>SUM(F60:O60)</f>
        <v>-59785.648869029406</v>
      </c>
      <c r="Q60" s="32">
        <f>E60-P60</f>
        <v>0</v>
      </c>
    </row>
    <row r="61" spans="1:17" x14ac:dyDescent="0.3">
      <c r="A61" s="157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158"/>
    </row>
    <row r="62" spans="1:17" x14ac:dyDescent="0.3">
      <c r="A62" s="157" t="s">
        <v>1001</v>
      </c>
      <c r="B62" s="35"/>
      <c r="C62" s="35"/>
      <c r="D62" s="35"/>
      <c r="E62" s="35">
        <f t="shared" ref="E62:N62" si="11">SUM(E18,E20,E22,E41,E46,E48,E54,E58,E60)</f>
        <v>10385873.172306305</v>
      </c>
      <c r="F62" s="35">
        <f t="shared" si="11"/>
        <v>4573096.0696804486</v>
      </c>
      <c r="G62" s="35">
        <f t="shared" si="11"/>
        <v>1316424.9454797441</v>
      </c>
      <c r="H62" s="35">
        <f t="shared" si="11"/>
        <v>2002871.1254665912</v>
      </c>
      <c r="I62" s="35">
        <f t="shared" si="11"/>
        <v>1065920.4192776356</v>
      </c>
      <c r="J62" s="35">
        <f t="shared" si="11"/>
        <v>432090.83112810773</v>
      </c>
      <c r="K62" s="35">
        <f t="shared" si="11"/>
        <v>616112.10726413003</v>
      </c>
      <c r="L62" s="35">
        <f t="shared" si="11"/>
        <v>136452.66237825458</v>
      </c>
      <c r="M62" s="35">
        <f t="shared" si="11"/>
        <v>4435.9841330446025</v>
      </c>
      <c r="N62" s="158">
        <f t="shared" si="11"/>
        <v>238469.02749834926</v>
      </c>
      <c r="P62" s="32">
        <f>SUM(F62:O62)</f>
        <v>10385873.172306307</v>
      </c>
      <c r="Q62" s="32">
        <f>E62-P62</f>
        <v>0</v>
      </c>
    </row>
    <row r="63" spans="1:17" ht="13.5" thickBot="1" x14ac:dyDescent="0.35">
      <c r="A63" s="33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161"/>
    </row>
  </sheetData>
  <phoneticPr fontId="0" type="noConversion"/>
  <printOptions horizontalCentered="1" gridLines="1" gridLinesSet="0"/>
  <pageMargins left="0" right="0" top="0.5" bottom="0.4" header="0.2" footer="0.2"/>
  <pageSetup scale="65" orientation="landscape" horizontalDpi="300" verticalDpi="300" r:id="rId1"/>
  <headerFooter alignWithMargins="0">
    <oddFooter>&amp;L&amp;8&amp;F&amp;C&amp;8&amp;A
page &amp;P&amp;R&amp;8&amp;D
&amp;T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BB60"/>
  <sheetViews>
    <sheetView zoomScale="70" zoomScaleNormal="70" workbookViewId="0">
      <pane xSplit="2" ySplit="7" topLeftCell="C8" activePane="bottomRight" state="frozen"/>
      <selection activeCell="C9" sqref="C9"/>
      <selection pane="topRight" activeCell="C9" sqref="C9"/>
      <selection pane="bottomLeft" activeCell="C9" sqref="C9"/>
      <selection pane="bottomRight" activeCell="C8" sqref="C8"/>
    </sheetView>
  </sheetViews>
  <sheetFormatPr defaultColWidth="9.1796875" defaultRowHeight="13" x14ac:dyDescent="0.3"/>
  <cols>
    <col min="1" max="1" width="20.81640625" style="32" customWidth="1"/>
    <col min="2" max="2" width="21.453125" style="32" customWidth="1"/>
    <col min="3" max="3" width="12.1796875" style="32" bestFit="1" customWidth="1"/>
    <col min="4" max="4" width="4.453125" style="32" customWidth="1"/>
    <col min="5" max="5" width="17" style="32" bestFit="1" customWidth="1"/>
    <col min="6" max="8" width="15" style="32" customWidth="1"/>
    <col min="9" max="9" width="15.453125" style="32" bestFit="1" customWidth="1"/>
    <col min="10" max="10" width="14.54296875" style="32" bestFit="1" customWidth="1"/>
    <col min="11" max="11" width="15.453125" style="32" bestFit="1" customWidth="1"/>
    <col min="12" max="12" width="13.54296875" style="32" bestFit="1" customWidth="1"/>
    <col min="13" max="14" width="12.54296875" style="32" customWidth="1"/>
    <col min="15" max="15" width="0.54296875" style="32" customWidth="1"/>
    <col min="16" max="16" width="15.54296875" style="32" bestFit="1" customWidth="1"/>
    <col min="17" max="17" width="9.54296875" style="32" bestFit="1" customWidth="1"/>
    <col min="18" max="18" width="1.54296875" style="32" customWidth="1"/>
    <col min="19" max="19" width="15.453125" style="32" bestFit="1" customWidth="1"/>
    <col min="20" max="20" width="1" style="32" customWidth="1"/>
    <col min="21" max="21" width="14.54296875" style="32" bestFit="1" customWidth="1"/>
    <col min="22" max="16384" width="9.1796875" style="32"/>
  </cols>
  <sheetData>
    <row r="1" spans="1:54" x14ac:dyDescent="0.3">
      <c r="A1" s="301" t="str">
        <f>'1. RB-i'!$A$1</f>
        <v>CPS Energy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3"/>
      <c r="O1" s="42"/>
      <c r="P1" s="42"/>
    </row>
    <row r="2" spans="1:54" x14ac:dyDescent="0.3">
      <c r="A2" s="307" t="s">
        <v>324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98"/>
      <c r="O2" s="35"/>
      <c r="P2" s="35"/>
    </row>
    <row r="3" spans="1:54" x14ac:dyDescent="0.3">
      <c r="A3" s="307" t="str">
        <f>'10a. RB by class'!A3:N3</f>
        <v>Based on FYE 2017 Test Year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98"/>
      <c r="O3" s="31"/>
      <c r="P3" s="31"/>
      <c r="Q3" s="35"/>
      <c r="R3" s="35"/>
      <c r="S3" s="1"/>
      <c r="T3" s="1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</row>
    <row r="4" spans="1:54" s="179" customFormat="1" x14ac:dyDescent="0.3">
      <c r="A4" s="304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305"/>
    </row>
    <row r="5" spans="1:54" s="179" customFormat="1" x14ac:dyDescent="0.3">
      <c r="A5" s="304"/>
      <c r="B5" s="196"/>
      <c r="C5" s="196"/>
      <c r="D5" s="196"/>
      <c r="E5" s="196"/>
      <c r="F5" s="196"/>
      <c r="G5" s="196"/>
      <c r="H5" s="199"/>
      <c r="I5" s="199"/>
      <c r="J5" s="199"/>
      <c r="K5" s="196"/>
      <c r="L5" s="196"/>
      <c r="M5" s="196"/>
      <c r="N5" s="305"/>
      <c r="P5" s="179" t="s">
        <v>832</v>
      </c>
    </row>
    <row r="6" spans="1:54" s="179" customFormat="1" x14ac:dyDescent="0.3">
      <c r="A6" s="304"/>
      <c r="B6" s="196"/>
      <c r="C6" s="196" t="s">
        <v>359</v>
      </c>
      <c r="D6" s="196"/>
      <c r="E6" s="196" t="s">
        <v>355</v>
      </c>
      <c r="F6" s="196" t="s">
        <v>961</v>
      </c>
      <c r="G6" s="196" t="s">
        <v>962</v>
      </c>
      <c r="H6" s="196" t="s">
        <v>963</v>
      </c>
      <c r="I6" s="196" t="s">
        <v>964</v>
      </c>
      <c r="J6" s="196" t="s">
        <v>965</v>
      </c>
      <c r="K6" s="196" t="s">
        <v>966</v>
      </c>
      <c r="L6" s="196" t="s">
        <v>967</v>
      </c>
      <c r="M6" s="196" t="s">
        <v>968</v>
      </c>
      <c r="N6" s="305" t="s">
        <v>932</v>
      </c>
      <c r="P6" s="179" t="s">
        <v>833</v>
      </c>
      <c r="Q6" s="179" t="s">
        <v>824</v>
      </c>
      <c r="S6" s="179" t="s">
        <v>342</v>
      </c>
      <c r="U6" s="179" t="s">
        <v>195</v>
      </c>
    </row>
    <row r="7" spans="1:54" s="168" customFormat="1" ht="13.5" thickBot="1" x14ac:dyDescent="0.35">
      <c r="A7" s="299"/>
      <c r="B7" s="282"/>
      <c r="C7" s="282"/>
      <c r="D7" s="282"/>
      <c r="E7" s="282" t="s">
        <v>816</v>
      </c>
      <c r="F7" s="282" t="s">
        <v>817</v>
      </c>
      <c r="G7" s="282" t="s">
        <v>818</v>
      </c>
      <c r="H7" s="282" t="s">
        <v>819</v>
      </c>
      <c r="I7" s="282" t="s">
        <v>820</v>
      </c>
      <c r="J7" s="282" t="s">
        <v>821</v>
      </c>
      <c r="K7" s="282" t="s">
        <v>822</v>
      </c>
      <c r="L7" s="282" t="s">
        <v>823</v>
      </c>
      <c r="M7" s="282" t="s">
        <v>908</v>
      </c>
      <c r="N7" s="300" t="s">
        <v>914</v>
      </c>
    </row>
    <row r="8" spans="1:54" x14ac:dyDescent="0.3">
      <c r="A8" s="157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158"/>
      <c r="O8" s="35"/>
      <c r="P8" s="35"/>
    </row>
    <row r="9" spans="1:54" x14ac:dyDescent="0.3">
      <c r="A9" s="157" t="s">
        <v>1265</v>
      </c>
      <c r="B9" s="35"/>
      <c r="C9" s="35"/>
      <c r="D9" s="35"/>
      <c r="E9" s="35">
        <f>'10a. RB by class'!E62</f>
        <v>6686594345.7346487</v>
      </c>
      <c r="F9" s="35">
        <f>'10a. RB by class'!F62</f>
        <v>2933439982.4509401</v>
      </c>
      <c r="G9" s="35">
        <f>'10a. RB by class'!G62</f>
        <v>843725214.19341743</v>
      </c>
      <c r="H9" s="35">
        <f>'10a. RB by class'!H62</f>
        <v>1292474199.4392307</v>
      </c>
      <c r="I9" s="35">
        <f>'10a. RB by class'!I62</f>
        <v>690603733.66046226</v>
      </c>
      <c r="J9" s="35">
        <f>'10a. RB by class'!J62</f>
        <v>281148835.67992032</v>
      </c>
      <c r="K9" s="35">
        <f>'10a. RB by class'!K62</f>
        <v>402181411.83532226</v>
      </c>
      <c r="L9" s="35">
        <f>'10a. RB by class'!L62</f>
        <v>88666980.963890865</v>
      </c>
      <c r="M9" s="35">
        <f>'10a. RB by class'!M62</f>
        <v>2831264.6608409379</v>
      </c>
      <c r="N9" s="158">
        <f>'10a. RB by class'!N62</f>
        <v>151522722.85062528</v>
      </c>
      <c r="P9" s="32">
        <f>SUM(F9:N9)</f>
        <v>6686594345.7346506</v>
      </c>
      <c r="Q9" s="32">
        <f>E9-P9</f>
        <v>0</v>
      </c>
      <c r="S9" s="32">
        <f>SUM(F9:G9)</f>
        <v>3777165196.6443577</v>
      </c>
      <c r="U9" s="32">
        <f>SUM(H9:I9)</f>
        <v>1983077933.0996928</v>
      </c>
    </row>
    <row r="10" spans="1:54" x14ac:dyDescent="0.3">
      <c r="A10" s="157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158"/>
    </row>
    <row r="11" spans="1:54" x14ac:dyDescent="0.3">
      <c r="A11" s="153" t="s">
        <v>1269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158"/>
    </row>
    <row r="12" spans="1:54" x14ac:dyDescent="0.3">
      <c r="A12" s="157"/>
      <c r="B12" s="35" t="s">
        <v>187</v>
      </c>
      <c r="C12" s="35"/>
      <c r="D12" s="35"/>
      <c r="E12" s="35">
        <f>'11c. Cust &amp; Demand Array'!E49</f>
        <v>1604657246.9699612</v>
      </c>
      <c r="F12" s="35">
        <f>'11c. Cust &amp; Demand Array'!F49</f>
        <v>621287195</v>
      </c>
      <c r="G12" s="35">
        <f>'11c. Cust &amp; Demand Array'!G49</f>
        <v>159267946.23689997</v>
      </c>
      <c r="H12" s="35">
        <f>'11c. Cust &amp; Demand Array'!H49</f>
        <v>366262907.12</v>
      </c>
      <c r="I12" s="35">
        <f>'11c. Cust &amp; Demand Array'!I49</f>
        <v>205983703.67000002</v>
      </c>
      <c r="J12" s="35">
        <f>'11c. Cust &amp; Demand Array'!J49</f>
        <v>89344118</v>
      </c>
      <c r="K12" s="35">
        <f>'11c. Cust &amp; Demand Array'!K49</f>
        <v>119953704.15000001</v>
      </c>
      <c r="L12" s="35">
        <f>'11c. Cust &amp; Demand Array'!L49</f>
        <v>22525601.027860761</v>
      </c>
      <c r="M12" s="35">
        <f>'11c. Cust &amp; Demand Array'!M49</f>
        <v>453406.09520000004</v>
      </c>
      <c r="N12" s="158">
        <f>'11c. Cust &amp; Demand Array'!N49</f>
        <v>19578665.670000002</v>
      </c>
      <c r="P12" s="32">
        <f t="shared" ref="P12:P19" si="0">SUM(F12:O12)</f>
        <v>1604657246.9699612</v>
      </c>
      <c r="Q12" s="32">
        <f t="shared" ref="Q12:Q19" si="1">E12-P12</f>
        <v>0</v>
      </c>
      <c r="S12" s="32">
        <f t="shared" ref="S12:S17" si="2">SUM(F12:G12)</f>
        <v>780555141.23689997</v>
      </c>
      <c r="U12" s="32">
        <f t="shared" ref="U12:U17" si="3">SUM(H12:I12)</f>
        <v>572246610.78999996</v>
      </c>
    </row>
    <row r="13" spans="1:54" x14ac:dyDescent="0.3">
      <c r="A13" s="157"/>
      <c r="B13" s="35" t="s">
        <v>33</v>
      </c>
      <c r="C13" s="35"/>
      <c r="D13" s="35"/>
      <c r="E13" s="35">
        <f>-'10m. Bad debt by class'!E62</f>
        <v>-6893316.1699999999</v>
      </c>
      <c r="F13" s="35">
        <f>-'10m. Bad debt by class'!F62</f>
        <v>-2741644.0990863256</v>
      </c>
      <c r="G13" s="35">
        <f>-'10m. Bad debt by class'!G62</f>
        <v>-702824.76202329423</v>
      </c>
      <c r="H13" s="35">
        <f>-'10m. Bad debt by class'!H62</f>
        <v>-1616261.4425358484</v>
      </c>
      <c r="I13" s="35">
        <f>-'10m. Bad debt by class'!I62</f>
        <v>-908974.15916450985</v>
      </c>
      <c r="J13" s="35">
        <f>-'10m. Bad debt by class'!J62</f>
        <v>-394261.74541191431</v>
      </c>
      <c r="K13" s="35">
        <f>-'10m. Bad debt by class'!K62</f>
        <v>-529337.10495416599</v>
      </c>
      <c r="L13" s="35">
        <f>-'10m. Bad debt by class'!L62</f>
        <v>0</v>
      </c>
      <c r="M13" s="35">
        <f>-'10m. Bad debt by class'!M62</f>
        <v>0</v>
      </c>
      <c r="N13" s="158">
        <f>-'10m. Bad debt by class'!N62</f>
        <v>-12.856823940638289</v>
      </c>
      <c r="P13" s="32">
        <f t="shared" si="0"/>
        <v>-6893316.169999999</v>
      </c>
      <c r="Q13" s="32">
        <f t="shared" si="1"/>
        <v>0</v>
      </c>
      <c r="S13" s="32">
        <f t="shared" si="2"/>
        <v>-3444468.86110962</v>
      </c>
      <c r="U13" s="32">
        <f t="shared" si="3"/>
        <v>-2525235.6017003581</v>
      </c>
    </row>
    <row r="14" spans="1:54" x14ac:dyDescent="0.3">
      <c r="A14" s="157"/>
      <c r="B14" s="53" t="s">
        <v>172</v>
      </c>
      <c r="C14" s="35"/>
      <c r="D14" s="35"/>
      <c r="E14" s="35">
        <f>SUM(E12:E13)</f>
        <v>1597763930.7999611</v>
      </c>
      <c r="F14" s="35">
        <f t="shared" ref="F14:N14" si="4">SUM(F12:F13)</f>
        <v>618545550.90091372</v>
      </c>
      <c r="G14" s="35">
        <f t="shared" si="4"/>
        <v>158565121.47487667</v>
      </c>
      <c r="H14" s="35">
        <f t="shared" si="4"/>
        <v>364646645.67746413</v>
      </c>
      <c r="I14" s="35">
        <f t="shared" si="4"/>
        <v>205074729.5108355</v>
      </c>
      <c r="J14" s="35">
        <f t="shared" si="4"/>
        <v>88949856.254588082</v>
      </c>
      <c r="K14" s="35">
        <f t="shared" si="4"/>
        <v>119424367.04504584</v>
      </c>
      <c r="L14" s="35">
        <f t="shared" si="4"/>
        <v>22525601.027860761</v>
      </c>
      <c r="M14" s="35">
        <f t="shared" si="4"/>
        <v>453406.09520000004</v>
      </c>
      <c r="N14" s="158">
        <f t="shared" si="4"/>
        <v>19578652.813176062</v>
      </c>
      <c r="P14" s="32">
        <f t="shared" si="0"/>
        <v>1597763930.7999611</v>
      </c>
      <c r="Q14" s="32">
        <f t="shared" si="1"/>
        <v>0</v>
      </c>
      <c r="S14" s="32">
        <f t="shared" si="2"/>
        <v>777110672.37579036</v>
      </c>
      <c r="U14" s="32">
        <f t="shared" si="3"/>
        <v>569721375.18829966</v>
      </c>
    </row>
    <row r="15" spans="1:54" x14ac:dyDescent="0.3">
      <c r="A15" s="157"/>
      <c r="B15" s="35" t="s">
        <v>173</v>
      </c>
      <c r="C15" s="35"/>
      <c r="D15" s="35"/>
      <c r="E15" s="35">
        <f>'10n. Late Payment by class'!E62</f>
        <v>7174098.5199999996</v>
      </c>
      <c r="F15" s="35">
        <f>'10n. Late Payment by class'!F62</f>
        <v>2853318.2562003303</v>
      </c>
      <c r="G15" s="35">
        <f>'10n. Late Payment by class'!G62</f>
        <v>731452.60723630304</v>
      </c>
      <c r="H15" s="35">
        <f>'10n. Late Payment by class'!H62</f>
        <v>1682095.8935979714</v>
      </c>
      <c r="I15" s="35">
        <f>'10n. Late Payment by class'!I62</f>
        <v>945998.99513681442</v>
      </c>
      <c r="J15" s="35">
        <f>'10n. Late Payment by class'!J62</f>
        <v>410321.03192391817</v>
      </c>
      <c r="K15" s="35">
        <f>'10n. Late Payment by class'!K62</f>
        <v>550898.3553894884</v>
      </c>
      <c r="L15" s="35">
        <f>'10n. Late Payment by class'!L62</f>
        <v>0</v>
      </c>
      <c r="M15" s="35">
        <f>'10n. Late Payment by class'!M62</f>
        <v>0</v>
      </c>
      <c r="N15" s="158">
        <f>'10n. Late Payment by class'!N62</f>
        <v>13.380515172922024</v>
      </c>
      <c r="P15" s="32">
        <f t="shared" si="0"/>
        <v>7174098.5199999977</v>
      </c>
      <c r="Q15" s="32">
        <f t="shared" si="1"/>
        <v>0</v>
      </c>
      <c r="S15" s="32">
        <f t="shared" si="2"/>
        <v>3584770.8634366333</v>
      </c>
      <c r="U15" s="32">
        <f t="shared" si="3"/>
        <v>2628094.8887347858</v>
      </c>
    </row>
    <row r="16" spans="1:54" x14ac:dyDescent="0.3">
      <c r="A16" s="157"/>
      <c r="B16" s="35" t="s">
        <v>165</v>
      </c>
      <c r="C16" s="35"/>
      <c r="D16" s="35"/>
      <c r="E16" s="35">
        <f>'10o. Other Revenue by class'!E62</f>
        <v>16900525.648083944</v>
      </c>
      <c r="F16" s="35">
        <f>'10o. Other Revenue by class'!F62</f>
        <v>9762701.5761812478</v>
      </c>
      <c r="G16" s="35">
        <f>'10o. Other Revenue by class'!G62</f>
        <v>2458063.8942749198</v>
      </c>
      <c r="H16" s="35">
        <f>'10o. Other Revenue by class'!H62</f>
        <v>2914789.7394114584</v>
      </c>
      <c r="I16" s="35">
        <f>'10o. Other Revenue by class'!I62</f>
        <v>776897.06277475157</v>
      </c>
      <c r="J16" s="35">
        <f>'10o. Other Revenue by class'!J62</f>
        <v>321570.61416923004</v>
      </c>
      <c r="K16" s="35">
        <f>'10o. Other Revenue by class'!K62</f>
        <v>470106.10747784656</v>
      </c>
      <c r="L16" s="35">
        <f>'10o. Other Revenue by class'!L62</f>
        <v>68149.348632284324</v>
      </c>
      <c r="M16" s="35">
        <f>'10o. Other Revenue by class'!M62</f>
        <v>24163.882492200748</v>
      </c>
      <c r="N16" s="158">
        <f>'10o. Other Revenue by class'!N62</f>
        <v>104083.42267000882</v>
      </c>
      <c r="P16" s="32">
        <f t="shared" si="0"/>
        <v>16900525.648083948</v>
      </c>
      <c r="Q16" s="32">
        <f t="shared" si="1"/>
        <v>0</v>
      </c>
      <c r="S16" s="32">
        <f t="shared" si="2"/>
        <v>12220765.470456168</v>
      </c>
      <c r="U16" s="32">
        <f t="shared" si="3"/>
        <v>3691686.8021862097</v>
      </c>
    </row>
    <row r="17" spans="1:21" x14ac:dyDescent="0.3">
      <c r="A17" s="157"/>
      <c r="B17" s="35" t="s">
        <v>167</v>
      </c>
      <c r="C17" s="35"/>
      <c r="D17" s="35"/>
      <c r="E17" s="35">
        <f>'10p. Interest income by class'!E62</f>
        <v>10385873.172306305</v>
      </c>
      <c r="F17" s="35">
        <f>'10p. Interest income by class'!F62</f>
        <v>4573096.0696804486</v>
      </c>
      <c r="G17" s="35">
        <f>'10p. Interest income by class'!G62</f>
        <v>1316424.9454797441</v>
      </c>
      <c r="H17" s="35">
        <f>'10p. Interest income by class'!H62</f>
        <v>2002871.1254665912</v>
      </c>
      <c r="I17" s="35">
        <f>'10p. Interest income by class'!I62</f>
        <v>1065920.4192776356</v>
      </c>
      <c r="J17" s="35">
        <f>'10p. Interest income by class'!J62</f>
        <v>432090.83112810773</v>
      </c>
      <c r="K17" s="35">
        <f>'10p. Interest income by class'!K62</f>
        <v>616112.10726413003</v>
      </c>
      <c r="L17" s="35">
        <f>'10p. Interest income by class'!L62</f>
        <v>136452.66237825458</v>
      </c>
      <c r="M17" s="35">
        <f>'10p. Interest income by class'!M62</f>
        <v>4435.9841330446025</v>
      </c>
      <c r="N17" s="158">
        <f>'10p. Interest income by class'!N62</f>
        <v>238469.02749834926</v>
      </c>
      <c r="P17" s="32">
        <f t="shared" si="0"/>
        <v>10385873.172306307</v>
      </c>
      <c r="Q17" s="32">
        <f t="shared" si="1"/>
        <v>0</v>
      </c>
      <c r="S17" s="32">
        <f t="shared" si="2"/>
        <v>5889521.0151601927</v>
      </c>
      <c r="U17" s="32">
        <f t="shared" si="3"/>
        <v>3068791.5447442271</v>
      </c>
    </row>
    <row r="18" spans="1:21" x14ac:dyDescent="0.3">
      <c r="A18" s="157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158"/>
    </row>
    <row r="19" spans="1:21" x14ac:dyDescent="0.3">
      <c r="A19" s="157"/>
      <c r="B19" s="35" t="s">
        <v>1268</v>
      </c>
      <c r="C19" s="35"/>
      <c r="D19" s="35"/>
      <c r="E19" s="35">
        <f>SUM(E14:E17)</f>
        <v>1632224428.1403513</v>
      </c>
      <c r="F19" s="35">
        <f t="shared" ref="F19:N19" si="5">SUM(F14:F17)</f>
        <v>635734666.80297577</v>
      </c>
      <c r="G19" s="35">
        <f t="shared" si="5"/>
        <v>163071062.92186764</v>
      </c>
      <c r="H19" s="35">
        <f t="shared" si="5"/>
        <v>371246402.43594015</v>
      </c>
      <c r="I19" s="35">
        <f t="shared" si="5"/>
        <v>207863545.98802471</v>
      </c>
      <c r="J19" s="35">
        <f t="shared" si="5"/>
        <v>90113838.731809333</v>
      </c>
      <c r="K19" s="35">
        <f t="shared" si="5"/>
        <v>121061483.6151773</v>
      </c>
      <c r="L19" s="35">
        <f t="shared" si="5"/>
        <v>22730203.038871299</v>
      </c>
      <c r="M19" s="35">
        <f t="shared" si="5"/>
        <v>482005.96182524541</v>
      </c>
      <c r="N19" s="158">
        <f t="shared" si="5"/>
        <v>19921218.643859595</v>
      </c>
      <c r="P19" s="32">
        <f t="shared" si="0"/>
        <v>1632224428.1403511</v>
      </c>
      <c r="Q19" s="32">
        <f t="shared" si="1"/>
        <v>0</v>
      </c>
      <c r="S19" s="32">
        <f>SUM(F19:G19)</f>
        <v>798805729.72484338</v>
      </c>
      <c r="U19" s="32">
        <f>SUM(H19:I19)</f>
        <v>579109948.42396486</v>
      </c>
    </row>
    <row r="20" spans="1:21" s="16" customFormat="1" x14ac:dyDescent="0.3">
      <c r="A20" s="153"/>
      <c r="B20" s="53"/>
      <c r="C20" s="53"/>
      <c r="D20" s="35"/>
      <c r="E20" s="35"/>
      <c r="F20" s="53"/>
      <c r="G20" s="53"/>
      <c r="H20" s="53"/>
      <c r="I20" s="53"/>
      <c r="J20" s="53"/>
      <c r="K20" s="53"/>
      <c r="L20" s="53"/>
      <c r="M20" s="53"/>
      <c r="N20" s="154"/>
    </row>
    <row r="21" spans="1:21" x14ac:dyDescent="0.3">
      <c r="A21" s="157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158"/>
    </row>
    <row r="22" spans="1:21" x14ac:dyDescent="0.3">
      <c r="A22" s="157" t="s">
        <v>1266</v>
      </c>
      <c r="B22" s="35"/>
      <c r="C22" s="35"/>
      <c r="D22" s="35"/>
      <c r="E22" s="35">
        <f>'10k.G-Tot Exp  by class'!E62</f>
        <v>931893181.76488066</v>
      </c>
      <c r="F22" s="35">
        <f>'10k.G-Tot Exp  by class'!F62</f>
        <v>372801149.74316114</v>
      </c>
      <c r="G22" s="35">
        <f>'10k.G-Tot Exp  by class'!G62</f>
        <v>101980664.95025848</v>
      </c>
      <c r="H22" s="35">
        <f>'10k.G-Tot Exp  by class'!H62</f>
        <v>191105769.7724112</v>
      </c>
      <c r="I22" s="35">
        <f>'10k.G-Tot Exp  by class'!I62</f>
        <v>112221599.29734658</v>
      </c>
      <c r="J22" s="35">
        <f>'10k.G-Tot Exp  by class'!J62</f>
        <v>50368511.426471874</v>
      </c>
      <c r="K22" s="35">
        <f>'10k.G-Tot Exp  by class'!K62</f>
        <v>77363193.214069381</v>
      </c>
      <c r="L22" s="35">
        <f>'10k.G-Tot Exp  by class'!L62</f>
        <v>15426979.41611046</v>
      </c>
      <c r="M22" s="35">
        <f>'10k.G-Tot Exp  by class'!M62</f>
        <v>322439.43631016207</v>
      </c>
      <c r="N22" s="158">
        <f>'10k.G-Tot Exp  by class'!N62</f>
        <v>10302874.508741295</v>
      </c>
      <c r="P22" s="32">
        <f>SUM(F22:O22)</f>
        <v>931893181.76488054</v>
      </c>
      <c r="Q22" s="32">
        <f>E22-P22</f>
        <v>0</v>
      </c>
      <c r="S22" s="32">
        <f>SUM(F22:G22)</f>
        <v>474781814.69341964</v>
      </c>
      <c r="U22" s="32">
        <f>SUM(H22:I22)</f>
        <v>303327369.06975776</v>
      </c>
    </row>
    <row r="23" spans="1:21" x14ac:dyDescent="0.3">
      <c r="A23" s="157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158"/>
    </row>
    <row r="24" spans="1:21" x14ac:dyDescent="0.3">
      <c r="A24" s="157" t="s">
        <v>1267</v>
      </c>
      <c r="B24" s="35"/>
      <c r="C24" s="35"/>
      <c r="D24" s="35"/>
      <c r="E24" s="35">
        <f>ROUND(E19*0.14,0)</f>
        <v>228511420</v>
      </c>
      <c r="F24" s="35">
        <f t="shared" ref="F24:N24" si="6">ROUND(F19*0.14,0)</f>
        <v>89002853</v>
      </c>
      <c r="G24" s="35">
        <f t="shared" si="6"/>
        <v>22829949</v>
      </c>
      <c r="H24" s="35">
        <f t="shared" si="6"/>
        <v>51974496</v>
      </c>
      <c r="I24" s="35">
        <f t="shared" si="6"/>
        <v>29100896</v>
      </c>
      <c r="J24" s="35">
        <f t="shared" si="6"/>
        <v>12615937</v>
      </c>
      <c r="K24" s="35">
        <f t="shared" si="6"/>
        <v>16948608</v>
      </c>
      <c r="L24" s="35">
        <f t="shared" si="6"/>
        <v>3182228</v>
      </c>
      <c r="M24" s="35">
        <f t="shared" si="6"/>
        <v>67481</v>
      </c>
      <c r="N24" s="158">
        <f t="shared" si="6"/>
        <v>2788971</v>
      </c>
      <c r="P24" s="32">
        <f>SUM(F24:O24)</f>
        <v>228511419</v>
      </c>
      <c r="Q24" s="32">
        <f>E24-P24</f>
        <v>1</v>
      </c>
      <c r="S24" s="32">
        <f>SUM(F24:G24)</f>
        <v>111832802</v>
      </c>
      <c r="U24" s="32">
        <f>SUM(H24:I24)</f>
        <v>81075392</v>
      </c>
    </row>
    <row r="25" spans="1:21" x14ac:dyDescent="0.3">
      <c r="A25" s="157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158"/>
    </row>
    <row r="26" spans="1:21" x14ac:dyDescent="0.3">
      <c r="A26" s="157" t="s">
        <v>1270</v>
      </c>
      <c r="B26" s="35"/>
      <c r="C26" s="35"/>
      <c r="D26" s="35"/>
      <c r="E26" s="35">
        <f t="shared" ref="E26:N26" si="7">SUM(E22,E24)</f>
        <v>1160404601.7648807</v>
      </c>
      <c r="F26" s="35">
        <f t="shared" si="7"/>
        <v>461804002.74316114</v>
      </c>
      <c r="G26" s="35">
        <f t="shared" si="7"/>
        <v>124810613.95025848</v>
      </c>
      <c r="H26" s="35">
        <f t="shared" si="7"/>
        <v>243080265.7724112</v>
      </c>
      <c r="I26" s="35">
        <f t="shared" si="7"/>
        <v>141322495.29734659</v>
      </c>
      <c r="J26" s="35">
        <f t="shared" si="7"/>
        <v>62984448.426471874</v>
      </c>
      <c r="K26" s="35">
        <f t="shared" si="7"/>
        <v>94311801.214069381</v>
      </c>
      <c r="L26" s="35">
        <f t="shared" si="7"/>
        <v>18609207.41611046</v>
      </c>
      <c r="M26" s="35">
        <f t="shared" si="7"/>
        <v>389920.43631016207</v>
      </c>
      <c r="N26" s="158">
        <f t="shared" si="7"/>
        <v>13091845.508741295</v>
      </c>
      <c r="P26" s="32">
        <f>SUM(F26:O26)</f>
        <v>1160404600.7648807</v>
      </c>
      <c r="Q26" s="32">
        <f>E26-P26</f>
        <v>1</v>
      </c>
      <c r="S26" s="32">
        <f>SUM(F26:G26)</f>
        <v>586614616.69341958</v>
      </c>
      <c r="U26" s="32">
        <f>SUM(H26:I26)</f>
        <v>384402761.06975782</v>
      </c>
    </row>
    <row r="27" spans="1:21" x14ac:dyDescent="0.3">
      <c r="A27" s="157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158"/>
    </row>
    <row r="28" spans="1:21" x14ac:dyDescent="0.3">
      <c r="A28" s="157" t="s">
        <v>166</v>
      </c>
      <c r="B28" s="35"/>
      <c r="C28" s="35"/>
      <c r="D28" s="35"/>
      <c r="E28" s="35">
        <f t="shared" ref="E28:N28" si="8">E19-E26</f>
        <v>471819826.37547064</v>
      </c>
      <c r="F28" s="35">
        <f>F19-F26</f>
        <v>173930664.05981463</v>
      </c>
      <c r="G28" s="35">
        <f t="shared" si="8"/>
        <v>38260448.97160916</v>
      </c>
      <c r="H28" s="35">
        <f t="shared" si="8"/>
        <v>128166136.66352895</v>
      </c>
      <c r="I28" s="35">
        <f t="shared" si="8"/>
        <v>66541050.69067812</v>
      </c>
      <c r="J28" s="35">
        <f t="shared" si="8"/>
        <v>27129390.305337459</v>
      </c>
      <c r="K28" s="35">
        <f t="shared" si="8"/>
        <v>26749682.401107922</v>
      </c>
      <c r="L28" s="35">
        <f t="shared" si="8"/>
        <v>4120995.6227608398</v>
      </c>
      <c r="M28" s="35">
        <f t="shared" si="8"/>
        <v>92085.52551508334</v>
      </c>
      <c r="N28" s="158">
        <f t="shared" si="8"/>
        <v>6829373.1351183001</v>
      </c>
      <c r="P28" s="32">
        <f>SUM(F28:O28)</f>
        <v>471819827.3754704</v>
      </c>
      <c r="Q28" s="32">
        <f>E28-P28</f>
        <v>-0.9999997615814209</v>
      </c>
      <c r="S28" s="32">
        <f>SUM(F28:G28)</f>
        <v>212191113.03142381</v>
      </c>
      <c r="U28" s="32">
        <f>SUM(H28:I28)</f>
        <v>194707187.35420707</v>
      </c>
    </row>
    <row r="29" spans="1:21" x14ac:dyDescent="0.3">
      <c r="A29" s="157"/>
      <c r="B29" s="35"/>
      <c r="C29" s="35"/>
      <c r="D29" s="35"/>
      <c r="E29" s="155"/>
      <c r="F29" s="156"/>
      <c r="G29" s="156"/>
      <c r="H29" s="53"/>
      <c r="I29" s="53"/>
      <c r="J29" s="53"/>
      <c r="K29" s="53"/>
      <c r="L29" s="53"/>
      <c r="M29" s="53"/>
      <c r="N29" s="154"/>
    </row>
    <row r="30" spans="1:21" x14ac:dyDescent="0.3">
      <c r="A30" s="157" t="s">
        <v>188</v>
      </c>
      <c r="B30" s="35"/>
      <c r="C30" s="35"/>
      <c r="D30" s="35"/>
      <c r="E30" s="316">
        <f>ROUND(E28/E9,5)</f>
        <v>7.0559999999999998E-2</v>
      </c>
      <c r="F30" s="316">
        <f>ROUND(F28/F9,5)</f>
        <v>5.9290000000000002E-2</v>
      </c>
      <c r="G30" s="316">
        <f t="shared" ref="G30:N30" si="9">ROUND(G28/G9,5)</f>
        <v>4.5350000000000001E-2</v>
      </c>
      <c r="H30" s="316">
        <f t="shared" si="9"/>
        <v>9.9159999999999998E-2</v>
      </c>
      <c r="I30" s="316">
        <f t="shared" si="9"/>
        <v>9.6350000000000005E-2</v>
      </c>
      <c r="J30" s="316">
        <f t="shared" si="9"/>
        <v>9.6490000000000006E-2</v>
      </c>
      <c r="K30" s="316">
        <f t="shared" si="9"/>
        <v>6.651E-2</v>
      </c>
      <c r="L30" s="316">
        <f t="shared" si="9"/>
        <v>4.648E-2</v>
      </c>
      <c r="M30" s="316">
        <f t="shared" si="9"/>
        <v>3.252E-2</v>
      </c>
      <c r="N30" s="317">
        <f t="shared" si="9"/>
        <v>4.5069999999999999E-2</v>
      </c>
      <c r="P30" s="131">
        <f>ROUND(P28/P9,5)</f>
        <v>7.0559999999999998E-2</v>
      </c>
      <c r="Q30" s="32">
        <f>E30-P30</f>
        <v>0</v>
      </c>
      <c r="S30" s="131">
        <f>ROUND(S28/S9,5)</f>
        <v>5.6180000000000001E-2</v>
      </c>
      <c r="U30" s="131">
        <f>ROUND(U28/U9,5)</f>
        <v>9.8180000000000003E-2</v>
      </c>
    </row>
    <row r="31" spans="1:21" x14ac:dyDescent="0.3">
      <c r="A31" s="157"/>
      <c r="B31" s="35"/>
      <c r="C31" s="35"/>
      <c r="D31" s="35"/>
      <c r="E31" s="53"/>
      <c r="F31" s="53"/>
      <c r="G31" s="53"/>
      <c r="H31" s="53"/>
      <c r="I31" s="53"/>
      <c r="J31" s="53"/>
      <c r="K31" s="53"/>
      <c r="L31" s="53"/>
      <c r="M31" s="53"/>
      <c r="N31" s="154"/>
      <c r="O31" s="16"/>
      <c r="P31" s="16"/>
      <c r="Q31" s="16"/>
      <c r="R31" s="16"/>
    </row>
    <row r="32" spans="1:21" ht="13.5" thickBot="1" x14ac:dyDescent="0.35">
      <c r="A32" s="33" t="s">
        <v>1100</v>
      </c>
      <c r="B32" s="34"/>
      <c r="C32" s="34"/>
      <c r="D32" s="34"/>
      <c r="E32" s="318">
        <f>E30/$E$30</f>
        <v>1</v>
      </c>
      <c r="F32" s="318">
        <f>F30/$E$30</f>
        <v>0.84027777777777779</v>
      </c>
      <c r="G32" s="318">
        <f t="shared" ref="G32:P32" si="10">G30/$E$30</f>
        <v>0.64271541950113387</v>
      </c>
      <c r="H32" s="318">
        <f t="shared" si="10"/>
        <v>1.405328798185941</v>
      </c>
      <c r="I32" s="318">
        <f t="shared" si="10"/>
        <v>1.3655045351473925</v>
      </c>
      <c r="J32" s="318">
        <f t="shared" si="10"/>
        <v>1.3674886621315194</v>
      </c>
      <c r="K32" s="318">
        <f t="shared" si="10"/>
        <v>0.94260204081632659</v>
      </c>
      <c r="L32" s="318">
        <f t="shared" si="10"/>
        <v>0.65873015873015872</v>
      </c>
      <c r="M32" s="318">
        <f t="shared" si="10"/>
        <v>0.46088435374149661</v>
      </c>
      <c r="N32" s="319">
        <f t="shared" si="10"/>
        <v>0.6387471655328798</v>
      </c>
      <c r="P32" s="132">
        <f t="shared" si="10"/>
        <v>1</v>
      </c>
      <c r="S32" s="132">
        <f>S30/$E$30</f>
        <v>0.79620181405895696</v>
      </c>
      <c r="U32" s="132">
        <f>U30/$E$30</f>
        <v>1.3914399092970522</v>
      </c>
    </row>
    <row r="33" spans="1:21" x14ac:dyDescent="0.3"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</row>
    <row r="34" spans="1:21" x14ac:dyDescent="0.3">
      <c r="A34" s="309" t="s">
        <v>1098</v>
      </c>
    </row>
    <row r="35" spans="1:21" x14ac:dyDescent="0.3">
      <c r="B35" s="32" t="s">
        <v>953</v>
      </c>
      <c r="E35" s="32">
        <f>SUM(F35:N35)</f>
        <v>6686594345.7346506</v>
      </c>
      <c r="F35" s="32">
        <f>F9</f>
        <v>2933439982.4509401</v>
      </c>
      <c r="G35" s="32">
        <f t="shared" ref="G35:N35" si="11">G9</f>
        <v>843725214.19341743</v>
      </c>
      <c r="H35" s="32">
        <f t="shared" si="11"/>
        <v>1292474199.4392307</v>
      </c>
      <c r="I35" s="32">
        <f t="shared" si="11"/>
        <v>690603733.66046226</v>
      </c>
      <c r="J35" s="32">
        <f t="shared" si="11"/>
        <v>281148835.67992032</v>
      </c>
      <c r="K35" s="32">
        <f t="shared" si="11"/>
        <v>402181411.83532226</v>
      </c>
      <c r="L35" s="32">
        <f t="shared" si="11"/>
        <v>88666980.963890865</v>
      </c>
      <c r="M35" s="32">
        <f t="shared" si="11"/>
        <v>2831264.6608409379</v>
      </c>
      <c r="N35" s="32">
        <f t="shared" si="11"/>
        <v>151522722.85062528</v>
      </c>
      <c r="S35" s="32">
        <f>S9</f>
        <v>3777165196.6443577</v>
      </c>
      <c r="U35" s="32">
        <f>SUM(H35:I35)</f>
        <v>1983077933.0996928</v>
      </c>
    </row>
    <row r="36" spans="1:21" x14ac:dyDescent="0.3">
      <c r="B36" s="32" t="s">
        <v>343</v>
      </c>
      <c r="E36" s="133">
        <f>E28/E9</f>
        <v>7.0562053263548516E-2</v>
      </c>
      <c r="F36" s="133">
        <f>$E$36</f>
        <v>7.0562053263548516E-2</v>
      </c>
      <c r="G36" s="133">
        <f t="shared" ref="G36:N36" si="12">$E$36</f>
        <v>7.0562053263548516E-2</v>
      </c>
      <c r="H36" s="133">
        <f t="shared" si="12"/>
        <v>7.0562053263548516E-2</v>
      </c>
      <c r="I36" s="133">
        <f t="shared" si="12"/>
        <v>7.0562053263548516E-2</v>
      </c>
      <c r="J36" s="133">
        <f t="shared" si="12"/>
        <v>7.0562053263548516E-2</v>
      </c>
      <c r="K36" s="133">
        <f t="shared" si="12"/>
        <v>7.0562053263548516E-2</v>
      </c>
      <c r="L36" s="133">
        <f t="shared" si="12"/>
        <v>7.0562053263548516E-2</v>
      </c>
      <c r="M36" s="133">
        <f t="shared" si="12"/>
        <v>7.0562053263548516E-2</v>
      </c>
      <c r="N36" s="133">
        <f t="shared" si="12"/>
        <v>7.0562053263548516E-2</v>
      </c>
      <c r="S36" s="133">
        <f>$E$36</f>
        <v>7.0562053263548516E-2</v>
      </c>
      <c r="U36" s="133">
        <f>$E$36</f>
        <v>7.0562053263548516E-2</v>
      </c>
    </row>
    <row r="37" spans="1:21" x14ac:dyDescent="0.3">
      <c r="B37" s="32" t="s">
        <v>347</v>
      </c>
      <c r="E37" s="32">
        <f>SUM(F37:N37)</f>
        <v>471819826.37547076</v>
      </c>
      <c r="F37" s="32">
        <f>F35*F36</f>
        <v>206989548.28712606</v>
      </c>
      <c r="G37" s="32">
        <f t="shared" ref="G37:N37" si="13">G35*G36</f>
        <v>59534983.5037148</v>
      </c>
      <c r="H37" s="32">
        <f t="shared" si="13"/>
        <v>91199633.302593216</v>
      </c>
      <c r="I37" s="32">
        <f t="shared" si="13"/>
        <v>48730417.43855501</v>
      </c>
      <c r="J37" s="32">
        <f t="shared" si="13"/>
        <v>19838439.118231189</v>
      </c>
      <c r="K37" s="32">
        <f t="shared" si="13"/>
        <v>28378746.20353315</v>
      </c>
      <c r="L37" s="32">
        <f t="shared" si="13"/>
        <v>6256524.2334921099</v>
      </c>
      <c r="M37" s="32">
        <f t="shared" si="13"/>
        <v>199779.84780146088</v>
      </c>
      <c r="N37" s="32">
        <f t="shared" si="13"/>
        <v>10691754.440423721</v>
      </c>
      <c r="S37" s="32">
        <f>S35*S36</f>
        <v>266524531.79084086</v>
      </c>
      <c r="U37" s="32">
        <f>U35*U36</f>
        <v>139930050.74114823</v>
      </c>
    </row>
    <row r="38" spans="1:21" x14ac:dyDescent="0.3">
      <c r="B38" s="32" t="s">
        <v>164</v>
      </c>
      <c r="E38" s="32">
        <f>SUM(F38:N38)</f>
        <v>931893181.76488054</v>
      </c>
      <c r="F38" s="32">
        <f>F22</f>
        <v>372801149.74316114</v>
      </c>
      <c r="G38" s="32">
        <f t="shared" ref="G38:N38" si="14">G22</f>
        <v>101980664.95025848</v>
      </c>
      <c r="H38" s="32">
        <f t="shared" si="14"/>
        <v>191105769.7724112</v>
      </c>
      <c r="I38" s="32">
        <f t="shared" si="14"/>
        <v>112221599.29734658</v>
      </c>
      <c r="J38" s="32">
        <f t="shared" si="14"/>
        <v>50368511.426471874</v>
      </c>
      <c r="K38" s="32">
        <f t="shared" si="14"/>
        <v>77363193.214069381</v>
      </c>
      <c r="L38" s="32">
        <f t="shared" si="14"/>
        <v>15426979.41611046</v>
      </c>
      <c r="M38" s="32">
        <f t="shared" si="14"/>
        <v>322439.43631016207</v>
      </c>
      <c r="N38" s="32">
        <f t="shared" si="14"/>
        <v>10302874.508741295</v>
      </c>
      <c r="S38" s="32">
        <f>S22</f>
        <v>474781814.69341964</v>
      </c>
      <c r="U38" s="32">
        <f>U22</f>
        <v>303327369.06975776</v>
      </c>
    </row>
    <row r="39" spans="1:21" x14ac:dyDescent="0.3">
      <c r="B39" s="32" t="s">
        <v>348</v>
      </c>
      <c r="E39" s="98">
        <f>SUM(F39:N39)</f>
        <v>228511419.92982471</v>
      </c>
      <c r="F39" s="98">
        <f>SUM(F37:F38)/0.86*0.14</f>
        <v>94384532.237488627</v>
      </c>
      <c r="G39" s="98">
        <f t="shared" ref="G39:N39" si="15">SUM(G37:G38)/0.86*0.14</f>
        <v>26293245.097158443</v>
      </c>
      <c r="H39" s="98">
        <f t="shared" si="15"/>
        <v>45956693.523837931</v>
      </c>
      <c r="I39" s="98">
        <f t="shared" si="15"/>
        <v>26201491.096542124</v>
      </c>
      <c r="J39" s="98">
        <f t="shared" si="15"/>
        <v>11429038.460765617</v>
      </c>
      <c r="K39" s="98">
        <f t="shared" si="15"/>
        <v>17213804.091237623</v>
      </c>
      <c r="L39" s="98">
        <f t="shared" si="15"/>
        <v>3529872.6871446045</v>
      </c>
      <c r="M39" s="98">
        <f t="shared" si="15"/>
        <v>85012.441599566533</v>
      </c>
      <c r="N39" s="98">
        <f t="shared" si="15"/>
        <v>3417730.2940501194</v>
      </c>
      <c r="S39" s="98">
        <f>SUM(S37:S38)/0.86*0.14</f>
        <v>120677777.33464707</v>
      </c>
      <c r="U39" s="98">
        <f>SUM(U37:U38)/0.86*0.14</f>
        <v>72158184.620380059</v>
      </c>
    </row>
    <row r="40" spans="1:21" x14ac:dyDescent="0.3">
      <c r="B40" s="32" t="s">
        <v>1271</v>
      </c>
      <c r="E40" s="32">
        <f>SUM(F40:N40)</f>
        <v>1632224428.0701756</v>
      </c>
      <c r="F40" s="32">
        <f>SUM(F37:F39)</f>
        <v>674175230.26777589</v>
      </c>
      <c r="G40" s="32">
        <f t="shared" ref="G40:N40" si="16">SUM(G37:G39)</f>
        <v>187808893.55113173</v>
      </c>
      <c r="H40" s="32">
        <f t="shared" si="16"/>
        <v>328262096.59884232</v>
      </c>
      <c r="I40" s="32">
        <f t="shared" si="16"/>
        <v>187153507.83244371</v>
      </c>
      <c r="J40" s="32">
        <f t="shared" si="16"/>
        <v>81635989.005468681</v>
      </c>
      <c r="K40" s="32">
        <f t="shared" si="16"/>
        <v>122955743.50884016</v>
      </c>
      <c r="L40" s="32">
        <f t="shared" si="16"/>
        <v>25213376.336747173</v>
      </c>
      <c r="M40" s="32">
        <f t="shared" si="16"/>
        <v>607231.72571118944</v>
      </c>
      <c r="N40" s="32">
        <f t="shared" si="16"/>
        <v>24412359.243215136</v>
      </c>
      <c r="S40" s="32">
        <f>SUM(S37:S39)</f>
        <v>861984123.81890762</v>
      </c>
      <c r="U40" s="32">
        <f>SUM(U37:U39)</f>
        <v>515415604.43128604</v>
      </c>
    </row>
    <row r="41" spans="1:21" x14ac:dyDescent="0.3">
      <c r="B41" s="32" t="s">
        <v>1272</v>
      </c>
      <c r="E41" s="35">
        <f>E40-E19</f>
        <v>-7.0175647735595703E-2</v>
      </c>
      <c r="F41" s="35">
        <f t="shared" ref="F41:N41" si="17">F40-F19</f>
        <v>38440563.464800119</v>
      </c>
      <c r="G41" s="35">
        <f t="shared" si="17"/>
        <v>24737830.629264086</v>
      </c>
      <c r="H41" s="35">
        <f t="shared" si="17"/>
        <v>-42984305.837097824</v>
      </c>
      <c r="I41" s="35">
        <f t="shared" si="17"/>
        <v>-20710038.155580997</v>
      </c>
      <c r="J41" s="35">
        <f t="shared" si="17"/>
        <v>-8477849.7263406515</v>
      </c>
      <c r="K41" s="35">
        <f t="shared" si="17"/>
        <v>1894259.893662855</v>
      </c>
      <c r="L41" s="35">
        <f t="shared" si="17"/>
        <v>2483173.2978758737</v>
      </c>
      <c r="M41" s="35">
        <f t="shared" si="17"/>
        <v>125225.76388594403</v>
      </c>
      <c r="N41" s="35">
        <f t="shared" si="17"/>
        <v>4491140.5993555412</v>
      </c>
    </row>
    <row r="42" spans="1:21" x14ac:dyDescent="0.3">
      <c r="E42" s="160"/>
      <c r="F42" s="320"/>
      <c r="G42" s="160"/>
      <c r="H42" s="132"/>
      <c r="I42" s="132"/>
      <c r="J42" s="132"/>
      <c r="K42" s="132"/>
      <c r="L42" s="132"/>
      <c r="M42" s="132"/>
      <c r="N42" s="132"/>
      <c r="S42" s="134"/>
      <c r="T42" s="16"/>
      <c r="U42" s="134"/>
    </row>
    <row r="43" spans="1:21" ht="14.5" x14ac:dyDescent="0.35">
      <c r="B43" s="458" t="s">
        <v>1319</v>
      </c>
      <c r="E43" s="160">
        <f>E19/E40</f>
        <v>1.0000000000429938</v>
      </c>
      <c r="F43" s="160">
        <f t="shared" ref="F43:N43" si="18">F19/F40</f>
        <v>0.94298134707569736</v>
      </c>
      <c r="G43" s="160">
        <f t="shared" si="18"/>
        <v>0.86828189995949734</v>
      </c>
      <c r="H43" s="160">
        <f t="shared" si="18"/>
        <v>1.1309450779802563</v>
      </c>
      <c r="I43" s="160">
        <f t="shared" si="18"/>
        <v>1.1106580282434377</v>
      </c>
      <c r="J43" s="160">
        <f t="shared" si="18"/>
        <v>1.1038494153083971</v>
      </c>
      <c r="K43" s="160">
        <f t="shared" si="18"/>
        <v>0.98459396983332736</v>
      </c>
      <c r="L43" s="160">
        <f t="shared" si="18"/>
        <v>0.90151365431147046</v>
      </c>
      <c r="M43" s="160">
        <f t="shared" si="18"/>
        <v>0.79377598603024291</v>
      </c>
      <c r="N43" s="160">
        <f t="shared" si="18"/>
        <v>0.81603004631337495</v>
      </c>
      <c r="S43" s="134"/>
      <c r="T43" s="16"/>
      <c r="U43" s="134"/>
    </row>
    <row r="44" spans="1:21" x14ac:dyDescent="0.3">
      <c r="B44" s="611"/>
      <c r="C44" s="611"/>
      <c r="D44" s="611"/>
      <c r="E44" s="612" t="s">
        <v>1320</v>
      </c>
      <c r="F44" s="613">
        <f t="array" ref="F44">SUM(F19:G19)/SUM(F40:G40)</f>
        <v>0.92670584950664681</v>
      </c>
      <c r="G44" s="612"/>
      <c r="H44" s="611"/>
      <c r="I44" s="611"/>
      <c r="J44" s="611"/>
      <c r="K44" s="611"/>
      <c r="L44" s="611"/>
      <c r="M44" s="611"/>
      <c r="N44" s="611"/>
      <c r="S44" s="16"/>
      <c r="T44" s="16"/>
      <c r="U44" s="16"/>
    </row>
    <row r="45" spans="1:21" x14ac:dyDescent="0.3">
      <c r="A45" s="309" t="s">
        <v>1099</v>
      </c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1"/>
      <c r="N45" s="611"/>
      <c r="S45" s="16"/>
      <c r="T45" s="16"/>
      <c r="U45" s="16"/>
    </row>
    <row r="46" spans="1:21" x14ac:dyDescent="0.3">
      <c r="B46" s="611" t="s">
        <v>344</v>
      </c>
      <c r="C46" s="614">
        <v>1.26E-2</v>
      </c>
      <c r="D46" s="611"/>
      <c r="E46" s="611">
        <f t="shared" ref="E46:N46" si="19">E$55*$C46</f>
        <v>282114019.80720001</v>
      </c>
      <c r="F46" s="611">
        <f t="shared" si="19"/>
        <v>95587118.272799999</v>
      </c>
      <c r="G46" s="611">
        <f t="shared" si="19"/>
        <v>25649828.568</v>
      </c>
      <c r="H46" s="611">
        <f t="shared" si="19"/>
        <v>62344487.935800001</v>
      </c>
      <c r="I46" s="611">
        <f t="shared" si="19"/>
        <v>40484775.605400003</v>
      </c>
      <c r="J46" s="611">
        <f t="shared" si="19"/>
        <v>19593647.312399998</v>
      </c>
      <c r="K46" s="611">
        <f t="shared" si="19"/>
        <v>31374459.950399999</v>
      </c>
      <c r="L46" s="611">
        <f t="shared" si="19"/>
        <v>5872545.7560000001</v>
      </c>
      <c r="M46" s="611">
        <f t="shared" si="19"/>
        <v>54988.567199999998</v>
      </c>
      <c r="N46" s="611">
        <f t="shared" si="19"/>
        <v>1152167.8392</v>
      </c>
      <c r="S46" s="32">
        <f>SUM(F46:G46)</f>
        <v>121236946.8408</v>
      </c>
      <c r="U46" s="32">
        <f>SUM(H46:I46)</f>
        <v>102829263.54120001</v>
      </c>
    </row>
    <row r="47" spans="1:21" x14ac:dyDescent="0.3">
      <c r="B47" s="611" t="s">
        <v>345</v>
      </c>
      <c r="C47" s="615"/>
      <c r="D47" s="611"/>
      <c r="E47" s="611">
        <f>SUM(F47:N47)</f>
        <v>192897914.6031</v>
      </c>
      <c r="F47" s="611">
        <f>F$55*F57</f>
        <v>81931815.662400007</v>
      </c>
      <c r="G47" s="611">
        <f>G$55*G57</f>
        <v>21985567.344000001</v>
      </c>
      <c r="H47" s="611">
        <f t="shared" ref="H47:M47" si="20">H$55*H57</f>
        <v>36070739.448569998</v>
      </c>
      <c r="I47" s="611">
        <f t="shared" si="20"/>
        <v>23680380.651730005</v>
      </c>
      <c r="J47" s="611">
        <f t="shared" si="20"/>
        <v>10325541.123360001</v>
      </c>
      <c r="K47" s="611">
        <f t="shared" si="20"/>
        <v>16110536.180880001</v>
      </c>
      <c r="L47" s="611">
        <f t="shared" si="20"/>
        <v>2703235.3479999998</v>
      </c>
      <c r="M47" s="611">
        <f t="shared" si="20"/>
        <v>22431.844079999999</v>
      </c>
      <c r="N47" s="611">
        <f>N$55*N57</f>
        <v>67667.000079999998</v>
      </c>
      <c r="S47" s="32">
        <f>SUM(F47:G47)</f>
        <v>103917383.0064</v>
      </c>
      <c r="U47" s="32">
        <f>SUM(H47:I47)</f>
        <v>59751120.100299999</v>
      </c>
    </row>
    <row r="48" spans="1:21" x14ac:dyDescent="0.3">
      <c r="B48" s="611"/>
      <c r="C48" s="611"/>
      <c r="D48" s="611"/>
      <c r="E48" s="611"/>
      <c r="F48" s="611"/>
      <c r="G48" s="611"/>
      <c r="H48" s="611"/>
      <c r="I48" s="611"/>
      <c r="J48" s="611"/>
      <c r="K48" s="611"/>
      <c r="L48" s="611"/>
      <c r="M48" s="611"/>
      <c r="N48" s="611"/>
    </row>
    <row r="49" spans="1:21" x14ac:dyDescent="0.3">
      <c r="B49" s="611" t="s">
        <v>349</v>
      </c>
      <c r="C49" s="611"/>
      <c r="D49" s="611"/>
      <c r="E49" s="611">
        <f>SUM(E40,E46:E47)</f>
        <v>2107236362.4804757</v>
      </c>
      <c r="F49" s="611">
        <f>SUM(F40,F46:F47)</f>
        <v>851694164.20297587</v>
      </c>
      <c r="G49" s="611">
        <f t="shared" ref="G49:N49" si="21">SUM(G40,G46:G47)</f>
        <v>235444289.46313173</v>
      </c>
      <c r="H49" s="611">
        <f t="shared" si="21"/>
        <v>426677323.98321235</v>
      </c>
      <c r="I49" s="611">
        <f t="shared" si="21"/>
        <v>251318664.08957371</v>
      </c>
      <c r="J49" s="611">
        <f t="shared" si="21"/>
        <v>111555177.44122869</v>
      </c>
      <c r="K49" s="611">
        <f t="shared" si="21"/>
        <v>170440739.64012018</v>
      </c>
      <c r="L49" s="611">
        <f t="shared" si="21"/>
        <v>33789157.440747172</v>
      </c>
      <c r="M49" s="611">
        <f t="shared" si="21"/>
        <v>684652.13699118944</v>
      </c>
      <c r="N49" s="611">
        <f t="shared" si="21"/>
        <v>25632194.082495138</v>
      </c>
      <c r="S49" s="32">
        <f>SUM(S40,S46:S47)</f>
        <v>1087138453.6661077</v>
      </c>
      <c r="U49" s="32">
        <f>SUM(U40,U46:U47)</f>
        <v>677995988.07278597</v>
      </c>
    </row>
    <row r="50" spans="1:21" x14ac:dyDescent="0.3">
      <c r="B50" s="611" t="s">
        <v>350</v>
      </c>
      <c r="C50" s="611"/>
      <c r="D50" s="611"/>
      <c r="E50" s="611">
        <f t="shared" ref="E50:N50" si="22">SUM(E19,E46:E47)</f>
        <v>2107236362.5506513</v>
      </c>
      <c r="F50" s="611">
        <f t="shared" si="22"/>
        <v>813253600.73817575</v>
      </c>
      <c r="G50" s="611">
        <f t="shared" si="22"/>
        <v>210706458.83386764</v>
      </c>
      <c r="H50" s="611">
        <f t="shared" si="22"/>
        <v>469661629.82031018</v>
      </c>
      <c r="I50" s="611">
        <f t="shared" si="22"/>
        <v>272028702.24515474</v>
      </c>
      <c r="J50" s="611">
        <f t="shared" si="22"/>
        <v>120033027.16756934</v>
      </c>
      <c r="K50" s="611">
        <f t="shared" si="22"/>
        <v>168546479.74645731</v>
      </c>
      <c r="L50" s="611">
        <f t="shared" si="22"/>
        <v>31305984.142871302</v>
      </c>
      <c r="M50" s="611">
        <f t="shared" si="22"/>
        <v>559426.37310524541</v>
      </c>
      <c r="N50" s="611">
        <f t="shared" si="22"/>
        <v>21141053.483139597</v>
      </c>
      <c r="S50" s="32">
        <f>SUM(S19,S46:S47)</f>
        <v>1023960059.5720434</v>
      </c>
      <c r="U50" s="32">
        <f>SUM(U19,U46:U47)</f>
        <v>741690332.06546485</v>
      </c>
    </row>
    <row r="51" spans="1:21" x14ac:dyDescent="0.3">
      <c r="B51" s="611" t="s">
        <v>1218</v>
      </c>
      <c r="C51" s="611"/>
      <c r="D51" s="611"/>
      <c r="E51" s="611">
        <f>E49-E50</f>
        <v>-7.0175647735595703E-2</v>
      </c>
      <c r="F51" s="611">
        <f t="shared" ref="F51:N51" si="23">F49-F50</f>
        <v>38440563.464800119</v>
      </c>
      <c r="G51" s="611">
        <f t="shared" si="23"/>
        <v>24737830.629264086</v>
      </c>
      <c r="H51" s="611">
        <f t="shared" si="23"/>
        <v>-42984305.837097824</v>
      </c>
      <c r="I51" s="611">
        <f t="shared" si="23"/>
        <v>-20710038.155581027</v>
      </c>
      <c r="J51" s="611">
        <f t="shared" si="23"/>
        <v>-8477849.7263406515</v>
      </c>
      <c r="K51" s="611">
        <f t="shared" si="23"/>
        <v>1894259.8936628699</v>
      </c>
      <c r="L51" s="611">
        <f t="shared" si="23"/>
        <v>2483173.29787587</v>
      </c>
      <c r="M51" s="611">
        <f t="shared" si="23"/>
        <v>125225.76388594403</v>
      </c>
      <c r="N51" s="611">
        <f t="shared" si="23"/>
        <v>4491140.5993555412</v>
      </c>
    </row>
    <row r="52" spans="1:21" x14ac:dyDescent="0.3">
      <c r="B52" s="611"/>
      <c r="C52" s="611"/>
      <c r="D52" s="611"/>
      <c r="E52" s="611"/>
      <c r="F52" s="611"/>
      <c r="G52" s="611"/>
      <c r="H52" s="611"/>
      <c r="I52" s="611"/>
      <c r="J52" s="611"/>
      <c r="K52" s="611"/>
      <c r="L52" s="611"/>
      <c r="M52" s="611"/>
      <c r="N52" s="611"/>
    </row>
    <row r="53" spans="1:21" x14ac:dyDescent="0.3">
      <c r="A53" s="309" t="s">
        <v>193</v>
      </c>
      <c r="B53" s="616" t="s">
        <v>1273</v>
      </c>
      <c r="C53" s="611"/>
      <c r="D53" s="611"/>
      <c r="E53" s="617">
        <f t="shared" ref="E53:N53" si="24">E50/E49</f>
        <v>1.0000000000333022</v>
      </c>
      <c r="F53" s="617">
        <f>F50/F49</f>
        <v>0.9548657662803488</v>
      </c>
      <c r="G53" s="617">
        <f t="shared" si="24"/>
        <v>0.89493127785909721</v>
      </c>
      <c r="H53" s="617">
        <f t="shared" si="24"/>
        <v>1.1007419504646303</v>
      </c>
      <c r="I53" s="617">
        <f t="shared" si="24"/>
        <v>1.0824054919701454</v>
      </c>
      <c r="J53" s="617">
        <f t="shared" si="24"/>
        <v>1.0759969184828475</v>
      </c>
      <c r="K53" s="617">
        <f t="shared" si="24"/>
        <v>0.98888610846407654</v>
      </c>
      <c r="L53" s="617">
        <f t="shared" si="24"/>
        <v>0.92650975975857419</v>
      </c>
      <c r="M53" s="617">
        <f t="shared" si="24"/>
        <v>0.81709578175528941</v>
      </c>
      <c r="N53" s="617">
        <f t="shared" si="24"/>
        <v>0.82478516724314865</v>
      </c>
      <c r="S53" s="132">
        <f>S50/S49</f>
        <v>0.94188560446830794</v>
      </c>
      <c r="U53" s="132">
        <f>U50/U49</f>
        <v>1.0939450160667337</v>
      </c>
    </row>
    <row r="54" spans="1:21" x14ac:dyDescent="0.3">
      <c r="B54" s="611"/>
      <c r="C54" s="611"/>
      <c r="D54" s="611"/>
      <c r="E54" s="611"/>
      <c r="F54" s="611"/>
      <c r="G54" s="611"/>
      <c r="H54" s="611"/>
      <c r="I54" s="611"/>
      <c r="J54" s="611"/>
      <c r="K54" s="611"/>
      <c r="L54" s="611"/>
      <c r="M54" s="611"/>
      <c r="N54" s="611"/>
    </row>
    <row r="55" spans="1:21" x14ac:dyDescent="0.3">
      <c r="A55" s="309" t="s">
        <v>194</v>
      </c>
      <c r="B55" s="616" t="s">
        <v>346</v>
      </c>
      <c r="C55" s="611"/>
      <c r="D55" s="611"/>
      <c r="E55" s="611">
        <f>'11c. Cust &amp; Demand Array'!E50</f>
        <v>22390001572</v>
      </c>
      <c r="F55" s="611">
        <f>'11c. Cust &amp; Demand Array'!F50</f>
        <v>7586279228</v>
      </c>
      <c r="G55" s="611">
        <f>'11c. Cust &amp; Demand Array'!G50</f>
        <v>2035700680</v>
      </c>
      <c r="H55" s="611">
        <f>'11c. Cust &amp; Demand Array'!H50</f>
        <v>4947975233</v>
      </c>
      <c r="I55" s="611">
        <f>'11c. Cust &amp; Demand Array'!I50</f>
        <v>3213077429.0000005</v>
      </c>
      <c r="J55" s="611">
        <f>'11c. Cust &amp; Demand Array'!J50</f>
        <v>1555051374</v>
      </c>
      <c r="K55" s="611">
        <f>'11c. Cust &amp; Demand Array'!K50</f>
        <v>2490036504</v>
      </c>
      <c r="L55" s="611">
        <f>'11c. Cust &amp; Demand Array'!L50</f>
        <v>466075060</v>
      </c>
      <c r="M55" s="611">
        <f>'11c. Cust &amp; Demand Array'!M50</f>
        <v>4364172</v>
      </c>
      <c r="N55" s="611">
        <f>'11c. Cust &amp; Demand Array'!N50</f>
        <v>91441892</v>
      </c>
    </row>
    <row r="56" spans="1:21" x14ac:dyDescent="0.3">
      <c r="B56" s="611"/>
      <c r="C56" s="611"/>
      <c r="D56" s="611"/>
      <c r="E56" s="611"/>
      <c r="F56" s="611"/>
      <c r="G56" s="611"/>
      <c r="H56" s="611"/>
      <c r="I56" s="611"/>
      <c r="J56" s="611"/>
      <c r="K56" s="611"/>
      <c r="L56" s="611"/>
      <c r="M56" s="611"/>
      <c r="N56" s="611"/>
    </row>
    <row r="57" spans="1:21" x14ac:dyDescent="0.3">
      <c r="A57" s="32" t="s">
        <v>1230</v>
      </c>
      <c r="B57" s="611" t="s">
        <v>1135</v>
      </c>
      <c r="C57" s="611" t="s">
        <v>1136</v>
      </c>
      <c r="D57" s="611"/>
      <c r="E57" s="611"/>
      <c r="F57" s="614">
        <v>1.0800000000000001E-2</v>
      </c>
      <c r="G57" s="614">
        <v>1.0800000000000001E-2</v>
      </c>
      <c r="H57" s="614">
        <v>7.2899999999999996E-3</v>
      </c>
      <c r="I57" s="614">
        <v>7.3699999999999998E-3</v>
      </c>
      <c r="J57" s="614">
        <v>6.6400000000000001E-3</v>
      </c>
      <c r="K57" s="614">
        <v>6.4700000000000001E-3</v>
      </c>
      <c r="L57" s="614">
        <v>5.7999999999999996E-3</v>
      </c>
      <c r="M57" s="614">
        <v>5.1399999999999996E-3</v>
      </c>
      <c r="N57" s="614">
        <v>7.3999999999999999E-4</v>
      </c>
    </row>
    <row r="58" spans="1:21" x14ac:dyDescent="0.3">
      <c r="B58" s="611"/>
      <c r="C58" s="611"/>
      <c r="D58" s="611"/>
      <c r="E58" s="617"/>
      <c r="F58" s="617"/>
      <c r="G58" s="617"/>
      <c r="H58" s="617"/>
      <c r="I58" s="617"/>
      <c r="J58" s="617"/>
      <c r="K58" s="617"/>
      <c r="L58" s="617"/>
      <c r="M58" s="617"/>
      <c r="N58" s="617"/>
    </row>
    <row r="59" spans="1:21" x14ac:dyDescent="0.3">
      <c r="B59" s="611"/>
      <c r="C59" s="611"/>
      <c r="D59" s="611"/>
      <c r="E59" s="611"/>
      <c r="F59" s="618"/>
      <c r="G59" s="618"/>
      <c r="H59" s="618"/>
      <c r="I59" s="618"/>
      <c r="J59" s="618"/>
      <c r="K59" s="618"/>
      <c r="L59" s="618"/>
      <c r="M59" s="618"/>
      <c r="N59" s="618"/>
    </row>
    <row r="60" spans="1:21" x14ac:dyDescent="0.3">
      <c r="B60" s="611"/>
      <c r="C60" s="611"/>
      <c r="D60" s="611"/>
      <c r="E60" s="611"/>
      <c r="F60" s="618"/>
      <c r="G60" s="611"/>
      <c r="H60" s="611"/>
      <c r="I60" s="611"/>
      <c r="J60" s="611"/>
      <c r="K60" s="611"/>
      <c r="L60" s="611"/>
      <c r="M60" s="611"/>
      <c r="N60" s="611"/>
    </row>
  </sheetData>
  <phoneticPr fontId="0" type="noConversion"/>
  <printOptions horizontalCentered="1" gridLines="1" gridLinesSet="0"/>
  <pageMargins left="0" right="0" top="0.5" bottom="0.4" header="0.2" footer="0.2"/>
  <pageSetup scale="65" orientation="landscape" r:id="rId1"/>
  <headerFooter alignWithMargins="0">
    <oddFooter>&amp;L&amp;F&amp;C&amp;A
&amp;P&amp;R&amp;D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BB58"/>
  <sheetViews>
    <sheetView zoomScale="75" zoomScaleNormal="75" workbookViewId="0">
      <pane xSplit="3" ySplit="7" topLeftCell="D8" activePane="bottomRight" state="frozen"/>
      <selection activeCell="B56" sqref="A1:XFD1048576"/>
      <selection pane="topRight" activeCell="B56" sqref="A1:XFD1048576"/>
      <selection pane="bottomLeft" activeCell="B56" sqref="A1:XFD1048576"/>
      <selection pane="bottomRight" activeCell="D8" sqref="D8"/>
    </sheetView>
  </sheetViews>
  <sheetFormatPr defaultColWidth="9.1796875" defaultRowHeight="13" x14ac:dyDescent="0.3"/>
  <cols>
    <col min="1" max="1" width="4.54296875" style="32" customWidth="1"/>
    <col min="2" max="2" width="29.54296875" style="32" customWidth="1"/>
    <col min="3" max="3" width="36.54296875" style="32" bestFit="1" customWidth="1"/>
    <col min="4" max="4" width="9" style="32" customWidth="1"/>
    <col min="5" max="5" width="16.81640625" style="32" bestFit="1" customWidth="1"/>
    <col min="6" max="6" width="21.54296875" style="32" bestFit="1" customWidth="1"/>
    <col min="7" max="7" width="15.453125" style="32" bestFit="1" customWidth="1"/>
    <col min="8" max="10" width="14.81640625" style="32" bestFit="1" customWidth="1"/>
    <col min="11" max="11" width="15.1796875" style="32" bestFit="1" customWidth="1"/>
    <col min="12" max="12" width="13.453125" style="32" bestFit="1" customWidth="1"/>
    <col min="13" max="13" width="11.54296875" style="32" bestFit="1" customWidth="1"/>
    <col min="14" max="14" width="12.54296875" style="32" bestFit="1" customWidth="1"/>
    <col min="15" max="15" width="12.453125" style="32" customWidth="1"/>
    <col min="16" max="16" width="13.81640625" style="32" customWidth="1"/>
    <col min="17" max="18" width="9.1796875" style="32"/>
    <col min="19" max="19" width="11.453125" style="32" bestFit="1" customWidth="1"/>
    <col min="20" max="20" width="8.54296875" style="32" bestFit="1" customWidth="1"/>
    <col min="21" max="16384" width="9.1796875" style="32"/>
  </cols>
  <sheetData>
    <row r="1" spans="1:54" x14ac:dyDescent="0.3">
      <c r="A1" s="301" t="str">
        <f>'1. RB-i'!$A$1</f>
        <v>CPS Energy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3"/>
      <c r="O1" s="42"/>
      <c r="P1" s="42"/>
    </row>
    <row r="2" spans="1:54" x14ac:dyDescent="0.3">
      <c r="A2" s="307" t="s">
        <v>180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98"/>
      <c r="O2" s="35"/>
      <c r="P2" s="35"/>
      <c r="S2" s="1"/>
      <c r="T2" s="1"/>
    </row>
    <row r="3" spans="1:54" x14ac:dyDescent="0.3">
      <c r="A3" s="307" t="str">
        <f>'10a. RB by class'!A3</f>
        <v>Based on FYE 2017 Test Year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98"/>
      <c r="O3" s="31"/>
      <c r="P3" s="31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</row>
    <row r="4" spans="1:54" s="179" customFormat="1" x14ac:dyDescent="0.3">
      <c r="A4" s="304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305"/>
    </row>
    <row r="5" spans="1:54" s="179" customFormat="1" x14ac:dyDescent="0.3">
      <c r="A5" s="304"/>
      <c r="B5" s="196"/>
      <c r="C5" s="196"/>
      <c r="D5" s="196"/>
      <c r="E5" s="196"/>
      <c r="F5" s="196"/>
      <c r="G5" s="196"/>
      <c r="H5" s="199"/>
      <c r="I5" s="199"/>
      <c r="J5" s="199"/>
      <c r="K5" s="196"/>
      <c r="L5" s="196"/>
      <c r="M5" s="196"/>
      <c r="N5" s="305"/>
    </row>
    <row r="6" spans="1:54" s="179" customFormat="1" x14ac:dyDescent="0.3">
      <c r="A6" s="304"/>
      <c r="B6" s="196"/>
      <c r="C6" s="196" t="s">
        <v>359</v>
      </c>
      <c r="D6" s="196"/>
      <c r="E6" s="196" t="s">
        <v>355</v>
      </c>
      <c r="F6" s="196" t="s">
        <v>961</v>
      </c>
      <c r="G6" s="196" t="s">
        <v>962</v>
      </c>
      <c r="H6" s="196" t="s">
        <v>963</v>
      </c>
      <c r="I6" s="196" t="s">
        <v>964</v>
      </c>
      <c r="J6" s="196" t="s">
        <v>965</v>
      </c>
      <c r="K6" s="196" t="s">
        <v>966</v>
      </c>
      <c r="L6" s="196" t="s">
        <v>967</v>
      </c>
      <c r="M6" s="196" t="s">
        <v>968</v>
      </c>
      <c r="N6" s="305" t="s">
        <v>932</v>
      </c>
    </row>
    <row r="7" spans="1:54" s="179" customFormat="1" ht="13.5" thickBot="1" x14ac:dyDescent="0.35">
      <c r="A7" s="299"/>
      <c r="B7" s="282"/>
      <c r="C7" s="282"/>
      <c r="D7" s="282"/>
      <c r="E7" s="282" t="s">
        <v>816</v>
      </c>
      <c r="F7" s="282" t="s">
        <v>817</v>
      </c>
      <c r="G7" s="282" t="s">
        <v>818</v>
      </c>
      <c r="H7" s="282" t="s">
        <v>819</v>
      </c>
      <c r="I7" s="282" t="s">
        <v>820</v>
      </c>
      <c r="J7" s="282" t="s">
        <v>821</v>
      </c>
      <c r="K7" s="282" t="s">
        <v>822</v>
      </c>
      <c r="L7" s="282" t="s">
        <v>823</v>
      </c>
      <c r="M7" s="282" t="s">
        <v>908</v>
      </c>
      <c r="N7" s="300" t="s">
        <v>914</v>
      </c>
    </row>
    <row r="8" spans="1:54" x14ac:dyDescent="0.3">
      <c r="A8" s="321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22"/>
    </row>
    <row r="9" spans="1:54" x14ac:dyDescent="0.3">
      <c r="A9" s="321" t="s">
        <v>544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22"/>
    </row>
    <row r="10" spans="1:54" x14ac:dyDescent="0.3">
      <c r="A10" s="321"/>
      <c r="B10" s="35" t="s">
        <v>969</v>
      </c>
      <c r="C10" s="35" t="s">
        <v>11</v>
      </c>
      <c r="D10" s="35"/>
      <c r="E10" s="35">
        <f>SUM(F10:N10)</f>
        <v>5046471.8243011944</v>
      </c>
      <c r="F10" s="35">
        <f>'11c. Cust &amp; Demand Array'!F41</f>
        <v>2008910.6157932067</v>
      </c>
      <c r="G10" s="35">
        <f>'11c. Cust &amp; Demand Array'!G41</f>
        <v>595640.15719269833</v>
      </c>
      <c r="H10" s="35">
        <f>'11c. Cust &amp; Demand Array'!H41</f>
        <v>1054955.86460065</v>
      </c>
      <c r="I10" s="35">
        <f>'11c. Cust &amp; Demand Array'!I41</f>
        <v>618944.19537833193</v>
      </c>
      <c r="J10" s="35">
        <f>'11c. Cust &amp; Demand Array'!J41</f>
        <v>260141.303028119</v>
      </c>
      <c r="K10" s="35">
        <f>'11c. Cust &amp; Demand Array'!K41</f>
        <v>385407.39090030832</v>
      </c>
      <c r="L10" s="35">
        <f>'11c. Cust &amp; Demand Array'!L41</f>
        <v>100325.34931042325</v>
      </c>
      <c r="M10" s="35">
        <f>'11c. Cust &amp; Demand Array'!M41</f>
        <v>539.35270506859229</v>
      </c>
      <c r="N10" s="322">
        <f>'11c. Cust &amp; Demand Array'!N41</f>
        <v>21607.595392388306</v>
      </c>
    </row>
    <row r="11" spans="1:54" x14ac:dyDescent="0.3">
      <c r="A11" s="321"/>
      <c r="B11" s="35" t="s">
        <v>970</v>
      </c>
      <c r="C11" s="35" t="s">
        <v>12</v>
      </c>
      <c r="D11" s="35"/>
      <c r="E11" s="35">
        <f>SUM(F11:N11)</f>
        <v>23624750920.661694</v>
      </c>
      <c r="F11" s="35">
        <f>'11c. Cust &amp; Demand Array'!F43</f>
        <v>8037040401.1275291</v>
      </c>
      <c r="G11" s="35">
        <f>'11c. Cust &amp; Demand Array'!G43</f>
        <v>2156657844.7806621</v>
      </c>
      <c r="H11" s="35">
        <f>'11c. Cust &amp; Demand Array'!H43</f>
        <v>5241973786.6521091</v>
      </c>
      <c r="I11" s="35">
        <f>'11c. Cust &amp; Demand Array'!I43</f>
        <v>3401535444.2032676</v>
      </c>
      <c r="J11" s="35">
        <f>'11c. Cust &amp; Demand Array'!J43</f>
        <v>1640766021.7989972</v>
      </c>
      <c r="K11" s="35">
        <f>'11c. Cust &amp; Demand Array'!K43</f>
        <v>2573680297.6683087</v>
      </c>
      <c r="L11" s="35">
        <f>'11c. Cust &amp; Demand Array'!L43</f>
        <v>471598460.34275782</v>
      </c>
      <c r="M11" s="35">
        <f>'11c. Cust &amp; Demand Array'!M43</f>
        <v>4623482.1613225145</v>
      </c>
      <c r="N11" s="322">
        <f>'11c. Cust &amp; Demand Array'!N43</f>
        <v>96875181.926738888</v>
      </c>
    </row>
    <row r="12" spans="1:54" x14ac:dyDescent="0.3">
      <c r="A12" s="321"/>
      <c r="B12" s="35"/>
      <c r="C12" s="35"/>
      <c r="D12" s="35"/>
      <c r="E12" s="316"/>
      <c r="F12" s="316"/>
      <c r="G12" s="316"/>
      <c r="H12" s="316"/>
      <c r="I12" s="316"/>
      <c r="J12" s="316"/>
      <c r="K12" s="316"/>
      <c r="L12" s="316"/>
      <c r="M12" s="316"/>
      <c r="N12" s="323"/>
    </row>
    <row r="13" spans="1:54" x14ac:dyDescent="0.3">
      <c r="A13" s="321"/>
      <c r="B13" s="35" t="s">
        <v>617</v>
      </c>
      <c r="C13" s="35" t="s">
        <v>13</v>
      </c>
      <c r="D13" s="35"/>
      <c r="E13" s="35">
        <f>SUM(F13:N13)</f>
        <v>22390001572</v>
      </c>
      <c r="F13" s="35">
        <f>'11c. Cust &amp; Demand Array'!F45</f>
        <v>7586279228</v>
      </c>
      <c r="G13" s="35">
        <f>'11c. Cust &amp; Demand Array'!G45</f>
        <v>2035700680</v>
      </c>
      <c r="H13" s="35">
        <f>'11c. Cust &amp; Demand Array'!H45</f>
        <v>4947975233</v>
      </c>
      <c r="I13" s="35">
        <f>'11c. Cust &amp; Demand Array'!I45</f>
        <v>3213077429.0000005</v>
      </c>
      <c r="J13" s="35">
        <f>'11c. Cust &amp; Demand Array'!J45</f>
        <v>1555051374</v>
      </c>
      <c r="K13" s="35">
        <f>'11c. Cust &amp; Demand Array'!K45</f>
        <v>2490036504</v>
      </c>
      <c r="L13" s="35">
        <f>'11c. Cust &amp; Demand Array'!L45</f>
        <v>466075060</v>
      </c>
      <c r="M13" s="35">
        <f>'11c. Cust &amp; Demand Array'!M45</f>
        <v>4364172</v>
      </c>
      <c r="N13" s="322">
        <f>'11c. Cust &amp; Demand Array'!N45</f>
        <v>91441892</v>
      </c>
    </row>
    <row r="14" spans="1:54" x14ac:dyDescent="0.3">
      <c r="A14" s="321"/>
      <c r="B14" s="35"/>
      <c r="C14" s="35"/>
      <c r="D14" s="35"/>
      <c r="E14" s="35"/>
      <c r="F14" s="165"/>
      <c r="G14" s="165"/>
      <c r="H14" s="35"/>
      <c r="I14" s="35"/>
      <c r="J14" s="35"/>
      <c r="K14" s="35"/>
      <c r="L14" s="35"/>
      <c r="M14" s="35"/>
      <c r="N14" s="322"/>
    </row>
    <row r="15" spans="1:54" x14ac:dyDescent="0.3">
      <c r="A15" s="321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22"/>
    </row>
    <row r="16" spans="1:54" x14ac:dyDescent="0.3">
      <c r="A16" s="321" t="s">
        <v>984</v>
      </c>
      <c r="B16" s="35"/>
      <c r="C16" s="35" t="s">
        <v>11</v>
      </c>
      <c r="D16" s="35"/>
      <c r="E16" s="127">
        <f>SUM(F16:N16)</f>
        <v>1</v>
      </c>
      <c r="F16" s="127">
        <f>ROUND(F10/$E10,5)</f>
        <v>0.39807999999999999</v>
      </c>
      <c r="G16" s="127">
        <f t="shared" ref="G16:N16" si="0">ROUND(G10/$E10,5)</f>
        <v>0.11803</v>
      </c>
      <c r="H16" s="127">
        <f t="shared" si="0"/>
        <v>0.20905000000000001</v>
      </c>
      <c r="I16" s="127">
        <f t="shared" si="0"/>
        <v>0.12265</v>
      </c>
      <c r="J16" s="127">
        <f t="shared" si="0"/>
        <v>5.1549999999999999E-2</v>
      </c>
      <c r="K16" s="127">
        <f t="shared" si="0"/>
        <v>7.6369999999999993E-2</v>
      </c>
      <c r="L16" s="127">
        <f t="shared" si="0"/>
        <v>1.9879999999999998E-2</v>
      </c>
      <c r="M16" s="127">
        <f t="shared" si="0"/>
        <v>1.1E-4</v>
      </c>
      <c r="N16" s="324">
        <f t="shared" si="0"/>
        <v>4.28E-3</v>
      </c>
      <c r="P16" s="86"/>
      <c r="Q16" s="86"/>
      <c r="R16" s="86"/>
      <c r="S16" s="86"/>
      <c r="T16" s="86"/>
      <c r="U16" s="86"/>
      <c r="V16" s="86"/>
      <c r="W16" s="86"/>
      <c r="X16" s="86"/>
      <c r="Y16" s="86"/>
    </row>
    <row r="17" spans="1:14" x14ac:dyDescent="0.3">
      <c r="A17" s="321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22"/>
    </row>
    <row r="18" spans="1:14" x14ac:dyDescent="0.3">
      <c r="A18" s="321" t="s">
        <v>366</v>
      </c>
      <c r="B18" s="35"/>
      <c r="C18" s="35" t="s">
        <v>42</v>
      </c>
      <c r="D18" s="35"/>
      <c r="E18" s="35">
        <f>SUM(F18:N18)</f>
        <v>4897047.1794746602</v>
      </c>
      <c r="F18" s="35">
        <f>'11c. Cust &amp; Demand Array'!F47</f>
        <v>2064079.4186954277</v>
      </c>
      <c r="G18" s="35">
        <f>'11c. Cust &amp; Demand Array'!G47</f>
        <v>468509.97114466818</v>
      </c>
      <c r="H18" s="35">
        <f>'11c. Cust &amp; Demand Array'!H47</f>
        <v>970831.98748042819</v>
      </c>
      <c r="I18" s="35">
        <f>'11c. Cust &amp; Demand Array'!I47</f>
        <v>651800.2914011915</v>
      </c>
      <c r="J18" s="35">
        <f>'11c. Cust &amp; Demand Array'!J47</f>
        <v>258366.5525255168</v>
      </c>
      <c r="K18" s="35">
        <f>'11c. Cust &amp; Demand Array'!K47</f>
        <v>380447.94485740614</v>
      </c>
      <c r="L18" s="35">
        <f>'11c. Cust &amp; Demand Array'!L47</f>
        <v>102479.82833630094</v>
      </c>
      <c r="M18" s="35">
        <f>'11c. Cust &amp; Demand Array'!M47</f>
        <v>531.18503371989902</v>
      </c>
      <c r="N18" s="322">
        <f>'11c. Cust &amp; Demand Array'!N47</f>
        <v>0</v>
      </c>
    </row>
    <row r="19" spans="1:14" x14ac:dyDescent="0.3">
      <c r="A19" s="321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22"/>
    </row>
    <row r="20" spans="1:14" x14ac:dyDescent="0.3">
      <c r="A20" s="321" t="s">
        <v>367</v>
      </c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22"/>
    </row>
    <row r="21" spans="1:14" x14ac:dyDescent="0.3">
      <c r="A21" s="321"/>
      <c r="B21" s="35" t="s">
        <v>973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22"/>
    </row>
    <row r="22" spans="1:14" x14ac:dyDescent="0.3">
      <c r="A22" s="321"/>
      <c r="B22" s="35" t="s">
        <v>974</v>
      </c>
      <c r="C22" s="35" t="s">
        <v>14</v>
      </c>
      <c r="D22" s="35"/>
      <c r="E22" s="35">
        <f>SUM(F22:N22)</f>
        <v>5417550</v>
      </c>
      <c r="F22" s="35">
        <f>'11c. Cust &amp; Demand Array'!F21</f>
        <v>2184589</v>
      </c>
      <c r="G22" s="35">
        <f>'11c. Cust &amp; Demand Array'!G21</f>
        <v>651866</v>
      </c>
      <c r="H22" s="35">
        <f>'11c. Cust &amp; Demand Array'!H21</f>
        <v>1128538</v>
      </c>
      <c r="I22" s="35">
        <f>'11c. Cust &amp; Demand Array'!I21</f>
        <v>656153</v>
      </c>
      <c r="J22" s="35">
        <f>'11c. Cust &amp; Demand Array'!J21</f>
        <v>271921</v>
      </c>
      <c r="K22" s="35">
        <f>'11c. Cust &amp; Demand Array'!K21</f>
        <v>400248</v>
      </c>
      <c r="L22" s="35">
        <f>'11c. Cust &amp; Demand Array'!L21</f>
        <v>100388</v>
      </c>
      <c r="M22" s="35">
        <f>'11c. Cust &amp; Demand Array'!M21</f>
        <v>541</v>
      </c>
      <c r="N22" s="322">
        <f>'11c. Cust &amp; Demand Array'!N21</f>
        <v>23306</v>
      </c>
    </row>
    <row r="23" spans="1:14" x14ac:dyDescent="0.3">
      <c r="A23" s="321"/>
      <c r="B23" s="35" t="s">
        <v>975</v>
      </c>
      <c r="C23" s="35" t="s">
        <v>14</v>
      </c>
      <c r="D23" s="35"/>
      <c r="E23" s="35">
        <f>SUM(F23:N23)</f>
        <v>5324589</v>
      </c>
      <c r="F23" s="35">
        <f>'11c. Cust &amp; Demand Array'!F22</f>
        <v>2184589</v>
      </c>
      <c r="G23" s="35">
        <f>'11c. Cust &amp; Demand Array'!G22</f>
        <v>651866</v>
      </c>
      <c r="H23" s="35">
        <f>'11c. Cust &amp; Demand Array'!H22</f>
        <v>1128538</v>
      </c>
      <c r="I23" s="35">
        <f>'11c. Cust &amp; Demand Array'!I22</f>
        <v>656153</v>
      </c>
      <c r="J23" s="35">
        <f>'11c. Cust &amp; Demand Array'!J22</f>
        <v>271921</v>
      </c>
      <c r="K23" s="35">
        <f>'11c. Cust &amp; Demand Array'!K22</f>
        <v>400248</v>
      </c>
      <c r="L23" s="35">
        <f>'11c. Cust &amp; Demand Array'!L22</f>
        <v>7427</v>
      </c>
      <c r="M23" s="35">
        <f>'11c. Cust &amp; Demand Array'!M22</f>
        <v>541</v>
      </c>
      <c r="N23" s="322">
        <f>'11c. Cust &amp; Demand Array'!N22</f>
        <v>23306</v>
      </c>
    </row>
    <row r="24" spans="1:14" x14ac:dyDescent="0.3">
      <c r="A24" s="321"/>
      <c r="B24" s="35" t="s">
        <v>976</v>
      </c>
      <c r="C24" s="35" t="s">
        <v>15</v>
      </c>
      <c r="D24" s="35"/>
      <c r="E24" s="35">
        <f>SUM(F24:N24)</f>
        <v>8901211.8259363808</v>
      </c>
      <c r="F24" s="35">
        <f>'11c. Cust &amp; Demand Array'!F30</f>
        <v>4522099.2299999995</v>
      </c>
      <c r="G24" s="35">
        <f>'11c. Cust &amp; Demand Array'!G30</f>
        <v>1662844.9794000001</v>
      </c>
      <c r="H24" s="35">
        <f>'11c. Cust &amp; Demand Array'!H30</f>
        <v>1540862.0098905095</v>
      </c>
      <c r="I24" s="35">
        <f>'11c. Cust &amp; Demand Array'!I30</f>
        <v>792278.52414587152</v>
      </c>
      <c r="J24" s="35">
        <f>'11c. Cust &amp; Demand Array'!J30</f>
        <v>269344.78620000003</v>
      </c>
      <c r="K24" s="35">
        <f>'11c. Cust &amp; Demand Array'!K30</f>
        <v>89935.296300000002</v>
      </c>
      <c r="L24" s="35">
        <f>'11c. Cust &amp; Demand Array'!L30</f>
        <v>0</v>
      </c>
      <c r="M24" s="35">
        <f>'11c. Cust &amp; Demand Array'!M30</f>
        <v>541</v>
      </c>
      <c r="N24" s="322">
        <f>'11c. Cust &amp; Demand Array'!N30</f>
        <v>23306</v>
      </c>
    </row>
    <row r="25" spans="1:14" ht="12.75" customHeight="1" x14ac:dyDescent="0.3">
      <c r="A25" s="321"/>
      <c r="B25" s="35" t="s">
        <v>931</v>
      </c>
      <c r="C25" s="35" t="s">
        <v>16</v>
      </c>
      <c r="D25" s="35"/>
      <c r="E25" s="35">
        <f>SUM(F25:N25)</f>
        <v>6923838.9129681904</v>
      </c>
      <c r="F25" s="35">
        <f>'11c. Cust &amp; Demand Array'!F38</f>
        <v>3353344.1149999998</v>
      </c>
      <c r="G25" s="35">
        <f>'11c. Cust &amp; Demand Array'!G38</f>
        <v>1157355.4897</v>
      </c>
      <c r="H25" s="35">
        <f>'11c. Cust &amp; Demand Array'!H38</f>
        <v>1334700.0049452549</v>
      </c>
      <c r="I25" s="35">
        <f>'11c. Cust &amp; Demand Array'!I38</f>
        <v>715911.2620729357</v>
      </c>
      <c r="J25" s="35">
        <f>'11c. Cust &amp; Demand Array'!J38</f>
        <v>252992.89310000002</v>
      </c>
      <c r="K25" s="35">
        <f>'11c. Cust &amp; Demand Array'!K38</f>
        <v>85688.148149999994</v>
      </c>
      <c r="L25" s="35">
        <f>'11c. Cust &amp; Demand Array'!L38</f>
        <v>0</v>
      </c>
      <c r="M25" s="35">
        <f>'11c. Cust &amp; Demand Array'!M38</f>
        <v>541</v>
      </c>
      <c r="N25" s="322">
        <f>'11c. Cust &amp; Demand Array'!N38</f>
        <v>23306</v>
      </c>
    </row>
    <row r="26" spans="1:14" x14ac:dyDescent="0.3">
      <c r="A26" s="321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22"/>
    </row>
    <row r="27" spans="1:14" x14ac:dyDescent="0.3">
      <c r="A27" s="321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22"/>
    </row>
    <row r="28" spans="1:14" x14ac:dyDescent="0.3">
      <c r="A28" s="321"/>
      <c r="B28" s="35" t="s">
        <v>978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22"/>
    </row>
    <row r="29" spans="1:14" x14ac:dyDescent="0.3">
      <c r="A29" s="321"/>
      <c r="B29" s="35" t="s">
        <v>975</v>
      </c>
      <c r="C29" s="35" t="s">
        <v>17</v>
      </c>
      <c r="D29" s="35"/>
      <c r="E29" s="35">
        <f t="shared" ref="E29:E34" si="1">SUM(F29:N29)</f>
        <v>797163</v>
      </c>
      <c r="F29" s="35">
        <f>'11c. Cust &amp; Demand Array'!F14</f>
        <v>571733</v>
      </c>
      <c r="G29" s="35">
        <f>'11c. Cust &amp; Demand Array'!G14</f>
        <v>140608</v>
      </c>
      <c r="H29" s="35">
        <f>'11c. Cust &amp; Demand Array'!H14</f>
        <v>74924</v>
      </c>
      <c r="I29" s="35">
        <f>'11c. Cust &amp; Demand Array'!I14</f>
        <v>2039</v>
      </c>
      <c r="J29" s="35">
        <f>'11c. Cust &amp; Demand Array'!J14</f>
        <v>180</v>
      </c>
      <c r="K29" s="35">
        <f>'11c. Cust &amp; Demand Array'!K14</f>
        <v>39</v>
      </c>
      <c r="L29" s="35">
        <f>'11c. Cust &amp; Demand Array'!L14</f>
        <v>2</v>
      </c>
      <c r="M29" s="35">
        <f>'11c. Cust &amp; Demand Array'!M14</f>
        <v>1811</v>
      </c>
      <c r="N29" s="322">
        <f>'11c. Cust &amp; Demand Array'!N14</f>
        <v>5827</v>
      </c>
    </row>
    <row r="30" spans="1:14" x14ac:dyDescent="0.3">
      <c r="A30" s="321"/>
      <c r="B30" s="35" t="s">
        <v>976</v>
      </c>
      <c r="C30" s="35" t="s">
        <v>18</v>
      </c>
      <c r="D30" s="35"/>
      <c r="E30" s="35">
        <f t="shared" si="1"/>
        <v>797076</v>
      </c>
      <c r="F30" s="35">
        <f>'11c. Cust &amp; Demand Array'!F15</f>
        <v>571733</v>
      </c>
      <c r="G30" s="35">
        <f>'11c. Cust &amp; Demand Array'!G15</f>
        <v>140608</v>
      </c>
      <c r="H30" s="35">
        <f>'11c. Cust &amp; Demand Array'!H15</f>
        <v>74924</v>
      </c>
      <c r="I30" s="35">
        <f>'11c. Cust &amp; Demand Array'!I15</f>
        <v>1999</v>
      </c>
      <c r="J30" s="35">
        <f>'11c. Cust &amp; Demand Array'!J15</f>
        <v>163</v>
      </c>
      <c r="K30" s="35">
        <f>'11c. Cust &amp; Demand Array'!K15</f>
        <v>11</v>
      </c>
      <c r="L30" s="35">
        <f>'11c. Cust &amp; Demand Array'!L15</f>
        <v>0</v>
      </c>
      <c r="M30" s="35">
        <f>'11c. Cust &amp; Demand Array'!M15</f>
        <v>1811</v>
      </c>
      <c r="N30" s="322">
        <f>'11c. Cust &amp; Demand Array'!N15</f>
        <v>5827</v>
      </c>
    </row>
    <row r="31" spans="1:14" x14ac:dyDescent="0.3">
      <c r="A31" s="321"/>
      <c r="B31" s="35" t="s">
        <v>931</v>
      </c>
      <c r="C31" s="35" t="s">
        <v>18</v>
      </c>
      <c r="D31" s="35"/>
      <c r="E31" s="35">
        <f t="shared" si="1"/>
        <v>797076</v>
      </c>
      <c r="F31" s="35">
        <f>'11c. Cust &amp; Demand Array'!F15</f>
        <v>571733</v>
      </c>
      <c r="G31" s="35">
        <f>'11c. Cust &amp; Demand Array'!G15</f>
        <v>140608</v>
      </c>
      <c r="H31" s="35">
        <f>'11c. Cust &amp; Demand Array'!H15</f>
        <v>74924</v>
      </c>
      <c r="I31" s="35">
        <f>'11c. Cust &amp; Demand Array'!I15</f>
        <v>1999</v>
      </c>
      <c r="J31" s="35">
        <f>'11c. Cust &amp; Demand Array'!J15</f>
        <v>163</v>
      </c>
      <c r="K31" s="35">
        <f>'11c. Cust &amp; Demand Array'!K15</f>
        <v>11</v>
      </c>
      <c r="L31" s="35">
        <f>'11c. Cust &amp; Demand Array'!L15</f>
        <v>0</v>
      </c>
      <c r="M31" s="35">
        <f>'11c. Cust &amp; Demand Array'!M15</f>
        <v>1811</v>
      </c>
      <c r="N31" s="322">
        <f>'11c. Cust &amp; Demand Array'!N15</f>
        <v>5827</v>
      </c>
    </row>
    <row r="32" spans="1:14" s="16" customFormat="1" x14ac:dyDescent="0.3">
      <c r="A32" s="325"/>
      <c r="B32" s="53" t="s">
        <v>456</v>
      </c>
      <c r="C32" s="53" t="s">
        <v>50</v>
      </c>
      <c r="D32" s="53"/>
      <c r="E32" s="53">
        <f t="shared" si="1"/>
        <v>1047302.35</v>
      </c>
      <c r="F32" s="53">
        <f>'11b. Dev of cust wghted af'!F21</f>
        <v>571733</v>
      </c>
      <c r="G32" s="53">
        <f>'11b. Dev of cust wghted af'!G21</f>
        <v>140608</v>
      </c>
      <c r="H32" s="53">
        <f>'11b. Dev of cust wghted af'!H21</f>
        <v>224772</v>
      </c>
      <c r="I32" s="53">
        <f>'11b. Dev of cust wghted af'!I21</f>
        <v>99950</v>
      </c>
      <c r="J32" s="53">
        <f>'11b. Dev of cust wghted af'!J21</f>
        <v>8150</v>
      </c>
      <c r="K32" s="53">
        <f>'11b. Dev of cust wghted af'!K21</f>
        <v>550</v>
      </c>
      <c r="L32" s="53">
        <f>'11b. Dev of cust wghted af'!L21</f>
        <v>0</v>
      </c>
      <c r="M32" s="53">
        <f>'11b. Dev of cust wghted af'!M21</f>
        <v>1539.35</v>
      </c>
      <c r="N32" s="326">
        <f>'11b. Dev of cust wghted af'!N21</f>
        <v>0</v>
      </c>
    </row>
    <row r="33" spans="1:14" x14ac:dyDescent="0.3">
      <c r="A33" s="321"/>
      <c r="B33" s="35" t="s">
        <v>932</v>
      </c>
      <c r="C33" s="35" t="s">
        <v>19</v>
      </c>
      <c r="D33" s="35"/>
      <c r="E33" s="35">
        <f t="shared" si="1"/>
        <v>1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27">
        <v>1</v>
      </c>
    </row>
    <row r="34" spans="1:14" s="16" customFormat="1" x14ac:dyDescent="0.3">
      <c r="A34" s="325"/>
      <c r="B34" s="53" t="s">
        <v>1012</v>
      </c>
      <c r="C34" s="35" t="s">
        <v>198</v>
      </c>
      <c r="D34" s="53"/>
      <c r="E34" s="35">
        <f t="shared" si="1"/>
        <v>23051653796.230873</v>
      </c>
      <c r="F34" s="53">
        <f t="shared" ref="F34:K34" si="2">F11</f>
        <v>8037040401.1275291</v>
      </c>
      <c r="G34" s="53">
        <f t="shared" si="2"/>
        <v>2156657844.7806621</v>
      </c>
      <c r="H34" s="53">
        <f t="shared" si="2"/>
        <v>5241973786.6521091</v>
      </c>
      <c r="I34" s="53">
        <f t="shared" si="2"/>
        <v>3401535444.2032676</v>
      </c>
      <c r="J34" s="53">
        <f t="shared" si="2"/>
        <v>1640766021.7989972</v>
      </c>
      <c r="K34" s="53">
        <f t="shared" si="2"/>
        <v>2573680297.6683087</v>
      </c>
      <c r="L34" s="328">
        <v>0</v>
      </c>
      <c r="M34" s="328">
        <v>0</v>
      </c>
      <c r="N34" s="329">
        <v>0</v>
      </c>
    </row>
    <row r="35" spans="1:14" x14ac:dyDescent="0.3">
      <c r="A35" s="321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22"/>
    </row>
    <row r="36" spans="1:14" x14ac:dyDescent="0.3">
      <c r="A36" s="321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22"/>
    </row>
    <row r="37" spans="1:14" x14ac:dyDescent="0.3">
      <c r="A37" s="321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22"/>
    </row>
    <row r="38" spans="1:14" x14ac:dyDescent="0.3">
      <c r="A38" s="321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22"/>
    </row>
    <row r="39" spans="1:14" x14ac:dyDescent="0.3">
      <c r="A39" s="321" t="s">
        <v>907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22"/>
    </row>
    <row r="40" spans="1:14" s="16" customFormat="1" x14ac:dyDescent="0.3">
      <c r="A40" s="325"/>
      <c r="B40" s="53" t="s">
        <v>907</v>
      </c>
      <c r="C40" s="53" t="s">
        <v>160</v>
      </c>
      <c r="D40" s="53"/>
      <c r="E40" s="53">
        <f>SUM(F40:N40)</f>
        <v>275267965.5440706</v>
      </c>
      <c r="F40" s="53">
        <f>'11b. Dev of cust wghted af'!F25</f>
        <v>146237717.33474144</v>
      </c>
      <c r="G40" s="53">
        <f>'11b. Dev of cust wghted af'!G25</f>
        <v>35446159.505015895</v>
      </c>
      <c r="H40" s="53">
        <f>'11b. Dev of cust wghted af'!H25</f>
        <v>76963349.590565681</v>
      </c>
      <c r="I40" s="53">
        <f>'11b. Dev of cust wghted af'!I25</f>
        <v>12056812.141925978</v>
      </c>
      <c r="J40" s="53">
        <f>'11b. Dev of cust wghted af'!J25</f>
        <v>1071733.0850003725</v>
      </c>
      <c r="K40" s="53">
        <f>'11b. Dev of cust wghted af'!K25</f>
        <v>2677533.9612460043</v>
      </c>
      <c r="L40" s="53">
        <f>'11b. Dev of cust wghted af'!L25</f>
        <v>324624.05380290229</v>
      </c>
      <c r="M40" s="53">
        <f>'11b. Dev of cust wghted af'!M25</f>
        <v>490035.87177229056</v>
      </c>
      <c r="N40" s="326">
        <f>'11b. Dev of cust wghted af'!N25</f>
        <v>0</v>
      </c>
    </row>
    <row r="41" spans="1:14" x14ac:dyDescent="0.3">
      <c r="A41" s="321"/>
      <c r="B41" s="35" t="s">
        <v>996</v>
      </c>
      <c r="C41" s="35" t="s">
        <v>20</v>
      </c>
      <c r="D41" s="35"/>
      <c r="E41" s="53">
        <f>SUM(F41:N41)</f>
        <v>886343.35</v>
      </c>
      <c r="F41" s="35">
        <f>'11b. Dev of cust wghted af'!F31</f>
        <v>571733</v>
      </c>
      <c r="G41" s="35">
        <f>'11b. Dev of cust wghted af'!G31</f>
        <v>140608</v>
      </c>
      <c r="H41" s="35">
        <f>'11b. Dev of cust wghted af'!H31</f>
        <v>149848</v>
      </c>
      <c r="I41" s="35">
        <f>'11b. Dev of cust wghted af'!I31</f>
        <v>20390</v>
      </c>
      <c r="J41" s="35">
        <f>'11b. Dev of cust wghted af'!J31</f>
        <v>1800</v>
      </c>
      <c r="K41" s="35">
        <f>'11b. Dev of cust wghted af'!K31</f>
        <v>390</v>
      </c>
      <c r="L41" s="35">
        <f>'11b. Dev of cust wghted af'!L31</f>
        <v>35</v>
      </c>
      <c r="M41" s="35">
        <f>'11b. Dev of cust wghted af'!M31</f>
        <v>1539.35</v>
      </c>
      <c r="N41" s="322">
        <f>'11b. Dev of cust wghted af'!N31</f>
        <v>0</v>
      </c>
    </row>
    <row r="42" spans="1:14" x14ac:dyDescent="0.3">
      <c r="A42" s="321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22"/>
    </row>
    <row r="43" spans="1:14" x14ac:dyDescent="0.3">
      <c r="A43" s="321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22"/>
    </row>
    <row r="44" spans="1:14" x14ac:dyDescent="0.3">
      <c r="A44" s="321" t="s">
        <v>84</v>
      </c>
      <c r="B44" s="35"/>
      <c r="C44" s="35" t="s">
        <v>20</v>
      </c>
      <c r="D44" s="35"/>
      <c r="E44" s="35">
        <f>SUM(F44:N44)</f>
        <v>952890.85</v>
      </c>
      <c r="F44" s="35">
        <f>'11b. Dev of cust wghted af'!F37</f>
        <v>571733</v>
      </c>
      <c r="G44" s="35">
        <f>'11b. Dev of cust wghted af'!G37</f>
        <v>140608</v>
      </c>
      <c r="H44" s="35">
        <f>'11b. Dev of cust wghted af'!H37</f>
        <v>224772</v>
      </c>
      <c r="I44" s="35">
        <f>'11b. Dev of cust wghted af'!I37</f>
        <v>10195</v>
      </c>
      <c r="J44" s="35">
        <f>'11b. Dev of cust wghted af'!J37</f>
        <v>900</v>
      </c>
      <c r="K44" s="35">
        <f>'11b. Dev of cust wghted af'!K37</f>
        <v>195</v>
      </c>
      <c r="L44" s="35">
        <f>'11b. Dev of cust wghted af'!L37</f>
        <v>35</v>
      </c>
      <c r="M44" s="35">
        <f>'11b. Dev of cust wghted af'!M37</f>
        <v>1539.35</v>
      </c>
      <c r="N44" s="322">
        <f>'11b. Dev of cust wghted af'!N37</f>
        <v>2913.5</v>
      </c>
    </row>
    <row r="45" spans="1:14" x14ac:dyDescent="0.3">
      <c r="A45" s="321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22"/>
    </row>
    <row r="46" spans="1:14" x14ac:dyDescent="0.3">
      <c r="A46" s="321" t="s">
        <v>82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22"/>
    </row>
    <row r="47" spans="1:14" x14ac:dyDescent="0.3">
      <c r="A47" s="321"/>
      <c r="B47" s="35" t="s">
        <v>81</v>
      </c>
      <c r="C47" s="35" t="s">
        <v>20</v>
      </c>
      <c r="D47" s="35"/>
      <c r="E47" s="35">
        <f>SUM(F47:N47)</f>
        <v>794254.5</v>
      </c>
      <c r="F47" s="35">
        <f>'11b. Dev of cust wghted af'!F43</f>
        <v>571733</v>
      </c>
      <c r="G47" s="35">
        <f>'11b. Dev of cust wghted af'!G43</f>
        <v>140608</v>
      </c>
      <c r="H47" s="35">
        <f>'11b. Dev of cust wghted af'!H43</f>
        <v>74924</v>
      </c>
      <c r="I47" s="35">
        <f>'11b. Dev of cust wghted af'!I43</f>
        <v>2039</v>
      </c>
      <c r="J47" s="35">
        <f>'11b. Dev of cust wghted af'!J43</f>
        <v>180</v>
      </c>
      <c r="K47" s="35">
        <f>'11b. Dev of cust wghted af'!K43</f>
        <v>39</v>
      </c>
      <c r="L47" s="35">
        <f>'11b. Dev of cust wghted af'!L43</f>
        <v>7</v>
      </c>
      <c r="M47" s="35">
        <f>'11b. Dev of cust wghted af'!M43</f>
        <v>1811</v>
      </c>
      <c r="N47" s="322">
        <f>'11b. Dev of cust wghted af'!N43</f>
        <v>2913.5</v>
      </c>
    </row>
    <row r="48" spans="1:14" x14ac:dyDescent="0.3">
      <c r="A48" s="321"/>
      <c r="B48" s="35" t="s">
        <v>1007</v>
      </c>
      <c r="C48" s="35" t="s">
        <v>21</v>
      </c>
      <c r="D48" s="35"/>
      <c r="E48" s="35">
        <f>SUM(F48:N48)</f>
        <v>23153152460.318935</v>
      </c>
      <c r="F48" s="35">
        <f t="shared" ref="F48:K48" si="3">F11</f>
        <v>8037040401.1275291</v>
      </c>
      <c r="G48" s="35">
        <f t="shared" si="3"/>
        <v>2156657844.7806621</v>
      </c>
      <c r="H48" s="35">
        <f t="shared" si="3"/>
        <v>5241973786.6521091</v>
      </c>
      <c r="I48" s="35">
        <f t="shared" si="3"/>
        <v>3401535444.2032676</v>
      </c>
      <c r="J48" s="35">
        <f t="shared" si="3"/>
        <v>1640766021.7989972</v>
      </c>
      <c r="K48" s="35">
        <f t="shared" si="3"/>
        <v>2573680297.6683087</v>
      </c>
      <c r="L48" s="330">
        <v>0</v>
      </c>
      <c r="M48" s="35">
        <f>M11</f>
        <v>4623482.1613225145</v>
      </c>
      <c r="N48" s="322">
        <f>N11</f>
        <v>96875181.926738888</v>
      </c>
    </row>
    <row r="49" spans="1:14" x14ac:dyDescent="0.3">
      <c r="A49" s="321"/>
      <c r="B49" s="35" t="s">
        <v>1008</v>
      </c>
      <c r="C49" s="35" t="s">
        <v>21</v>
      </c>
      <c r="D49" s="35"/>
      <c r="E49" s="35">
        <f>SUM(F49:N49)</f>
        <v>23153152460.318935</v>
      </c>
      <c r="F49" s="35">
        <f t="shared" ref="F49:N49" si="4">F11</f>
        <v>8037040401.1275291</v>
      </c>
      <c r="G49" s="35">
        <f t="shared" si="4"/>
        <v>2156657844.7806621</v>
      </c>
      <c r="H49" s="35">
        <f t="shared" si="4"/>
        <v>5241973786.6521091</v>
      </c>
      <c r="I49" s="35">
        <f t="shared" si="4"/>
        <v>3401535444.2032676</v>
      </c>
      <c r="J49" s="35">
        <f t="shared" si="4"/>
        <v>1640766021.7989972</v>
      </c>
      <c r="K49" s="35">
        <f t="shared" si="4"/>
        <v>2573680297.6683087</v>
      </c>
      <c r="L49" s="330">
        <v>0</v>
      </c>
      <c r="M49" s="35">
        <f t="shared" si="4"/>
        <v>4623482.1613225145</v>
      </c>
      <c r="N49" s="322">
        <f t="shared" si="4"/>
        <v>96875181.926738888</v>
      </c>
    </row>
    <row r="50" spans="1:14" x14ac:dyDescent="0.3">
      <c r="A50" s="321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22"/>
    </row>
    <row r="51" spans="1:14" x14ac:dyDescent="0.3">
      <c r="A51" s="321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22"/>
    </row>
    <row r="52" spans="1:14" x14ac:dyDescent="0.3">
      <c r="A52" s="321" t="s">
        <v>912</v>
      </c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22"/>
    </row>
    <row r="53" spans="1:14" x14ac:dyDescent="0.3">
      <c r="A53" s="321"/>
      <c r="B53" s="35" t="s">
        <v>1006</v>
      </c>
      <c r="C53" s="35" t="s">
        <v>21</v>
      </c>
      <c r="D53" s="35"/>
      <c r="E53" s="35">
        <f>SUM(F53:N53)</f>
        <v>23153152460.318935</v>
      </c>
      <c r="F53" s="35">
        <f>F11</f>
        <v>8037040401.1275291</v>
      </c>
      <c r="G53" s="35">
        <f t="shared" ref="G53:N53" si="5">G11</f>
        <v>2156657844.7806621</v>
      </c>
      <c r="H53" s="35">
        <f t="shared" si="5"/>
        <v>5241973786.6521091</v>
      </c>
      <c r="I53" s="35">
        <f t="shared" si="5"/>
        <v>3401535444.2032676</v>
      </c>
      <c r="J53" s="35">
        <f t="shared" si="5"/>
        <v>1640766021.7989972</v>
      </c>
      <c r="K53" s="35">
        <f t="shared" si="5"/>
        <v>2573680297.6683087</v>
      </c>
      <c r="L53" s="330">
        <v>0</v>
      </c>
      <c r="M53" s="35">
        <f t="shared" si="5"/>
        <v>4623482.1613225145</v>
      </c>
      <c r="N53" s="322">
        <f t="shared" si="5"/>
        <v>96875181.926738888</v>
      </c>
    </row>
    <row r="54" spans="1:14" x14ac:dyDescent="0.3">
      <c r="A54" s="321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22"/>
    </row>
    <row r="55" spans="1:14" x14ac:dyDescent="0.3">
      <c r="A55" s="321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22"/>
    </row>
    <row r="56" spans="1:14" x14ac:dyDescent="0.3">
      <c r="A56" s="321" t="s">
        <v>913</v>
      </c>
      <c r="B56" s="35"/>
      <c r="C56" s="35" t="s">
        <v>197</v>
      </c>
      <c r="D56" s="35"/>
      <c r="E56" s="35">
        <f>SUM(F56:N56)</f>
        <v>1562102487.6769001</v>
      </c>
      <c r="F56" s="35">
        <f>'11c. Cust &amp; Demand Array'!F49</f>
        <v>621287195</v>
      </c>
      <c r="G56" s="35">
        <f>'11c. Cust &amp; Demand Array'!G49</f>
        <v>159267946.23689997</v>
      </c>
      <c r="H56" s="35">
        <f>'11c. Cust &amp; Demand Array'!H49</f>
        <v>366262907.12</v>
      </c>
      <c r="I56" s="35">
        <f>'11c. Cust &amp; Demand Array'!I49</f>
        <v>205983703.67000002</v>
      </c>
      <c r="J56" s="35">
        <f>'11c. Cust &amp; Demand Array'!J49</f>
        <v>89344118</v>
      </c>
      <c r="K56" s="35">
        <f>'11c. Cust &amp; Demand Array'!K49</f>
        <v>119953704.15000001</v>
      </c>
      <c r="L56" s="330">
        <v>0</v>
      </c>
      <c r="M56" s="330">
        <v>0</v>
      </c>
      <c r="N56" s="331">
        <f>N44</f>
        <v>2913.5</v>
      </c>
    </row>
    <row r="57" spans="1:14" ht="13.5" thickBot="1" x14ac:dyDescent="0.35">
      <c r="A57" s="332"/>
      <c r="B57" s="333"/>
      <c r="C57" s="333"/>
      <c r="D57" s="333"/>
      <c r="E57" s="333"/>
      <c r="F57" s="333"/>
      <c r="G57" s="333"/>
      <c r="H57" s="333"/>
      <c r="I57" s="333"/>
      <c r="J57" s="333"/>
      <c r="K57" s="333"/>
      <c r="L57" s="333"/>
      <c r="M57" s="333"/>
      <c r="N57" s="334"/>
    </row>
    <row r="58" spans="1:14" x14ac:dyDescent="0.3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</row>
  </sheetData>
  <customSheetViews>
    <customSheetView guid="{121E4431-22F3-11D5-8242-00600818425F}" scale="75" showRuler="0">
      <pane xSplit="3" ySplit="7" topLeftCell="F8" activePane="bottomRight" state="frozen"/>
      <selection pane="bottomRight" activeCell="F29" sqref="F29"/>
      <pageMargins left="0" right="0" top="0.5" bottom="0.4" header="0.2" footer="0.2"/>
      <printOptions horizontalCentered="1" gridLines="1"/>
      <pageSetup scale="60" orientation="landscape" horizontalDpi="300" vertic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showRuler="0">
      <pane xSplit="3" ySplit="7" topLeftCell="F8" activePane="bottomRight" state="frozen"/>
      <selection pane="bottomRight" activeCell="F29" sqref="F29"/>
      <pageMargins left="0" right="0" top="0.5" bottom="0.4" header="0.2" footer="0.2"/>
      <printOptions horizontalCentered="1" gridLines="1"/>
      <pageSetup scale="60" orientation="landscape" horizontalDpi="300" vertic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showRuler="0">
      <pane xSplit="3" ySplit="7" topLeftCell="F8" activePane="bottomRight" state="frozen"/>
      <selection pane="bottomRight" activeCell="F29" sqref="F29"/>
      <pageMargins left="0" right="0" top="0.5" bottom="0.4" header="0.2" footer="0.2"/>
      <printOptions horizontalCentered="1" gridLines="1"/>
      <pageSetup scale="60" orientation="landscape" horizontalDpi="300" verticalDpi="30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58" orientation="landscape" horizontalDpi="300" verticalDpi="300" r:id="rId4"/>
  <headerFooter alignWithMargins="0">
    <oddFooter>&amp;L&amp;8&amp;F&amp;C&amp;8&amp;A
page &amp;P&amp;R&amp;8&amp;D
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BB56"/>
  <sheetViews>
    <sheetView zoomScale="75" zoomScaleNormal="75" workbookViewId="0">
      <pane xSplit="3" ySplit="7" topLeftCell="D8" activePane="bottomRight" state="frozen"/>
      <selection activeCell="B56" sqref="A1:XFD1048576"/>
      <selection pane="topRight" activeCell="B56" sqref="A1:XFD1048576"/>
      <selection pane="bottomLeft" activeCell="B56" sqref="A1:XFD1048576"/>
      <selection pane="bottomRight" activeCell="D8" sqref="D8"/>
    </sheetView>
  </sheetViews>
  <sheetFormatPr defaultColWidth="9.1796875" defaultRowHeight="13" x14ac:dyDescent="0.3"/>
  <cols>
    <col min="1" max="1" width="4.54296875" style="32" customWidth="1"/>
    <col min="2" max="2" width="25.81640625" style="32" customWidth="1"/>
    <col min="3" max="3" width="21.1796875" style="32" customWidth="1"/>
    <col min="4" max="4" width="11.453125" style="32" customWidth="1"/>
    <col min="5" max="8" width="15" style="32" customWidth="1"/>
    <col min="9" max="14" width="12.54296875" style="32" customWidth="1"/>
    <col min="15" max="15" width="12.453125" style="32" customWidth="1"/>
    <col min="16" max="16" width="13.81640625" style="32" customWidth="1"/>
    <col min="17" max="18" width="9.1796875" style="32"/>
    <col min="19" max="19" width="11.453125" style="32" bestFit="1" customWidth="1"/>
    <col min="20" max="20" width="8.54296875" style="32" bestFit="1" customWidth="1"/>
    <col min="21" max="16384" width="9.1796875" style="32"/>
  </cols>
  <sheetData>
    <row r="1" spans="1:54" x14ac:dyDescent="0.3">
      <c r="A1" s="301" t="str">
        <f>'1. RB-i'!$A$1</f>
        <v>CPS Energy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3"/>
      <c r="O1" s="42"/>
      <c r="P1" s="42"/>
    </row>
    <row r="2" spans="1:54" x14ac:dyDescent="0.3">
      <c r="A2" s="307" t="s">
        <v>1274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98"/>
      <c r="O2" s="35"/>
      <c r="P2" s="35"/>
      <c r="S2" s="1"/>
      <c r="T2" s="1"/>
    </row>
    <row r="3" spans="1:54" x14ac:dyDescent="0.3">
      <c r="A3" s="307"/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98"/>
      <c r="O3" s="31"/>
      <c r="P3" s="31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</row>
    <row r="4" spans="1:54" s="179" customFormat="1" x14ac:dyDescent="0.3">
      <c r="A4" s="304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305"/>
    </row>
    <row r="5" spans="1:54" s="179" customFormat="1" x14ac:dyDescent="0.3">
      <c r="A5" s="304"/>
      <c r="B5" s="196"/>
      <c r="C5" s="196"/>
      <c r="D5" s="196"/>
      <c r="E5" s="196"/>
      <c r="F5" s="196"/>
      <c r="G5" s="196"/>
      <c r="H5" s="199"/>
      <c r="I5" s="199"/>
      <c r="J5" s="199"/>
      <c r="K5" s="196"/>
      <c r="L5" s="196"/>
      <c r="M5" s="196"/>
      <c r="N5" s="305"/>
    </row>
    <row r="6" spans="1:54" s="179" customFormat="1" x14ac:dyDescent="0.3">
      <c r="A6" s="304"/>
      <c r="B6" s="196"/>
      <c r="C6" s="196" t="s">
        <v>359</v>
      </c>
      <c r="D6" s="196"/>
      <c r="E6" s="196" t="s">
        <v>355</v>
      </c>
      <c r="F6" s="196" t="s">
        <v>961</v>
      </c>
      <c r="G6" s="196" t="s">
        <v>962</v>
      </c>
      <c r="H6" s="196" t="s">
        <v>963</v>
      </c>
      <c r="I6" s="196" t="s">
        <v>964</v>
      </c>
      <c r="J6" s="196" t="s">
        <v>965</v>
      </c>
      <c r="K6" s="196" t="s">
        <v>966</v>
      </c>
      <c r="L6" s="196" t="s">
        <v>967</v>
      </c>
      <c r="M6" s="196" t="s">
        <v>968</v>
      </c>
      <c r="N6" s="305" t="s">
        <v>932</v>
      </c>
    </row>
    <row r="7" spans="1:54" s="179" customFormat="1" ht="13.5" thickBot="1" x14ac:dyDescent="0.35">
      <c r="A7" s="299"/>
      <c r="B7" s="282"/>
      <c r="C7" s="282"/>
      <c r="D7" s="282"/>
      <c r="E7" s="282" t="s">
        <v>816</v>
      </c>
      <c r="F7" s="282" t="s">
        <v>817</v>
      </c>
      <c r="G7" s="282" t="s">
        <v>818</v>
      </c>
      <c r="H7" s="282" t="s">
        <v>819</v>
      </c>
      <c r="I7" s="282" t="s">
        <v>820</v>
      </c>
      <c r="J7" s="282" t="s">
        <v>821</v>
      </c>
      <c r="K7" s="282" t="s">
        <v>822</v>
      </c>
      <c r="L7" s="282" t="s">
        <v>823</v>
      </c>
      <c r="M7" s="282" t="s">
        <v>908</v>
      </c>
      <c r="N7" s="300" t="s">
        <v>914</v>
      </c>
    </row>
    <row r="8" spans="1:54" x14ac:dyDescent="0.3">
      <c r="A8" s="43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</row>
    <row r="9" spans="1:54" x14ac:dyDescent="0.3">
      <c r="A9" s="121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</row>
    <row r="10" spans="1:54" x14ac:dyDescent="0.3">
      <c r="A10" s="121" t="s">
        <v>1031</v>
      </c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</row>
    <row r="11" spans="1:54" x14ac:dyDescent="0.3">
      <c r="A11" s="121"/>
      <c r="B11" s="121" t="s">
        <v>1030</v>
      </c>
      <c r="C11" s="121"/>
      <c r="D11" s="121"/>
      <c r="E11" s="121">
        <f>SUM(F11:N11)</f>
        <v>804665</v>
      </c>
      <c r="F11" s="121">
        <f>'11c. Cust &amp; Demand Array'!F11</f>
        <v>571733</v>
      </c>
      <c r="G11" s="121">
        <f>'11c. Cust &amp; Demand Array'!G11</f>
        <v>140608</v>
      </c>
      <c r="H11" s="121">
        <f>'11c. Cust &amp; Demand Array'!H11</f>
        <v>74924</v>
      </c>
      <c r="I11" s="121">
        <f>'11c. Cust &amp; Demand Array'!I11</f>
        <v>2039</v>
      </c>
      <c r="J11" s="121">
        <f>'11c. Cust &amp; Demand Array'!J11</f>
        <v>180</v>
      </c>
      <c r="K11" s="121">
        <f>'11c. Cust &amp; Demand Array'!K11</f>
        <v>39</v>
      </c>
      <c r="L11" s="121">
        <f>'11c. Cust &amp; Demand Array'!L11</f>
        <v>7</v>
      </c>
      <c r="M11" s="121">
        <f>'11c. Cust &amp; Demand Array'!M11</f>
        <v>1695</v>
      </c>
      <c r="N11" s="121">
        <f>'11c. Cust &amp; Demand Array'!N11</f>
        <v>13440</v>
      </c>
    </row>
    <row r="12" spans="1:54" x14ac:dyDescent="0.3">
      <c r="A12" s="121"/>
      <c r="B12" s="121" t="s">
        <v>196</v>
      </c>
      <c r="C12" s="121"/>
      <c r="D12" s="121"/>
      <c r="E12" s="121">
        <f>SUM(F12:N12)</f>
        <v>797168</v>
      </c>
      <c r="F12" s="121">
        <f>'11c. Cust &amp; Demand Array'!F12</f>
        <v>571733</v>
      </c>
      <c r="G12" s="121">
        <f>'11c. Cust &amp; Demand Array'!G12</f>
        <v>140608</v>
      </c>
      <c r="H12" s="121">
        <f>'11c. Cust &amp; Demand Array'!H12</f>
        <v>74924</v>
      </c>
      <c r="I12" s="121">
        <f>'11c. Cust &amp; Demand Array'!I12</f>
        <v>2039</v>
      </c>
      <c r="J12" s="121">
        <f>'11c. Cust &amp; Demand Array'!J12</f>
        <v>180</v>
      </c>
      <c r="K12" s="121">
        <f>'11c. Cust &amp; Demand Array'!K12</f>
        <v>39</v>
      </c>
      <c r="L12" s="121">
        <f>'11c. Cust &amp; Demand Array'!L12</f>
        <v>7</v>
      </c>
      <c r="M12" s="121">
        <f>'11c. Cust &amp; Demand Array'!M12</f>
        <v>1811</v>
      </c>
      <c r="N12" s="121">
        <f>'11c. Cust &amp; Demand Array'!N12</f>
        <v>5827</v>
      </c>
    </row>
    <row r="13" spans="1:54" x14ac:dyDescent="0.3">
      <c r="A13" s="121"/>
      <c r="B13" s="121" t="s">
        <v>46</v>
      </c>
      <c r="C13" s="121"/>
      <c r="D13" s="121"/>
      <c r="E13" s="121">
        <f>SUM(F13:N13)</f>
        <v>797167</v>
      </c>
      <c r="F13" s="121">
        <f>'11c. Cust &amp; Demand Array'!F13</f>
        <v>571733</v>
      </c>
      <c r="G13" s="121">
        <f>'11c. Cust &amp; Demand Array'!G13</f>
        <v>140608</v>
      </c>
      <c r="H13" s="121">
        <f>'11c. Cust &amp; Demand Array'!H13</f>
        <v>74924</v>
      </c>
      <c r="I13" s="121">
        <f>'11c. Cust &amp; Demand Array'!I13</f>
        <v>2039</v>
      </c>
      <c r="J13" s="121">
        <f>'11c. Cust &amp; Demand Array'!J13</f>
        <v>180</v>
      </c>
      <c r="K13" s="121">
        <f>'11c. Cust &amp; Demand Array'!K13</f>
        <v>39</v>
      </c>
      <c r="L13" s="121">
        <f>'11c. Cust &amp; Demand Array'!L13</f>
        <v>6</v>
      </c>
      <c r="M13" s="121">
        <f>'11c. Cust &amp; Demand Array'!M13</f>
        <v>1811</v>
      </c>
      <c r="N13" s="121">
        <f>'11c. Cust &amp; Demand Array'!N13</f>
        <v>5827</v>
      </c>
    </row>
    <row r="14" spans="1:54" x14ac:dyDescent="0.3">
      <c r="A14" s="121"/>
      <c r="B14" s="121" t="s">
        <v>1032</v>
      </c>
      <c r="C14" s="121"/>
      <c r="D14" s="121"/>
      <c r="E14" s="121">
        <f>SUM(F14:N14)</f>
        <v>797163</v>
      </c>
      <c r="F14" s="121">
        <f>'11c. Cust &amp; Demand Array'!F14</f>
        <v>571733</v>
      </c>
      <c r="G14" s="121">
        <f>'11c. Cust &amp; Demand Array'!G14</f>
        <v>140608</v>
      </c>
      <c r="H14" s="121">
        <f>'11c. Cust &amp; Demand Array'!H14</f>
        <v>74924</v>
      </c>
      <c r="I14" s="121">
        <f>'11c. Cust &amp; Demand Array'!I14</f>
        <v>2039</v>
      </c>
      <c r="J14" s="121">
        <f>'11c. Cust &amp; Demand Array'!J14</f>
        <v>180</v>
      </c>
      <c r="K14" s="121">
        <f>'11c. Cust &amp; Demand Array'!K14</f>
        <v>39</v>
      </c>
      <c r="L14" s="121">
        <f>'11c. Cust &amp; Demand Array'!L14</f>
        <v>2</v>
      </c>
      <c r="M14" s="121">
        <f>'11c. Cust &amp; Demand Array'!M14</f>
        <v>1811</v>
      </c>
      <c r="N14" s="121">
        <f>'11c. Cust &amp; Demand Array'!N14</f>
        <v>5827</v>
      </c>
    </row>
    <row r="15" spans="1:54" x14ac:dyDescent="0.3">
      <c r="A15" s="121"/>
      <c r="B15" s="121" t="s">
        <v>1033</v>
      </c>
      <c r="C15" s="121"/>
      <c r="D15" s="121"/>
      <c r="E15" s="121">
        <f>SUM(F15:N15)</f>
        <v>797076</v>
      </c>
      <c r="F15" s="121">
        <f>'11c. Cust &amp; Demand Array'!F15</f>
        <v>571733</v>
      </c>
      <c r="G15" s="121">
        <f>'11c. Cust &amp; Demand Array'!G15</f>
        <v>140608</v>
      </c>
      <c r="H15" s="121">
        <f>'11c. Cust &amp; Demand Array'!H15</f>
        <v>74924</v>
      </c>
      <c r="I15" s="121">
        <f>'11c. Cust &amp; Demand Array'!I15</f>
        <v>1999</v>
      </c>
      <c r="J15" s="121">
        <f>'11c. Cust &amp; Demand Array'!J15</f>
        <v>163</v>
      </c>
      <c r="K15" s="121">
        <f>'11c. Cust &amp; Demand Array'!K15</f>
        <v>11</v>
      </c>
      <c r="L15" s="121">
        <f>'11c. Cust &amp; Demand Array'!L15</f>
        <v>0</v>
      </c>
      <c r="M15" s="121">
        <f>'11c. Cust &amp; Demand Array'!M15</f>
        <v>1811</v>
      </c>
      <c r="N15" s="121">
        <f>'11c. Cust &amp; Demand Array'!N15</f>
        <v>5827</v>
      </c>
    </row>
    <row r="16" spans="1:54" x14ac:dyDescent="0.3">
      <c r="A16" s="121"/>
      <c r="B16" s="121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</row>
    <row r="17" spans="1:15" x14ac:dyDescent="0.3">
      <c r="A17" s="121"/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121"/>
      <c r="M17" s="121"/>
      <c r="N17" s="121"/>
    </row>
    <row r="18" spans="1:15" x14ac:dyDescent="0.3">
      <c r="A18" s="121" t="s">
        <v>1034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21"/>
      <c r="L18" s="121"/>
      <c r="M18" s="121"/>
      <c r="N18" s="121"/>
    </row>
    <row r="19" spans="1:15" x14ac:dyDescent="0.3">
      <c r="A19" s="121"/>
      <c r="B19" s="121" t="s">
        <v>1033</v>
      </c>
      <c r="C19" s="121"/>
      <c r="D19" s="121"/>
      <c r="E19" s="121">
        <f>SUM(F19:N19)</f>
        <v>797076</v>
      </c>
      <c r="F19" s="121">
        <f t="shared" ref="F19:N19" si="0">F15</f>
        <v>571733</v>
      </c>
      <c r="G19" s="121">
        <f t="shared" si="0"/>
        <v>140608</v>
      </c>
      <c r="H19" s="121">
        <f t="shared" si="0"/>
        <v>74924</v>
      </c>
      <c r="I19" s="121">
        <f t="shared" si="0"/>
        <v>1999</v>
      </c>
      <c r="J19" s="121">
        <f t="shared" si="0"/>
        <v>163</v>
      </c>
      <c r="K19" s="121">
        <f t="shared" si="0"/>
        <v>11</v>
      </c>
      <c r="L19" s="121">
        <f t="shared" si="0"/>
        <v>0</v>
      </c>
      <c r="M19" s="121">
        <f t="shared" si="0"/>
        <v>1811</v>
      </c>
      <c r="N19" s="121">
        <f t="shared" si="0"/>
        <v>5827</v>
      </c>
    </row>
    <row r="20" spans="1:15" x14ac:dyDescent="0.3">
      <c r="A20" s="121"/>
      <c r="B20" s="121" t="s">
        <v>1035</v>
      </c>
      <c r="C20" s="121"/>
      <c r="D20" s="121" t="s">
        <v>1040</v>
      </c>
      <c r="E20" s="121"/>
      <c r="F20" s="603">
        <v>1</v>
      </c>
      <c r="G20" s="603">
        <v>1</v>
      </c>
      <c r="H20" s="603">
        <v>3</v>
      </c>
      <c r="I20" s="603">
        <v>50</v>
      </c>
      <c r="J20" s="603">
        <v>50</v>
      </c>
      <c r="K20" s="603">
        <v>50</v>
      </c>
      <c r="L20" s="603">
        <v>0</v>
      </c>
      <c r="M20" s="603">
        <v>0.85</v>
      </c>
      <c r="N20" s="603">
        <v>0</v>
      </c>
      <c r="O20" s="1"/>
    </row>
    <row r="21" spans="1:15" x14ac:dyDescent="0.3">
      <c r="A21" s="121"/>
      <c r="B21" s="121" t="s">
        <v>1036</v>
      </c>
      <c r="C21" s="121"/>
      <c r="D21" s="121"/>
      <c r="E21" s="121">
        <f>SUM(F21:N21)</f>
        <v>1047302.35</v>
      </c>
      <c r="F21" s="121">
        <f>F19*F20</f>
        <v>571733</v>
      </c>
      <c r="G21" s="121">
        <f t="shared" ref="G21:N21" si="1">G19*G20</f>
        <v>140608</v>
      </c>
      <c r="H21" s="121">
        <f t="shared" si="1"/>
        <v>224772</v>
      </c>
      <c r="I21" s="121">
        <f t="shared" si="1"/>
        <v>99950</v>
      </c>
      <c r="J21" s="121">
        <f t="shared" si="1"/>
        <v>8150</v>
      </c>
      <c r="K21" s="121">
        <f t="shared" si="1"/>
        <v>550</v>
      </c>
      <c r="L21" s="121">
        <f t="shared" si="1"/>
        <v>0</v>
      </c>
      <c r="M21" s="121">
        <f t="shared" si="1"/>
        <v>1539.35</v>
      </c>
      <c r="N21" s="121">
        <f t="shared" si="1"/>
        <v>0</v>
      </c>
    </row>
    <row r="22" spans="1:15" x14ac:dyDescent="0.3">
      <c r="A22" s="121"/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</row>
    <row r="23" spans="1:15" x14ac:dyDescent="0.3">
      <c r="A23" s="121"/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</row>
    <row r="24" spans="1:15" x14ac:dyDescent="0.3">
      <c r="A24" s="121" t="s">
        <v>907</v>
      </c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</row>
    <row r="25" spans="1:15" ht="39" x14ac:dyDescent="0.3">
      <c r="A25" s="121"/>
      <c r="B25" s="121" t="s">
        <v>159</v>
      </c>
      <c r="C25" s="604" t="s">
        <v>1239</v>
      </c>
      <c r="D25" s="121"/>
      <c r="E25" s="121">
        <f>SUM(F25:N25)</f>
        <v>275267965.5440706</v>
      </c>
      <c r="F25" s="121">
        <v>146237717.33474144</v>
      </c>
      <c r="G25" s="121">
        <v>35446159.505015895</v>
      </c>
      <c r="H25" s="121">
        <v>76963349.590565681</v>
      </c>
      <c r="I25" s="121">
        <v>12056812.141925978</v>
      </c>
      <c r="J25" s="121">
        <v>1071733.0850003725</v>
      </c>
      <c r="K25" s="121">
        <v>2677533.9612460043</v>
      </c>
      <c r="L25" s="121">
        <v>324624.05380290229</v>
      </c>
      <c r="M25" s="121">
        <v>490035.87177229056</v>
      </c>
      <c r="N25" s="121">
        <v>0</v>
      </c>
    </row>
    <row r="26" spans="1:15" x14ac:dyDescent="0.3">
      <c r="A26" s="121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</row>
    <row r="27" spans="1:15" x14ac:dyDescent="0.3">
      <c r="A27" s="121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</row>
    <row r="28" spans="1:15" x14ac:dyDescent="0.3">
      <c r="A28" s="121" t="s">
        <v>1038</v>
      </c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</row>
    <row r="29" spans="1:15" x14ac:dyDescent="0.3">
      <c r="A29" s="121"/>
      <c r="B29" s="121" t="s">
        <v>1030</v>
      </c>
      <c r="C29" s="121"/>
      <c r="D29" s="121"/>
      <c r="E29" s="121">
        <f>SUM(F29:N29)</f>
        <v>797168</v>
      </c>
      <c r="F29" s="121">
        <f>F12</f>
        <v>571733</v>
      </c>
      <c r="G29" s="121">
        <f t="shared" ref="G29:N29" si="2">G12</f>
        <v>140608</v>
      </c>
      <c r="H29" s="121">
        <f t="shared" si="2"/>
        <v>74924</v>
      </c>
      <c r="I29" s="121">
        <f t="shared" si="2"/>
        <v>2039</v>
      </c>
      <c r="J29" s="121">
        <f t="shared" si="2"/>
        <v>180</v>
      </c>
      <c r="K29" s="121">
        <f t="shared" si="2"/>
        <v>39</v>
      </c>
      <c r="L29" s="121">
        <f t="shared" si="2"/>
        <v>7</v>
      </c>
      <c r="M29" s="121">
        <f t="shared" si="2"/>
        <v>1811</v>
      </c>
      <c r="N29" s="121">
        <f t="shared" si="2"/>
        <v>5827</v>
      </c>
    </row>
    <row r="30" spans="1:15" x14ac:dyDescent="0.3">
      <c r="A30" s="121"/>
      <c r="B30" s="121" t="s">
        <v>1035</v>
      </c>
      <c r="C30" s="121"/>
      <c r="D30" s="121" t="s">
        <v>1040</v>
      </c>
      <c r="E30" s="121"/>
      <c r="F30" s="603">
        <v>1</v>
      </c>
      <c r="G30" s="603">
        <v>1</v>
      </c>
      <c r="H30" s="603">
        <v>2</v>
      </c>
      <c r="I30" s="603">
        <v>10</v>
      </c>
      <c r="J30" s="603">
        <v>10</v>
      </c>
      <c r="K30" s="603">
        <v>10</v>
      </c>
      <c r="L30" s="603">
        <v>5</v>
      </c>
      <c r="M30" s="603">
        <v>0.85</v>
      </c>
      <c r="N30" s="603">
        <v>0</v>
      </c>
    </row>
    <row r="31" spans="1:15" x14ac:dyDescent="0.3">
      <c r="A31" s="121"/>
      <c r="B31" s="121" t="s">
        <v>1037</v>
      </c>
      <c r="C31" s="121"/>
      <c r="D31" s="121"/>
      <c r="E31" s="121">
        <f>SUM(F31:N31)</f>
        <v>886343.35</v>
      </c>
      <c r="F31" s="121">
        <f t="shared" ref="F31:N31" si="3">F29*F30</f>
        <v>571733</v>
      </c>
      <c r="G31" s="121">
        <f t="shared" si="3"/>
        <v>140608</v>
      </c>
      <c r="H31" s="121">
        <f t="shared" si="3"/>
        <v>149848</v>
      </c>
      <c r="I31" s="121">
        <f t="shared" si="3"/>
        <v>20390</v>
      </c>
      <c r="J31" s="121">
        <f t="shared" si="3"/>
        <v>1800</v>
      </c>
      <c r="K31" s="121">
        <f t="shared" si="3"/>
        <v>390</v>
      </c>
      <c r="L31" s="121">
        <f t="shared" si="3"/>
        <v>35</v>
      </c>
      <c r="M31" s="121">
        <f t="shared" si="3"/>
        <v>1539.35</v>
      </c>
      <c r="N31" s="121">
        <f t="shared" si="3"/>
        <v>0</v>
      </c>
    </row>
    <row r="32" spans="1:15" x14ac:dyDescent="0.3">
      <c r="A32" s="121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</row>
    <row r="33" spans="1:14" x14ac:dyDescent="0.3">
      <c r="A33" s="121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</row>
    <row r="34" spans="1:14" x14ac:dyDescent="0.3">
      <c r="A34" s="121" t="s">
        <v>1039</v>
      </c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</row>
    <row r="35" spans="1:14" s="16" customFormat="1" x14ac:dyDescent="0.3">
      <c r="A35" s="121"/>
      <c r="B35" s="121" t="s">
        <v>1030</v>
      </c>
      <c r="C35" s="121"/>
      <c r="D35" s="121"/>
      <c r="E35" s="121">
        <f>SUM(F35:N35)</f>
        <v>797168</v>
      </c>
      <c r="F35" s="121">
        <f>F12</f>
        <v>571733</v>
      </c>
      <c r="G35" s="121">
        <f t="shared" ref="G35:N35" si="4">G12</f>
        <v>140608</v>
      </c>
      <c r="H35" s="121">
        <f t="shared" si="4"/>
        <v>74924</v>
      </c>
      <c r="I35" s="121">
        <f t="shared" si="4"/>
        <v>2039</v>
      </c>
      <c r="J35" s="121">
        <f t="shared" si="4"/>
        <v>180</v>
      </c>
      <c r="K35" s="121">
        <f t="shared" si="4"/>
        <v>39</v>
      </c>
      <c r="L35" s="121">
        <f t="shared" si="4"/>
        <v>7</v>
      </c>
      <c r="M35" s="121">
        <f t="shared" si="4"/>
        <v>1811</v>
      </c>
      <c r="N35" s="121">
        <f t="shared" si="4"/>
        <v>5827</v>
      </c>
    </row>
    <row r="36" spans="1:14" x14ac:dyDescent="0.3">
      <c r="A36" s="121"/>
      <c r="B36" s="121" t="s">
        <v>1035</v>
      </c>
      <c r="C36" s="121"/>
      <c r="D36" s="121" t="s">
        <v>1040</v>
      </c>
      <c r="E36" s="121"/>
      <c r="F36" s="603">
        <v>1</v>
      </c>
      <c r="G36" s="603">
        <v>1</v>
      </c>
      <c r="H36" s="603">
        <v>3</v>
      </c>
      <c r="I36" s="603">
        <v>5</v>
      </c>
      <c r="J36" s="603">
        <v>5</v>
      </c>
      <c r="K36" s="603">
        <v>5</v>
      </c>
      <c r="L36" s="603">
        <v>5</v>
      </c>
      <c r="M36" s="603">
        <v>0.85</v>
      </c>
      <c r="N36" s="603">
        <v>0.5</v>
      </c>
    </row>
    <row r="37" spans="1:14" x14ac:dyDescent="0.3">
      <c r="A37" s="121"/>
      <c r="B37" s="121" t="s">
        <v>1037</v>
      </c>
      <c r="C37" s="121"/>
      <c r="D37" s="121"/>
      <c r="E37" s="121">
        <f>SUM(F37:N37)</f>
        <v>952890.85</v>
      </c>
      <c r="F37" s="121">
        <f t="shared" ref="F37:N37" si="5">F35*F36</f>
        <v>571733</v>
      </c>
      <c r="G37" s="121">
        <f t="shared" si="5"/>
        <v>140608</v>
      </c>
      <c r="H37" s="121">
        <f t="shared" si="5"/>
        <v>224772</v>
      </c>
      <c r="I37" s="121">
        <f t="shared" si="5"/>
        <v>10195</v>
      </c>
      <c r="J37" s="121">
        <f t="shared" si="5"/>
        <v>900</v>
      </c>
      <c r="K37" s="121">
        <f t="shared" si="5"/>
        <v>195</v>
      </c>
      <c r="L37" s="121">
        <f t="shared" si="5"/>
        <v>35</v>
      </c>
      <c r="M37" s="121">
        <f t="shared" si="5"/>
        <v>1539.35</v>
      </c>
      <c r="N37" s="121">
        <f t="shared" si="5"/>
        <v>2913.5</v>
      </c>
    </row>
    <row r="38" spans="1:14" x14ac:dyDescent="0.3">
      <c r="A38" s="121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</row>
    <row r="39" spans="1:14" x14ac:dyDescent="0.3">
      <c r="A39" s="121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</row>
    <row r="40" spans="1:14" x14ac:dyDescent="0.3">
      <c r="A40" s="121" t="s">
        <v>81</v>
      </c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</row>
    <row r="41" spans="1:14" x14ac:dyDescent="0.3">
      <c r="A41" s="121"/>
      <c r="B41" s="121" t="s">
        <v>1030</v>
      </c>
      <c r="C41" s="121"/>
      <c r="D41" s="121"/>
      <c r="E41" s="121">
        <f>SUM(F41:N41)</f>
        <v>797168</v>
      </c>
      <c r="F41" s="121">
        <f>F12</f>
        <v>571733</v>
      </c>
      <c r="G41" s="121">
        <f t="shared" ref="G41:N41" si="6">G12</f>
        <v>140608</v>
      </c>
      <c r="H41" s="121">
        <f t="shared" si="6"/>
        <v>74924</v>
      </c>
      <c r="I41" s="121">
        <f t="shared" si="6"/>
        <v>2039</v>
      </c>
      <c r="J41" s="121">
        <f t="shared" si="6"/>
        <v>180</v>
      </c>
      <c r="K41" s="121">
        <f t="shared" si="6"/>
        <v>39</v>
      </c>
      <c r="L41" s="121">
        <f t="shared" si="6"/>
        <v>7</v>
      </c>
      <c r="M41" s="121">
        <f t="shared" si="6"/>
        <v>1811</v>
      </c>
      <c r="N41" s="121">
        <f t="shared" si="6"/>
        <v>5827</v>
      </c>
    </row>
    <row r="42" spans="1:14" x14ac:dyDescent="0.3">
      <c r="A42" s="121"/>
      <c r="B42" s="121" t="s">
        <v>1035</v>
      </c>
      <c r="C42" s="121"/>
      <c r="D42" s="121" t="s">
        <v>1040</v>
      </c>
      <c r="E42" s="121"/>
      <c r="F42" s="603">
        <v>1</v>
      </c>
      <c r="G42" s="603">
        <v>1</v>
      </c>
      <c r="H42" s="603">
        <v>1</v>
      </c>
      <c r="I42" s="603">
        <v>1</v>
      </c>
      <c r="J42" s="603">
        <v>1</v>
      </c>
      <c r="K42" s="603">
        <v>1</v>
      </c>
      <c r="L42" s="603">
        <v>1</v>
      </c>
      <c r="M42" s="603">
        <v>1</v>
      </c>
      <c r="N42" s="603">
        <v>0.5</v>
      </c>
    </row>
    <row r="43" spans="1:14" x14ac:dyDescent="0.3">
      <c r="A43" s="121"/>
      <c r="B43" s="121" t="s">
        <v>1037</v>
      </c>
      <c r="C43" s="121"/>
      <c r="D43" s="121"/>
      <c r="E43" s="121">
        <f>SUM(F43:N43)</f>
        <v>794254.5</v>
      </c>
      <c r="F43" s="121">
        <f t="shared" ref="F43:N43" si="7">F41*F42</f>
        <v>571733</v>
      </c>
      <c r="G43" s="121">
        <f t="shared" si="7"/>
        <v>140608</v>
      </c>
      <c r="H43" s="121">
        <f t="shared" si="7"/>
        <v>74924</v>
      </c>
      <c r="I43" s="121">
        <f t="shared" si="7"/>
        <v>2039</v>
      </c>
      <c r="J43" s="121">
        <f t="shared" si="7"/>
        <v>180</v>
      </c>
      <c r="K43" s="121">
        <f t="shared" si="7"/>
        <v>39</v>
      </c>
      <c r="L43" s="121">
        <f t="shared" si="7"/>
        <v>7</v>
      </c>
      <c r="M43" s="121">
        <f t="shared" si="7"/>
        <v>1811</v>
      </c>
      <c r="N43" s="121">
        <f t="shared" si="7"/>
        <v>2913.5</v>
      </c>
    </row>
    <row r="44" spans="1:14" x14ac:dyDescent="0.3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</row>
    <row r="45" spans="1:14" x14ac:dyDescent="0.3">
      <c r="A45" s="121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</row>
    <row r="46" spans="1:14" x14ac:dyDescent="0.3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</row>
    <row r="47" spans="1:14" x14ac:dyDescent="0.3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</row>
    <row r="48" spans="1:14" x14ac:dyDescent="0.3">
      <c r="A48" s="121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</row>
    <row r="49" spans="1:14" x14ac:dyDescent="0.3">
      <c r="A49" s="121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</row>
    <row r="50" spans="1:14" x14ac:dyDescent="0.3">
      <c r="A50" s="121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</row>
    <row r="51" spans="1:14" x14ac:dyDescent="0.3">
      <c r="A51" s="121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</row>
    <row r="52" spans="1:14" x14ac:dyDescent="0.3">
      <c r="A52" s="121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</row>
    <row r="53" spans="1:14" x14ac:dyDescent="0.3">
      <c r="A53" s="121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</row>
    <row r="54" spans="1:14" x14ac:dyDescent="0.3">
      <c r="A54" s="121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</row>
    <row r="55" spans="1:14" x14ac:dyDescent="0.3">
      <c r="A55" s="121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</row>
    <row r="56" spans="1:14" x14ac:dyDescent="0.3">
      <c r="A56" s="121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</row>
  </sheetData>
  <customSheetViews>
    <customSheetView guid="{121E4431-22F3-11D5-8242-00600818425F}" scale="75" showRuler="0">
      <pane xSplit="4" ySplit="7" topLeftCell="G8" activePane="bottomRight" state="frozen"/>
      <selection pane="bottomRight" activeCell="H15" sqref="H15"/>
      <pageMargins left="0" right="0" top="0.57999999999999996" bottom="0.46" header="0.3" footer="0.2"/>
      <printOptions horizontalCentered="1" gridLines="1"/>
      <pageSetup scale="65" orientation="landscape" horizontalDpi="300" vertic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showRuler="0">
      <pane xSplit="4" ySplit="7" topLeftCell="G8" activePane="bottomRight" state="frozen"/>
      <selection pane="bottomRight" activeCell="H15" sqref="H15"/>
      <pageMargins left="0" right="0" top="0.57999999999999996" bottom="0.46" header="0.3" footer="0.2"/>
      <printOptions horizontalCentered="1" gridLines="1"/>
      <pageSetup scale="65" orientation="landscape" horizontalDpi="300" vertic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showRuler="0">
      <pane xSplit="4" ySplit="7" topLeftCell="G8" activePane="bottomRight" state="frozen"/>
      <selection pane="bottomRight" activeCell="H15" sqref="H15"/>
      <pageMargins left="0" right="0" top="0.57999999999999996" bottom="0.46" header="0.3" footer="0.2"/>
      <printOptions horizontalCentered="1" gridLines="1"/>
      <pageSetup scale="65" orientation="landscape" horizontalDpi="300" verticalDpi="30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7999999999999996" bottom="0.46" header="0.3" footer="0.2"/>
  <pageSetup scale="65" orientation="landscape" horizontalDpi="300" verticalDpi="300" r:id="rId4"/>
  <headerFooter alignWithMargins="0">
    <oddFooter>&amp;L&amp;8&amp;F&amp;C&amp;8&amp;A
page &amp;P&amp;R&amp;8&amp;D
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BB71"/>
  <sheetViews>
    <sheetView zoomScale="75" zoomScaleNormal="75" workbookViewId="0">
      <pane xSplit="3" ySplit="7" topLeftCell="D8" activePane="bottomRight" state="frozen"/>
      <selection activeCell="B56" sqref="A1:XFD1048576"/>
      <selection pane="topRight" activeCell="B56" sqref="A1:XFD1048576"/>
      <selection pane="bottomLeft" activeCell="B56" sqref="A1:XFD1048576"/>
      <selection pane="bottomRight" activeCell="D8" sqref="D8"/>
    </sheetView>
  </sheetViews>
  <sheetFormatPr defaultColWidth="9.1796875" defaultRowHeight="13" x14ac:dyDescent="0.3"/>
  <cols>
    <col min="1" max="1" width="4.54296875" style="32" customWidth="1"/>
    <col min="2" max="2" width="25.81640625" style="32" customWidth="1"/>
    <col min="3" max="3" width="21.1796875" style="32" customWidth="1"/>
    <col min="4" max="4" width="12.54296875" style="32" bestFit="1" customWidth="1"/>
    <col min="5" max="5" width="16.453125" style="32" bestFit="1" customWidth="1"/>
    <col min="6" max="7" width="15" style="32" customWidth="1"/>
    <col min="8" max="10" width="14.81640625" style="32" bestFit="1" customWidth="1"/>
    <col min="11" max="11" width="15.1796875" style="32" bestFit="1" customWidth="1"/>
    <col min="12" max="12" width="13.453125" style="32" bestFit="1" customWidth="1"/>
    <col min="13" max="13" width="11.54296875" style="32" bestFit="1" customWidth="1"/>
    <col min="14" max="14" width="12.54296875" style="32" bestFit="1" customWidth="1"/>
    <col min="15" max="15" width="1.453125" style="32" customWidth="1"/>
    <col min="16" max="16" width="13.453125" style="32" customWidth="1"/>
    <col min="17" max="17" width="9.1796875" style="32"/>
    <col min="18" max="18" width="11.453125" style="32" bestFit="1" customWidth="1"/>
    <col min="19" max="19" width="8.54296875" style="32" bestFit="1" customWidth="1"/>
    <col min="20" max="16384" width="9.1796875" style="32"/>
  </cols>
  <sheetData>
    <row r="1" spans="1:54" x14ac:dyDescent="0.3">
      <c r="A1" s="301" t="str">
        <f>'1. RB-i'!$A$1</f>
        <v>CPS Energy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3"/>
      <c r="O1" s="42"/>
      <c r="P1" s="42"/>
    </row>
    <row r="2" spans="1:54" x14ac:dyDescent="0.3">
      <c r="A2" s="307" t="s">
        <v>1233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98"/>
      <c r="O2" s="35"/>
      <c r="P2" s="35"/>
      <c r="S2" s="1"/>
      <c r="T2" s="1"/>
    </row>
    <row r="3" spans="1:54" x14ac:dyDescent="0.3">
      <c r="A3" s="307" t="s">
        <v>51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98"/>
      <c r="O3" s="31"/>
      <c r="P3" s="31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</row>
    <row r="4" spans="1:54" s="179" customFormat="1" x14ac:dyDescent="0.3">
      <c r="A4" s="304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305"/>
    </row>
    <row r="5" spans="1:54" s="179" customFormat="1" x14ac:dyDescent="0.3">
      <c r="A5" s="304"/>
      <c r="B5" s="196"/>
      <c r="C5" s="196"/>
      <c r="D5" s="196"/>
      <c r="E5" s="196"/>
      <c r="F5" s="196"/>
      <c r="G5" s="196"/>
      <c r="H5" s="199"/>
      <c r="I5" s="199"/>
      <c r="J5" s="199"/>
      <c r="K5" s="196"/>
      <c r="L5" s="196"/>
      <c r="M5" s="196"/>
      <c r="N5" s="305"/>
    </row>
    <row r="6" spans="1:54" s="179" customFormat="1" x14ac:dyDescent="0.3">
      <c r="A6" s="304"/>
      <c r="B6" s="196"/>
      <c r="C6" s="196" t="s">
        <v>359</v>
      </c>
      <c r="D6" s="196"/>
      <c r="E6" s="196" t="s">
        <v>355</v>
      </c>
      <c r="F6" s="196" t="s">
        <v>961</v>
      </c>
      <c r="G6" s="196" t="s">
        <v>962</v>
      </c>
      <c r="H6" s="196" t="s">
        <v>963</v>
      </c>
      <c r="I6" s="196" t="s">
        <v>964</v>
      </c>
      <c r="J6" s="196" t="s">
        <v>965</v>
      </c>
      <c r="K6" s="196" t="s">
        <v>966</v>
      </c>
      <c r="L6" s="196" t="s">
        <v>967</v>
      </c>
      <c r="M6" s="196" t="s">
        <v>968</v>
      </c>
      <c r="N6" s="305" t="s">
        <v>932</v>
      </c>
      <c r="P6" s="179" t="s">
        <v>76</v>
      </c>
    </row>
    <row r="7" spans="1:54" s="179" customFormat="1" ht="13.5" thickBot="1" x14ac:dyDescent="0.35">
      <c r="A7" s="299"/>
      <c r="B7" s="282"/>
      <c r="C7" s="282"/>
      <c r="D7" s="282"/>
      <c r="E7" s="282" t="s">
        <v>816</v>
      </c>
      <c r="F7" s="282" t="s">
        <v>817</v>
      </c>
      <c r="G7" s="282" t="s">
        <v>818</v>
      </c>
      <c r="H7" s="282" t="s">
        <v>819</v>
      </c>
      <c r="I7" s="282" t="s">
        <v>820</v>
      </c>
      <c r="J7" s="282" t="s">
        <v>821</v>
      </c>
      <c r="K7" s="282" t="s">
        <v>822</v>
      </c>
      <c r="L7" s="282" t="s">
        <v>823</v>
      </c>
      <c r="M7" s="282" t="s">
        <v>908</v>
      </c>
      <c r="N7" s="300" t="s">
        <v>914</v>
      </c>
    </row>
    <row r="8" spans="1:54" x14ac:dyDescent="0.3">
      <c r="A8" s="43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</row>
    <row r="9" spans="1:54" x14ac:dyDescent="0.3">
      <c r="H9" s="46"/>
      <c r="I9" s="46"/>
      <c r="J9" s="46"/>
      <c r="K9" s="46"/>
      <c r="L9" s="46"/>
      <c r="M9" s="46"/>
      <c r="N9" s="46"/>
    </row>
    <row r="10" spans="1:54" x14ac:dyDescent="0.3">
      <c r="A10" s="32" t="s">
        <v>71</v>
      </c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</row>
    <row r="11" spans="1:54" x14ac:dyDescent="0.3">
      <c r="B11" s="32" t="s">
        <v>340</v>
      </c>
      <c r="D11" s="16"/>
      <c r="E11" s="121">
        <f>SUM(F11:N11)</f>
        <v>804665</v>
      </c>
      <c r="F11" s="121">
        <v>571733</v>
      </c>
      <c r="G11" s="121">
        <v>140608</v>
      </c>
      <c r="H11" s="121">
        <v>74924</v>
      </c>
      <c r="I11" s="121">
        <v>2039</v>
      </c>
      <c r="J11" s="121">
        <v>180</v>
      </c>
      <c r="K11" s="121">
        <v>39</v>
      </c>
      <c r="L11" s="121">
        <v>7</v>
      </c>
      <c r="M11" s="121">
        <v>1695</v>
      </c>
      <c r="N11" s="121">
        <v>13440</v>
      </c>
      <c r="O11" s="16"/>
      <c r="P11" s="16"/>
      <c r="Q11" s="1"/>
    </row>
    <row r="12" spans="1:54" x14ac:dyDescent="0.3">
      <c r="B12" s="17" t="s">
        <v>168</v>
      </c>
      <c r="D12" s="16"/>
      <c r="E12" s="121">
        <f>SUM(F12:N12)</f>
        <v>797168</v>
      </c>
      <c r="F12" s="121">
        <f t="shared" ref="F12:L12" si="0">F11</f>
        <v>571733</v>
      </c>
      <c r="G12" s="121">
        <f t="shared" si="0"/>
        <v>140608</v>
      </c>
      <c r="H12" s="121">
        <f t="shared" si="0"/>
        <v>74924</v>
      </c>
      <c r="I12" s="121">
        <f t="shared" si="0"/>
        <v>2039</v>
      </c>
      <c r="J12" s="121">
        <f t="shared" si="0"/>
        <v>180</v>
      </c>
      <c r="K12" s="121">
        <f t="shared" si="0"/>
        <v>39</v>
      </c>
      <c r="L12" s="121">
        <f t="shared" si="0"/>
        <v>7</v>
      </c>
      <c r="M12" s="121">
        <f>M11+116</f>
        <v>1811</v>
      </c>
      <c r="N12" s="121">
        <f>ROUND(N20/4,0)</f>
        <v>5827</v>
      </c>
      <c r="O12" s="16"/>
      <c r="P12" s="16"/>
      <c r="Q12" s="1"/>
      <c r="R12" s="16"/>
    </row>
    <row r="13" spans="1:54" x14ac:dyDescent="0.3">
      <c r="B13" s="17" t="s">
        <v>169</v>
      </c>
      <c r="D13" s="16"/>
      <c r="E13" s="121">
        <f>SUM(F13:N13)</f>
        <v>797167</v>
      </c>
      <c r="F13" s="121">
        <f t="shared" ref="F13:K13" si="1">F11</f>
        <v>571733</v>
      </c>
      <c r="G13" s="121">
        <f t="shared" si="1"/>
        <v>140608</v>
      </c>
      <c r="H13" s="121">
        <f t="shared" si="1"/>
        <v>74924</v>
      </c>
      <c r="I13" s="121">
        <f t="shared" si="1"/>
        <v>2039</v>
      </c>
      <c r="J13" s="121">
        <f t="shared" si="1"/>
        <v>180</v>
      </c>
      <c r="K13" s="121">
        <f t="shared" si="1"/>
        <v>39</v>
      </c>
      <c r="L13" s="121">
        <v>6</v>
      </c>
      <c r="M13" s="121">
        <f>M11+116</f>
        <v>1811</v>
      </c>
      <c r="N13" s="121">
        <f>ROUND(N21/4,0)</f>
        <v>5827</v>
      </c>
      <c r="O13" s="16"/>
      <c r="P13" s="16"/>
      <c r="Q13" s="1"/>
      <c r="R13" s="16"/>
    </row>
    <row r="14" spans="1:54" x14ac:dyDescent="0.3">
      <c r="B14" s="17" t="s">
        <v>170</v>
      </c>
      <c r="D14" s="16"/>
      <c r="E14" s="121">
        <f>SUM(F14:N14)</f>
        <v>797163</v>
      </c>
      <c r="F14" s="121">
        <f t="shared" ref="F14:K14" si="2">F11</f>
        <v>571733</v>
      </c>
      <c r="G14" s="121">
        <f t="shared" si="2"/>
        <v>140608</v>
      </c>
      <c r="H14" s="121">
        <f t="shared" si="2"/>
        <v>74924</v>
      </c>
      <c r="I14" s="121">
        <f t="shared" si="2"/>
        <v>2039</v>
      </c>
      <c r="J14" s="121">
        <f t="shared" si="2"/>
        <v>180</v>
      </c>
      <c r="K14" s="121">
        <f t="shared" si="2"/>
        <v>39</v>
      </c>
      <c r="L14" s="121">
        <v>2</v>
      </c>
      <c r="M14" s="121">
        <f>M11+116</f>
        <v>1811</v>
      </c>
      <c r="N14" s="121">
        <f>ROUND(N22/4,0)</f>
        <v>5827</v>
      </c>
      <c r="O14" s="16"/>
      <c r="P14" s="16"/>
      <c r="Q14" s="1"/>
      <c r="R14" s="16"/>
    </row>
    <row r="15" spans="1:54" x14ac:dyDescent="0.3">
      <c r="B15" s="17" t="s">
        <v>171</v>
      </c>
      <c r="D15" s="16"/>
      <c r="E15" s="121">
        <f>SUM(F15:N15)</f>
        <v>797076</v>
      </c>
      <c r="F15" s="121">
        <f>F11</f>
        <v>571733</v>
      </c>
      <c r="G15" s="121">
        <f>G11</f>
        <v>140608</v>
      </c>
      <c r="H15" s="121">
        <f>H11</f>
        <v>74924</v>
      </c>
      <c r="I15" s="121">
        <v>1999</v>
      </c>
      <c r="J15" s="121">
        <v>163</v>
      </c>
      <c r="K15" s="121">
        <v>11</v>
      </c>
      <c r="L15" s="121">
        <v>0</v>
      </c>
      <c r="M15" s="121">
        <f>M11+116</f>
        <v>1811</v>
      </c>
      <c r="N15" s="121">
        <f>ROUND(N23/4,0)</f>
        <v>5827</v>
      </c>
      <c r="O15" s="16"/>
      <c r="P15" s="16"/>
      <c r="Q15" s="1"/>
      <c r="R15" s="16"/>
    </row>
    <row r="16" spans="1:54" s="16" customFormat="1" x14ac:dyDescent="0.3">
      <c r="E16" s="121"/>
      <c r="F16" s="605"/>
      <c r="G16" s="605"/>
      <c r="H16" s="605"/>
      <c r="I16" s="605"/>
      <c r="J16" s="605"/>
      <c r="K16" s="605"/>
      <c r="L16" s="605"/>
      <c r="M16" s="605"/>
      <c r="N16" s="605"/>
    </row>
    <row r="17" spans="1:17" s="16" customFormat="1" x14ac:dyDescent="0.3">
      <c r="E17" s="121"/>
      <c r="F17" s="169"/>
      <c r="G17" s="169"/>
      <c r="H17" s="169"/>
      <c r="I17" s="169"/>
      <c r="J17" s="169"/>
      <c r="K17" s="169"/>
      <c r="L17" s="169"/>
      <c r="M17" s="169"/>
      <c r="N17" s="169"/>
    </row>
    <row r="18" spans="1:17" s="16" customFormat="1" x14ac:dyDescent="0.3">
      <c r="A18" s="16" t="s">
        <v>14</v>
      </c>
      <c r="E18" s="121"/>
      <c r="F18" s="605"/>
      <c r="G18" s="605"/>
      <c r="H18" s="605"/>
      <c r="I18" s="605"/>
      <c r="J18" s="605"/>
      <c r="K18" s="605"/>
      <c r="L18" s="605"/>
      <c r="M18" s="605"/>
      <c r="N18" s="605"/>
    </row>
    <row r="19" spans="1:17" x14ac:dyDescent="0.3">
      <c r="B19" s="32" t="s">
        <v>44</v>
      </c>
      <c r="C19" s="16"/>
      <c r="D19" s="16"/>
      <c r="E19" s="121">
        <f>SUM(F19:N19)</f>
        <v>5424977</v>
      </c>
      <c r="F19" s="169">
        <v>2184589</v>
      </c>
      <c r="G19" s="169">
        <v>651866</v>
      </c>
      <c r="H19" s="169">
        <v>1128538</v>
      </c>
      <c r="I19" s="169">
        <v>656153</v>
      </c>
      <c r="J19" s="169">
        <v>271921</v>
      </c>
      <c r="K19" s="169">
        <v>400248</v>
      </c>
      <c r="L19" s="169">
        <v>107815</v>
      </c>
      <c r="M19" s="169">
        <v>541</v>
      </c>
      <c r="N19" s="169">
        <v>23306</v>
      </c>
      <c r="O19" s="16"/>
      <c r="P19" s="16">
        <f>SUM(F19:G19)</f>
        <v>2836455</v>
      </c>
    </row>
    <row r="20" spans="1:17" x14ac:dyDescent="0.3">
      <c r="B20" s="32" t="s">
        <v>196</v>
      </c>
      <c r="C20" s="16"/>
      <c r="D20" s="16"/>
      <c r="E20" s="121">
        <f>SUM(F20:N20)</f>
        <v>5424977</v>
      </c>
      <c r="F20" s="121">
        <f t="shared" ref="F20:N20" si="3">F19</f>
        <v>2184589</v>
      </c>
      <c r="G20" s="121">
        <f t="shared" si="3"/>
        <v>651866</v>
      </c>
      <c r="H20" s="121">
        <f t="shared" si="3"/>
        <v>1128538</v>
      </c>
      <c r="I20" s="121">
        <f t="shared" si="3"/>
        <v>656153</v>
      </c>
      <c r="J20" s="121">
        <f t="shared" si="3"/>
        <v>271921</v>
      </c>
      <c r="K20" s="121">
        <f t="shared" si="3"/>
        <v>400248</v>
      </c>
      <c r="L20" s="121">
        <f t="shared" si="3"/>
        <v>107815</v>
      </c>
      <c r="M20" s="121">
        <f t="shared" si="3"/>
        <v>541</v>
      </c>
      <c r="N20" s="121">
        <f t="shared" si="3"/>
        <v>23306</v>
      </c>
      <c r="O20" s="16"/>
      <c r="P20" s="16"/>
    </row>
    <row r="21" spans="1:17" x14ac:dyDescent="0.3">
      <c r="B21" s="32" t="s">
        <v>46</v>
      </c>
      <c r="C21" s="16"/>
      <c r="D21" s="16"/>
      <c r="E21" s="121">
        <f>SUM(F21:N21)</f>
        <v>5417550</v>
      </c>
      <c r="F21" s="121">
        <f t="shared" ref="F21:K21" si="4">F19</f>
        <v>2184589</v>
      </c>
      <c r="G21" s="121">
        <f t="shared" si="4"/>
        <v>651866</v>
      </c>
      <c r="H21" s="121">
        <f t="shared" si="4"/>
        <v>1128538</v>
      </c>
      <c r="I21" s="121">
        <f t="shared" si="4"/>
        <v>656153</v>
      </c>
      <c r="J21" s="121">
        <f t="shared" si="4"/>
        <v>271921</v>
      </c>
      <c r="K21" s="121">
        <f t="shared" si="4"/>
        <v>400248</v>
      </c>
      <c r="L21" s="169">
        <v>100388</v>
      </c>
      <c r="M21" s="121">
        <f>M19</f>
        <v>541</v>
      </c>
      <c r="N21" s="121">
        <f>N19</f>
        <v>23306</v>
      </c>
      <c r="O21" s="16"/>
      <c r="P21" s="16"/>
    </row>
    <row r="22" spans="1:17" x14ac:dyDescent="0.3">
      <c r="B22" s="32" t="s">
        <v>45</v>
      </c>
      <c r="C22" s="16"/>
      <c r="D22" s="16"/>
      <c r="E22" s="121">
        <f>SUM(F22:N22)</f>
        <v>5324589</v>
      </c>
      <c r="F22" s="121">
        <f t="shared" ref="F22:K22" si="5">F19</f>
        <v>2184589</v>
      </c>
      <c r="G22" s="121">
        <f t="shared" si="5"/>
        <v>651866</v>
      </c>
      <c r="H22" s="121">
        <f t="shared" si="5"/>
        <v>1128538</v>
      </c>
      <c r="I22" s="121">
        <f t="shared" si="5"/>
        <v>656153</v>
      </c>
      <c r="J22" s="121">
        <f t="shared" si="5"/>
        <v>271921</v>
      </c>
      <c r="K22" s="121">
        <f t="shared" si="5"/>
        <v>400248</v>
      </c>
      <c r="L22" s="169">
        <v>7427</v>
      </c>
      <c r="M22" s="121">
        <f>M19</f>
        <v>541</v>
      </c>
      <c r="N22" s="121">
        <f>N19</f>
        <v>23306</v>
      </c>
      <c r="O22" s="16"/>
      <c r="P22" s="16"/>
    </row>
    <row r="23" spans="1:17" x14ac:dyDescent="0.3">
      <c r="B23" s="32" t="s">
        <v>47</v>
      </c>
      <c r="C23" s="16"/>
      <c r="D23" s="16"/>
      <c r="E23" s="121">
        <f>SUM(F23:N23)</f>
        <v>4946466</v>
      </c>
      <c r="F23" s="121">
        <f>F19</f>
        <v>2184589</v>
      </c>
      <c r="G23" s="121">
        <f>G19</f>
        <v>651866</v>
      </c>
      <c r="H23" s="121">
        <f>H19</f>
        <v>1128538</v>
      </c>
      <c r="I23" s="169">
        <v>639544</v>
      </c>
      <c r="J23" s="169">
        <v>236641</v>
      </c>
      <c r="K23" s="169">
        <v>81441</v>
      </c>
      <c r="L23" s="169">
        <v>0</v>
      </c>
      <c r="M23" s="121">
        <f>M19</f>
        <v>541</v>
      </c>
      <c r="N23" s="121">
        <f>N19</f>
        <v>23306</v>
      </c>
      <c r="O23" s="16"/>
      <c r="P23" s="16"/>
    </row>
    <row r="24" spans="1:17" x14ac:dyDescent="0.3">
      <c r="C24" s="16"/>
      <c r="D24" s="16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6"/>
      <c r="P24" s="16"/>
    </row>
    <row r="25" spans="1:17" x14ac:dyDescent="0.3">
      <c r="A25" s="32" t="s">
        <v>72</v>
      </c>
      <c r="C25" s="16"/>
      <c r="D25" s="16"/>
      <c r="E25" s="121"/>
      <c r="F25" s="169"/>
      <c r="G25" s="169"/>
      <c r="H25" s="169"/>
      <c r="I25" s="169"/>
      <c r="J25" s="169"/>
      <c r="K25" s="169"/>
      <c r="L25" s="169"/>
      <c r="M25" s="169"/>
      <c r="N25" s="169"/>
      <c r="O25" s="16"/>
      <c r="P25" s="16"/>
    </row>
    <row r="26" spans="1:17" s="16" customFormat="1" x14ac:dyDescent="0.3">
      <c r="B26" s="16" t="s">
        <v>44</v>
      </c>
      <c r="E26" s="121">
        <f>SUM(F26:N26)</f>
        <v>9516699.9617433138</v>
      </c>
      <c r="F26" s="169">
        <v>4522099.2299999995</v>
      </c>
      <c r="G26" s="169">
        <v>1662844.9794000001</v>
      </c>
      <c r="H26" s="169">
        <v>1540862.0098905095</v>
      </c>
      <c r="I26" s="169">
        <v>914149.3819357364</v>
      </c>
      <c r="J26" s="169">
        <v>311213.5845</v>
      </c>
      <c r="K26" s="169">
        <v>433868.83200000005</v>
      </c>
      <c r="L26" s="169">
        <v>107814.94401706778</v>
      </c>
      <c r="M26" s="169">
        <v>541</v>
      </c>
      <c r="N26" s="169">
        <v>23306</v>
      </c>
      <c r="P26" s="16">
        <f>SUM(F26:G26)</f>
        <v>6184944.2094000001</v>
      </c>
    </row>
    <row r="27" spans="1:17" x14ac:dyDescent="0.3">
      <c r="B27" s="32" t="s">
        <v>196</v>
      </c>
      <c r="C27" s="16"/>
      <c r="D27" s="16"/>
      <c r="E27" s="121">
        <f>SUM(F27:N27)</f>
        <v>9516699.9617433138</v>
      </c>
      <c r="F27" s="121">
        <f t="shared" ref="F27:N27" si="6">F26</f>
        <v>4522099.2299999995</v>
      </c>
      <c r="G27" s="121">
        <f t="shared" si="6"/>
        <v>1662844.9794000001</v>
      </c>
      <c r="H27" s="121">
        <f t="shared" si="6"/>
        <v>1540862.0098905095</v>
      </c>
      <c r="I27" s="121">
        <f t="shared" si="6"/>
        <v>914149.3819357364</v>
      </c>
      <c r="J27" s="121">
        <f t="shared" si="6"/>
        <v>311213.5845</v>
      </c>
      <c r="K27" s="121">
        <f t="shared" si="6"/>
        <v>433868.83200000005</v>
      </c>
      <c r="L27" s="121">
        <f t="shared" si="6"/>
        <v>107814.94401706778</v>
      </c>
      <c r="M27" s="121">
        <f t="shared" si="6"/>
        <v>541</v>
      </c>
      <c r="N27" s="121">
        <f t="shared" si="6"/>
        <v>23306</v>
      </c>
      <c r="O27" s="16"/>
      <c r="P27" s="16"/>
      <c r="Q27" s="16"/>
    </row>
    <row r="28" spans="1:17" x14ac:dyDescent="0.3">
      <c r="B28" s="32" t="s">
        <v>46</v>
      </c>
      <c r="C28" s="16"/>
      <c r="D28" s="16"/>
      <c r="E28" s="121">
        <f>SUM(F28:N28)</f>
        <v>9509273.103153795</v>
      </c>
      <c r="F28" s="121">
        <f t="shared" ref="F28:K28" si="7">F26</f>
        <v>4522099.2299999995</v>
      </c>
      <c r="G28" s="121">
        <f t="shared" si="7"/>
        <v>1662844.9794000001</v>
      </c>
      <c r="H28" s="121">
        <f t="shared" si="7"/>
        <v>1540862.0098905095</v>
      </c>
      <c r="I28" s="121">
        <f t="shared" si="7"/>
        <v>914149.3819357364</v>
      </c>
      <c r="J28" s="121">
        <f t="shared" si="7"/>
        <v>311213.5845</v>
      </c>
      <c r="K28" s="121">
        <f t="shared" si="7"/>
        <v>433868.83200000005</v>
      </c>
      <c r="L28" s="169">
        <v>100388.08542754789</v>
      </c>
      <c r="M28" s="121">
        <f>M26</f>
        <v>541</v>
      </c>
      <c r="N28" s="121">
        <f>N26</f>
        <v>23306</v>
      </c>
      <c r="O28" s="16"/>
      <c r="P28" s="16"/>
      <c r="Q28" s="16"/>
    </row>
    <row r="29" spans="1:17" x14ac:dyDescent="0.3">
      <c r="B29" s="32" t="s">
        <v>45</v>
      </c>
      <c r="C29" s="16"/>
      <c r="D29" s="16"/>
      <c r="E29" s="121">
        <f>SUM(F29:N29)</f>
        <v>9416311.8763157669</v>
      </c>
      <c r="F29" s="121">
        <f t="shared" ref="F29:K29" si="8">F26</f>
        <v>4522099.2299999995</v>
      </c>
      <c r="G29" s="121">
        <f t="shared" si="8"/>
        <v>1662844.9794000001</v>
      </c>
      <c r="H29" s="121">
        <f t="shared" si="8"/>
        <v>1540862.0098905095</v>
      </c>
      <c r="I29" s="121">
        <f t="shared" si="8"/>
        <v>914149.3819357364</v>
      </c>
      <c r="J29" s="121">
        <f t="shared" si="8"/>
        <v>311213.5845</v>
      </c>
      <c r="K29" s="121">
        <f t="shared" si="8"/>
        <v>433868.83200000005</v>
      </c>
      <c r="L29" s="169">
        <v>7426.8585895198994</v>
      </c>
      <c r="M29" s="121">
        <f>M26</f>
        <v>541</v>
      </c>
      <c r="N29" s="121">
        <f>N26</f>
        <v>23306</v>
      </c>
      <c r="O29" s="16"/>
      <c r="P29" s="16"/>
      <c r="Q29" s="16"/>
    </row>
    <row r="30" spans="1:17" x14ac:dyDescent="0.3">
      <c r="B30" s="32" t="s">
        <v>47</v>
      </c>
      <c r="C30" s="16"/>
      <c r="D30" s="16"/>
      <c r="E30" s="121">
        <f>SUM(F30:N30)</f>
        <v>8901211.8259363808</v>
      </c>
      <c r="F30" s="121">
        <f>F26</f>
        <v>4522099.2299999995</v>
      </c>
      <c r="G30" s="121">
        <f>G26</f>
        <v>1662844.9794000001</v>
      </c>
      <c r="H30" s="121">
        <f>H26</f>
        <v>1540862.0098905095</v>
      </c>
      <c r="I30" s="169">
        <v>792278.52414587152</v>
      </c>
      <c r="J30" s="169">
        <v>269344.78620000003</v>
      </c>
      <c r="K30" s="169">
        <v>89935.296300000002</v>
      </c>
      <c r="L30" s="169">
        <v>0</v>
      </c>
      <c r="M30" s="121">
        <f>M26</f>
        <v>541</v>
      </c>
      <c r="N30" s="121">
        <f>N26</f>
        <v>23306</v>
      </c>
      <c r="O30" s="16"/>
      <c r="P30" s="16"/>
      <c r="Q30" s="16"/>
    </row>
    <row r="31" spans="1:17" x14ac:dyDescent="0.3">
      <c r="C31" s="16"/>
      <c r="D31" s="16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6"/>
      <c r="P31" s="16"/>
      <c r="Q31" s="16"/>
    </row>
    <row r="32" spans="1:17" x14ac:dyDescent="0.3">
      <c r="C32" s="16"/>
      <c r="D32" s="16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6"/>
      <c r="P32" s="16"/>
      <c r="Q32" s="16"/>
    </row>
    <row r="33" spans="1:18" x14ac:dyDescent="0.3">
      <c r="A33" s="32" t="s">
        <v>43</v>
      </c>
      <c r="C33" s="16"/>
      <c r="D33" s="16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6"/>
      <c r="P33" s="16"/>
      <c r="Q33" s="16"/>
    </row>
    <row r="34" spans="1:18" s="16" customFormat="1" x14ac:dyDescent="0.3">
      <c r="B34" s="16" t="s">
        <v>44</v>
      </c>
      <c r="E34" s="121">
        <f>SUM(F34:N34)</f>
        <v>7470838.4808716569</v>
      </c>
      <c r="F34" s="121">
        <f t="shared" ref="F34:N38" si="9">SUM(F19,F26)/2</f>
        <v>3353344.1149999998</v>
      </c>
      <c r="G34" s="121">
        <f t="shared" si="9"/>
        <v>1157355.4897</v>
      </c>
      <c r="H34" s="121">
        <f t="shared" si="9"/>
        <v>1334700.0049452549</v>
      </c>
      <c r="I34" s="121">
        <f t="shared" si="9"/>
        <v>785151.1909678682</v>
      </c>
      <c r="J34" s="121">
        <f t="shared" si="9"/>
        <v>291567.29225</v>
      </c>
      <c r="K34" s="121">
        <f t="shared" si="9"/>
        <v>417058.41600000003</v>
      </c>
      <c r="L34" s="121">
        <f t="shared" si="9"/>
        <v>107814.97200853389</v>
      </c>
      <c r="M34" s="121">
        <f t="shared" si="9"/>
        <v>541</v>
      </c>
      <c r="N34" s="121">
        <f t="shared" si="9"/>
        <v>23306</v>
      </c>
    </row>
    <row r="35" spans="1:18" s="16" customFormat="1" x14ac:dyDescent="0.3">
      <c r="B35" s="16" t="s">
        <v>196</v>
      </c>
      <c r="E35" s="121">
        <f>SUM(F35:N35)</f>
        <v>7470838.4808716569</v>
      </c>
      <c r="F35" s="121">
        <f t="shared" si="9"/>
        <v>3353344.1149999998</v>
      </c>
      <c r="G35" s="121">
        <f t="shared" si="9"/>
        <v>1157355.4897</v>
      </c>
      <c r="H35" s="121">
        <f t="shared" si="9"/>
        <v>1334700.0049452549</v>
      </c>
      <c r="I35" s="121">
        <f t="shared" si="9"/>
        <v>785151.1909678682</v>
      </c>
      <c r="J35" s="121">
        <f t="shared" si="9"/>
        <v>291567.29225</v>
      </c>
      <c r="K35" s="121">
        <f t="shared" si="9"/>
        <v>417058.41600000003</v>
      </c>
      <c r="L35" s="121">
        <f t="shared" si="9"/>
        <v>107814.97200853389</v>
      </c>
      <c r="M35" s="121">
        <f t="shared" si="9"/>
        <v>541</v>
      </c>
      <c r="N35" s="121">
        <f t="shared" si="9"/>
        <v>23306</v>
      </c>
    </row>
    <row r="36" spans="1:18" s="16" customFormat="1" x14ac:dyDescent="0.3">
      <c r="B36" s="16" t="s">
        <v>46</v>
      </c>
      <c r="E36" s="121">
        <f>SUM(F36:N36)</f>
        <v>7463411.5515768975</v>
      </c>
      <c r="F36" s="121">
        <f t="shared" si="9"/>
        <v>3353344.1149999998</v>
      </c>
      <c r="G36" s="121">
        <f t="shared" si="9"/>
        <v>1157355.4897</v>
      </c>
      <c r="H36" s="121">
        <f t="shared" si="9"/>
        <v>1334700.0049452549</v>
      </c>
      <c r="I36" s="121">
        <f t="shared" si="9"/>
        <v>785151.1909678682</v>
      </c>
      <c r="J36" s="121">
        <f t="shared" si="9"/>
        <v>291567.29225</v>
      </c>
      <c r="K36" s="121">
        <f t="shared" si="9"/>
        <v>417058.41600000003</v>
      </c>
      <c r="L36" s="121">
        <f t="shared" si="9"/>
        <v>100388.04271377395</v>
      </c>
      <c r="M36" s="121">
        <f t="shared" si="9"/>
        <v>541</v>
      </c>
      <c r="N36" s="121">
        <f t="shared" si="9"/>
        <v>23306</v>
      </c>
    </row>
    <row r="37" spans="1:18" s="16" customFormat="1" x14ac:dyDescent="0.3">
      <c r="B37" s="16" t="s">
        <v>45</v>
      </c>
      <c r="E37" s="121">
        <f>SUM(F37:N37)</f>
        <v>7370450.4381578835</v>
      </c>
      <c r="F37" s="121">
        <f t="shared" si="9"/>
        <v>3353344.1149999998</v>
      </c>
      <c r="G37" s="121">
        <f t="shared" si="9"/>
        <v>1157355.4897</v>
      </c>
      <c r="H37" s="121">
        <f t="shared" si="9"/>
        <v>1334700.0049452549</v>
      </c>
      <c r="I37" s="121">
        <f t="shared" si="9"/>
        <v>785151.1909678682</v>
      </c>
      <c r="J37" s="121">
        <f t="shared" si="9"/>
        <v>291567.29225</v>
      </c>
      <c r="K37" s="121">
        <f t="shared" si="9"/>
        <v>417058.41600000003</v>
      </c>
      <c r="L37" s="121">
        <f t="shared" si="9"/>
        <v>7426.9292947599497</v>
      </c>
      <c r="M37" s="121">
        <f t="shared" si="9"/>
        <v>541</v>
      </c>
      <c r="N37" s="121">
        <f t="shared" si="9"/>
        <v>23306</v>
      </c>
    </row>
    <row r="38" spans="1:18" s="16" customFormat="1" x14ac:dyDescent="0.3">
      <c r="B38" s="16" t="s">
        <v>47</v>
      </c>
      <c r="E38" s="121">
        <f>SUM(F38:N38)</f>
        <v>6923838.9129681904</v>
      </c>
      <c r="F38" s="121">
        <f t="shared" si="9"/>
        <v>3353344.1149999998</v>
      </c>
      <c r="G38" s="121">
        <f t="shared" si="9"/>
        <v>1157355.4897</v>
      </c>
      <c r="H38" s="121">
        <f t="shared" si="9"/>
        <v>1334700.0049452549</v>
      </c>
      <c r="I38" s="121">
        <f t="shared" si="9"/>
        <v>715911.2620729357</v>
      </c>
      <c r="J38" s="121">
        <f t="shared" si="9"/>
        <v>252992.89310000002</v>
      </c>
      <c r="K38" s="121">
        <f t="shared" si="9"/>
        <v>85688.148149999994</v>
      </c>
      <c r="L38" s="121">
        <f t="shared" si="9"/>
        <v>0</v>
      </c>
      <c r="M38" s="121">
        <f t="shared" si="9"/>
        <v>541</v>
      </c>
      <c r="N38" s="121">
        <f t="shared" si="9"/>
        <v>23306</v>
      </c>
    </row>
    <row r="39" spans="1:18" s="16" customFormat="1" x14ac:dyDescent="0.3">
      <c r="E39" s="121"/>
      <c r="F39" s="606"/>
      <c r="G39" s="606"/>
      <c r="H39" s="606"/>
      <c r="I39" s="606"/>
      <c r="J39" s="606"/>
      <c r="K39" s="606"/>
      <c r="L39" s="606"/>
      <c r="M39" s="606"/>
      <c r="N39" s="606"/>
    </row>
    <row r="40" spans="1:18" s="16" customFormat="1" x14ac:dyDescent="0.3">
      <c r="E40" s="121"/>
      <c r="F40" s="169"/>
      <c r="G40" s="169"/>
      <c r="H40" s="169"/>
      <c r="I40" s="169"/>
      <c r="J40" s="169"/>
      <c r="K40" s="169"/>
      <c r="L40" s="169"/>
      <c r="M40" s="169"/>
      <c r="N40" s="169"/>
    </row>
    <row r="41" spans="1:18" s="16" customFormat="1" x14ac:dyDescent="0.3">
      <c r="A41" s="16" t="s">
        <v>73</v>
      </c>
      <c r="E41" s="121">
        <f>SUM(F41:N41)</f>
        <v>5046471.8243011944</v>
      </c>
      <c r="F41" s="169">
        <v>2008910.6157932067</v>
      </c>
      <c r="G41" s="169">
        <v>595640.15719269833</v>
      </c>
      <c r="H41" s="169">
        <v>1054955.86460065</v>
      </c>
      <c r="I41" s="169">
        <v>618944.19537833193</v>
      </c>
      <c r="J41" s="169">
        <v>260141.303028119</v>
      </c>
      <c r="K41" s="169">
        <v>385407.39090030832</v>
      </c>
      <c r="L41" s="169">
        <v>100325.34931042325</v>
      </c>
      <c r="M41" s="169">
        <v>539.35270506859229</v>
      </c>
      <c r="N41" s="169">
        <v>21607.595392388306</v>
      </c>
    </row>
    <row r="42" spans="1:18" s="16" customFormat="1" x14ac:dyDescent="0.3">
      <c r="E42" s="121"/>
      <c r="F42" s="606"/>
      <c r="G42" s="606"/>
      <c r="H42" s="606"/>
      <c r="I42" s="606"/>
      <c r="J42" s="606"/>
      <c r="K42" s="606"/>
      <c r="L42" s="606"/>
      <c r="M42" s="606"/>
      <c r="N42" s="606"/>
    </row>
    <row r="43" spans="1:18" x14ac:dyDescent="0.3">
      <c r="A43" s="32" t="s">
        <v>12</v>
      </c>
      <c r="C43" s="16"/>
      <c r="D43" s="16"/>
      <c r="E43" s="121">
        <f>SUM(F43:N43)</f>
        <v>23624750920.661694</v>
      </c>
      <c r="F43" s="169">
        <v>8037040401.1275291</v>
      </c>
      <c r="G43" s="169">
        <v>2156657844.7806621</v>
      </c>
      <c r="H43" s="169">
        <v>5241973786.6521091</v>
      </c>
      <c r="I43" s="169">
        <v>3401535444.2032676</v>
      </c>
      <c r="J43" s="169">
        <v>1640766021.7989972</v>
      </c>
      <c r="K43" s="169">
        <v>2573680297.6683087</v>
      </c>
      <c r="L43" s="169">
        <v>471598460.34275782</v>
      </c>
      <c r="M43" s="169">
        <v>4623482.1613225145</v>
      </c>
      <c r="N43" s="169">
        <v>96875181.926738888</v>
      </c>
      <c r="O43" s="16"/>
      <c r="P43" s="16">
        <f>SUM(F43:G43)</f>
        <v>10193698245.908192</v>
      </c>
      <c r="Q43" s="16"/>
      <c r="R43" s="16"/>
    </row>
    <row r="44" spans="1:18" x14ac:dyDescent="0.3">
      <c r="C44" s="16"/>
      <c r="D44" s="16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6"/>
      <c r="P44" s="16"/>
      <c r="Q44" s="16"/>
      <c r="R44" s="16"/>
    </row>
    <row r="45" spans="1:18" x14ac:dyDescent="0.3">
      <c r="A45" s="32" t="s">
        <v>13</v>
      </c>
      <c r="C45" s="16"/>
      <c r="D45" s="16"/>
      <c r="E45" s="121">
        <f>SUM(F45:N45)</f>
        <v>22390001572</v>
      </c>
      <c r="F45" s="169">
        <v>7586279228</v>
      </c>
      <c r="G45" s="169">
        <v>2035700680</v>
      </c>
      <c r="H45" s="169">
        <v>4947975233</v>
      </c>
      <c r="I45" s="169">
        <v>3213077429.0000005</v>
      </c>
      <c r="J45" s="169">
        <v>1555051374</v>
      </c>
      <c r="K45" s="169">
        <v>2490036504</v>
      </c>
      <c r="L45" s="169">
        <v>466075060</v>
      </c>
      <c r="M45" s="169">
        <v>4364172</v>
      </c>
      <c r="N45" s="169">
        <v>91441892</v>
      </c>
      <c r="O45" s="16"/>
      <c r="P45" s="16"/>
      <c r="Q45" s="16"/>
      <c r="R45" s="16"/>
    </row>
    <row r="46" spans="1:18" x14ac:dyDescent="0.3">
      <c r="C46" s="16"/>
      <c r="D46" s="16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6"/>
      <c r="P46" s="16"/>
      <c r="Q46" s="16"/>
      <c r="R46" s="16"/>
    </row>
    <row r="47" spans="1:18" x14ac:dyDescent="0.3">
      <c r="A47" s="32" t="s">
        <v>1234</v>
      </c>
      <c r="C47" s="16" t="s">
        <v>1084</v>
      </c>
      <c r="D47" s="16"/>
      <c r="E47" s="121">
        <f>SUM(F47:N47)</f>
        <v>4897047.1794746602</v>
      </c>
      <c r="F47" s="169">
        <v>2064079.4186954277</v>
      </c>
      <c r="G47" s="169">
        <v>468509.97114466818</v>
      </c>
      <c r="H47" s="169">
        <v>970831.98748042819</v>
      </c>
      <c r="I47" s="169">
        <v>651800.2914011915</v>
      </c>
      <c r="J47" s="169">
        <v>258366.5525255168</v>
      </c>
      <c r="K47" s="169">
        <v>380447.94485740614</v>
      </c>
      <c r="L47" s="169">
        <v>102479.82833630094</v>
      </c>
      <c r="M47" s="169">
        <v>531.18503371989902</v>
      </c>
      <c r="N47" s="169">
        <v>0</v>
      </c>
      <c r="O47" s="16"/>
      <c r="P47" s="16"/>
      <c r="Q47" s="16"/>
      <c r="R47" s="16"/>
    </row>
    <row r="48" spans="1:18" x14ac:dyDescent="0.3">
      <c r="C48" s="16"/>
      <c r="D48" s="2" t="s">
        <v>947</v>
      </c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6"/>
      <c r="P48" s="16"/>
      <c r="Q48" s="16"/>
      <c r="R48" s="16"/>
    </row>
    <row r="49" spans="1:18" x14ac:dyDescent="0.3">
      <c r="A49" s="32" t="s">
        <v>162</v>
      </c>
      <c r="D49" s="16">
        <v>149873900.43000001</v>
      </c>
      <c r="E49" s="121">
        <f>SUM(F49:N49)</f>
        <v>1604657246.9699612</v>
      </c>
      <c r="F49" s="121">
        <f>620866504+420691</f>
        <v>621287195</v>
      </c>
      <c r="G49" s="121">
        <v>159267946.23689997</v>
      </c>
      <c r="H49" s="121">
        <v>366262907.12</v>
      </c>
      <c r="I49" s="121">
        <v>205983703.67000002</v>
      </c>
      <c r="J49" s="121">
        <f>72796789+16547329</f>
        <v>89344118</v>
      </c>
      <c r="K49" s="121">
        <v>119953704.15000001</v>
      </c>
      <c r="L49" s="121">
        <v>22525601.027860761</v>
      </c>
      <c r="M49" s="121">
        <v>453406.09520000004</v>
      </c>
      <c r="N49" s="121">
        <f>14734932.63+4843733.04</f>
        <v>19578665.670000002</v>
      </c>
      <c r="O49" s="16"/>
      <c r="P49" s="16"/>
      <c r="Q49" s="1"/>
      <c r="R49" s="16"/>
    </row>
    <row r="50" spans="1:18" x14ac:dyDescent="0.3">
      <c r="A50" s="32" t="s">
        <v>13</v>
      </c>
      <c r="D50" s="16"/>
      <c r="E50" s="121">
        <f>SUM(F50:N50)</f>
        <v>22390001572</v>
      </c>
      <c r="F50" s="121">
        <f>F45</f>
        <v>7586279228</v>
      </c>
      <c r="G50" s="121">
        <f t="shared" ref="G50:N50" si="10">G45</f>
        <v>2035700680</v>
      </c>
      <c r="H50" s="121">
        <f t="shared" si="10"/>
        <v>4947975233</v>
      </c>
      <c r="I50" s="121">
        <f t="shared" si="10"/>
        <v>3213077429.0000005</v>
      </c>
      <c r="J50" s="121">
        <f t="shared" si="10"/>
        <v>1555051374</v>
      </c>
      <c r="K50" s="121">
        <f t="shared" si="10"/>
        <v>2490036504</v>
      </c>
      <c r="L50" s="121">
        <f t="shared" si="10"/>
        <v>466075060</v>
      </c>
      <c r="M50" s="121">
        <f t="shared" si="10"/>
        <v>4364172</v>
      </c>
      <c r="N50" s="121">
        <f t="shared" si="10"/>
        <v>91441892</v>
      </c>
      <c r="O50" s="16"/>
      <c r="P50" s="16"/>
      <c r="Q50" s="16"/>
    </row>
    <row r="51" spans="1:18" x14ac:dyDescent="0.3">
      <c r="A51" s="32" t="s">
        <v>23</v>
      </c>
      <c r="D51" s="16"/>
      <c r="E51" s="607">
        <f t="shared" ref="E51:N51" si="11">E49/E50*100</f>
        <v>7.1668474064632424</v>
      </c>
      <c r="F51" s="607">
        <f t="shared" si="11"/>
        <v>8.1896167584618738</v>
      </c>
      <c r="G51" s="607">
        <f t="shared" si="11"/>
        <v>7.8237408771165695</v>
      </c>
      <c r="H51" s="607">
        <f t="shared" si="11"/>
        <v>7.4022785053014832</v>
      </c>
      <c r="I51" s="607">
        <f t="shared" si="11"/>
        <v>6.4107917789615136</v>
      </c>
      <c r="J51" s="607">
        <f t="shared" si="11"/>
        <v>5.7454126271200607</v>
      </c>
      <c r="K51" s="607">
        <f t="shared" si="11"/>
        <v>4.8173472138784357</v>
      </c>
      <c r="L51" s="607">
        <f t="shared" si="11"/>
        <v>4.8330414907548924</v>
      </c>
      <c r="M51" s="607">
        <f t="shared" si="11"/>
        <v>10.389281064082718</v>
      </c>
      <c r="N51" s="607">
        <f t="shared" si="11"/>
        <v>21.411046120961714</v>
      </c>
      <c r="O51" s="16"/>
      <c r="P51" s="16"/>
      <c r="Q51" s="16"/>
    </row>
    <row r="52" spans="1:18" x14ac:dyDescent="0.3">
      <c r="D52" s="16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6"/>
      <c r="P52" s="16"/>
      <c r="Q52" s="16"/>
    </row>
    <row r="53" spans="1:18" x14ac:dyDescent="0.3">
      <c r="D53" s="16"/>
      <c r="E53" s="608"/>
      <c r="F53" s="608"/>
      <c r="G53" s="608"/>
      <c r="H53" s="608"/>
      <c r="I53" s="608"/>
      <c r="J53" s="608"/>
      <c r="K53" s="608"/>
      <c r="L53" s="608"/>
      <c r="M53" s="608"/>
      <c r="N53" s="608"/>
      <c r="O53" s="16"/>
      <c r="P53" s="16"/>
      <c r="Q53" s="16"/>
    </row>
    <row r="54" spans="1:18" x14ac:dyDescent="0.3">
      <c r="A54" s="32" t="s">
        <v>74</v>
      </c>
      <c r="D54" s="16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6"/>
      <c r="P54" s="16"/>
      <c r="Q54" s="16"/>
    </row>
    <row r="55" spans="1:18" x14ac:dyDescent="0.3">
      <c r="B55" s="98" t="s">
        <v>12</v>
      </c>
      <c r="D55" s="16"/>
      <c r="E55" s="609"/>
      <c r="F55" s="609">
        <f t="shared" ref="F55:P55" si="12">F43/(F19*8760)</f>
        <v>0.41997390146408181</v>
      </c>
      <c r="G55" s="609">
        <f t="shared" si="12"/>
        <v>0.37767550063561506</v>
      </c>
      <c r="H55" s="610">
        <f t="shared" si="12"/>
        <v>0.53024252093656266</v>
      </c>
      <c r="I55" s="610">
        <f t="shared" si="12"/>
        <v>0.59178748386415425</v>
      </c>
      <c r="J55" s="610">
        <f t="shared" si="12"/>
        <v>0.68881056366735394</v>
      </c>
      <c r="K55" s="610">
        <f t="shared" si="12"/>
        <v>0.73404269537484612</v>
      </c>
      <c r="L55" s="610">
        <f t="shared" si="12"/>
        <v>0.49933163918190432</v>
      </c>
      <c r="M55" s="610">
        <f t="shared" si="12"/>
        <v>0.97559106705038756</v>
      </c>
      <c r="N55" s="610">
        <f t="shared" si="12"/>
        <v>0.47450487952589321</v>
      </c>
      <c r="O55" s="16"/>
      <c r="P55" s="135">
        <f t="shared" si="12"/>
        <v>0.41025300359880656</v>
      </c>
      <c r="Q55" s="16"/>
    </row>
    <row r="56" spans="1:18" x14ac:dyDescent="0.3">
      <c r="B56" s="32" t="s">
        <v>75</v>
      </c>
      <c r="D56" s="16"/>
      <c r="E56" s="121"/>
      <c r="F56" s="609"/>
      <c r="G56" s="121"/>
      <c r="H56" s="121"/>
      <c r="I56" s="121"/>
      <c r="J56" s="121"/>
      <c r="K56" s="121"/>
      <c r="L56" s="121"/>
      <c r="M56" s="121"/>
      <c r="N56" s="121"/>
      <c r="O56" s="16"/>
      <c r="P56" s="16"/>
      <c r="Q56" s="16"/>
    </row>
    <row r="57" spans="1:18" x14ac:dyDescent="0.3">
      <c r="D57" s="16"/>
      <c r="E57" s="121"/>
      <c r="F57" s="609"/>
      <c r="G57" s="121"/>
      <c r="H57" s="121"/>
      <c r="I57" s="121"/>
      <c r="J57" s="121"/>
      <c r="K57" s="121"/>
      <c r="L57" s="121"/>
      <c r="M57" s="121"/>
      <c r="N57" s="121"/>
      <c r="O57" s="16"/>
      <c r="P57" s="16"/>
      <c r="Q57" s="16"/>
    </row>
    <row r="58" spans="1:18" x14ac:dyDescent="0.3">
      <c r="A58" s="32" t="s">
        <v>78</v>
      </c>
      <c r="D58" s="16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6"/>
      <c r="P58" s="16"/>
      <c r="Q58" s="16"/>
    </row>
    <row r="59" spans="1:18" x14ac:dyDescent="0.3">
      <c r="B59" s="98" t="s">
        <v>12</v>
      </c>
      <c r="D59" s="16"/>
      <c r="E59" s="609">
        <f>E43/(E26*8760)</f>
        <v>0.28338493231331535</v>
      </c>
      <c r="F59" s="609">
        <f t="shared" ref="F59:P59" si="13">F43/(F26*8760)</f>
        <v>0.20288594273627142</v>
      </c>
      <c r="G59" s="609">
        <f t="shared" si="13"/>
        <v>0.14805578448218865</v>
      </c>
      <c r="H59" s="609">
        <f t="shared" si="13"/>
        <v>0.38835329202205948</v>
      </c>
      <c r="I59" s="609">
        <f t="shared" si="13"/>
        <v>0.42476989053766451</v>
      </c>
      <c r="J59" s="609">
        <f t="shared" si="13"/>
        <v>0.60184409232621583</v>
      </c>
      <c r="K59" s="609">
        <f t="shared" si="13"/>
        <v>0.67716115809487643</v>
      </c>
      <c r="L59" s="609">
        <f t="shared" si="13"/>
        <v>0.49933189845996229</v>
      </c>
      <c r="M59" s="609">
        <f t="shared" si="13"/>
        <v>0.97559106705038756</v>
      </c>
      <c r="N59" s="609">
        <f t="shared" si="13"/>
        <v>0.47450487952589321</v>
      </c>
      <c r="O59" s="135" t="e">
        <f>O43/(O26*8760)</f>
        <v>#DIV/0!</v>
      </c>
      <c r="P59" s="135">
        <f t="shared" si="13"/>
        <v>0.18814465319740364</v>
      </c>
      <c r="Q59" s="16"/>
    </row>
    <row r="60" spans="1:18" x14ac:dyDescent="0.3">
      <c r="B60" s="32" t="s">
        <v>77</v>
      </c>
      <c r="D60" s="16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6"/>
      <c r="P60" s="16"/>
      <c r="Q60" s="16"/>
    </row>
    <row r="61" spans="1:18" x14ac:dyDescent="0.3">
      <c r="D61" s="16"/>
      <c r="E61" s="121"/>
      <c r="F61" s="121"/>
      <c r="G61" s="121"/>
      <c r="H61" s="610"/>
      <c r="I61" s="610"/>
      <c r="J61" s="610"/>
      <c r="K61" s="610"/>
      <c r="L61" s="121"/>
      <c r="M61" s="121"/>
      <c r="N61" s="121"/>
      <c r="O61" s="16"/>
      <c r="P61" s="16"/>
      <c r="Q61" s="16"/>
    </row>
    <row r="62" spans="1:18" x14ac:dyDescent="0.3">
      <c r="A62" s="32" t="s">
        <v>8</v>
      </c>
      <c r="D62" s="16"/>
      <c r="E62" s="121"/>
      <c r="F62" s="121"/>
      <c r="G62" s="121"/>
      <c r="H62" s="610"/>
      <c r="I62" s="610"/>
      <c r="J62" s="610"/>
      <c r="K62" s="610"/>
      <c r="L62" s="121"/>
      <c r="M62" s="121"/>
      <c r="N62" s="121"/>
      <c r="O62" s="16"/>
      <c r="P62" s="16"/>
      <c r="Q62" s="16"/>
    </row>
    <row r="63" spans="1:18" x14ac:dyDescent="0.3">
      <c r="B63" s="98" t="s">
        <v>12</v>
      </c>
      <c r="D63" s="16"/>
      <c r="E63" s="610">
        <f>E43/(E41*8760)</f>
        <v>0.53441086533326854</v>
      </c>
      <c r="F63" s="121"/>
      <c r="G63" s="121"/>
      <c r="H63" s="121"/>
      <c r="I63" s="121"/>
      <c r="J63" s="121"/>
      <c r="K63" s="121"/>
      <c r="L63" s="121"/>
      <c r="M63" s="121"/>
      <c r="N63" s="121"/>
      <c r="O63" s="16"/>
      <c r="P63" s="16"/>
      <c r="Q63" s="16"/>
    </row>
    <row r="64" spans="1:18" x14ac:dyDescent="0.3">
      <c r="B64" s="53" t="s">
        <v>9</v>
      </c>
      <c r="D64" s="16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6"/>
      <c r="P64" s="16"/>
      <c r="Q64" s="16"/>
    </row>
    <row r="65" spans="4:17" x14ac:dyDescent="0.3">
      <c r="D65" s="16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6"/>
      <c r="P65" s="16"/>
      <c r="Q65" s="16"/>
    </row>
    <row r="66" spans="4:17" x14ac:dyDescent="0.3">
      <c r="D66" s="16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6"/>
      <c r="P66" s="16"/>
      <c r="Q66" s="16"/>
    </row>
    <row r="67" spans="4:17" x14ac:dyDescent="0.3">
      <c r="D67" s="16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6"/>
      <c r="P67" s="16"/>
      <c r="Q67" s="16"/>
    </row>
    <row r="68" spans="4:17" x14ac:dyDescent="0.3">
      <c r="E68" s="606"/>
      <c r="F68" s="606"/>
      <c r="G68" s="606"/>
      <c r="H68" s="606"/>
      <c r="I68" s="606"/>
      <c r="J68" s="606"/>
      <c r="K68" s="606"/>
      <c r="L68" s="606"/>
      <c r="M68" s="606"/>
      <c r="N68" s="606"/>
    </row>
    <row r="69" spans="4:17" x14ac:dyDescent="0.3">
      <c r="E69" s="121"/>
      <c r="F69" s="121"/>
      <c r="G69" s="121"/>
      <c r="H69" s="121"/>
      <c r="I69" s="121"/>
      <c r="J69" s="121"/>
      <c r="K69" s="121"/>
      <c r="L69" s="121"/>
      <c r="M69" s="121"/>
      <c r="N69" s="121"/>
    </row>
    <row r="70" spans="4:17" x14ac:dyDescent="0.3">
      <c r="E70" s="121"/>
      <c r="F70" s="121"/>
      <c r="G70" s="121"/>
      <c r="H70" s="121"/>
      <c r="I70" s="121"/>
      <c r="J70" s="121"/>
      <c r="K70" s="121"/>
      <c r="L70" s="121"/>
      <c r="M70" s="121"/>
      <c r="N70" s="121"/>
    </row>
    <row r="71" spans="4:17" x14ac:dyDescent="0.3">
      <c r="E71" s="86"/>
      <c r="F71" s="86"/>
      <c r="G71" s="86"/>
      <c r="H71" s="86"/>
      <c r="I71" s="86"/>
      <c r="J71" s="86"/>
      <c r="K71" s="86"/>
      <c r="L71" s="86"/>
      <c r="M71" s="86"/>
      <c r="N71" s="86"/>
    </row>
  </sheetData>
  <customSheetViews>
    <customSheetView guid="{121E4431-22F3-11D5-8242-00600818425F}" scale="75" showRuler="0">
      <pane xSplit="4" ySplit="7" topLeftCell="K8" activePane="bottomRight" state="frozen"/>
      <selection pane="bottomRight" activeCell="M20" sqref="M20"/>
      <pageMargins left="0" right="0" top="0.57999999999999996" bottom="0.46" header="0.3" footer="0.2"/>
      <printOptions horizontalCentered="1" gridLines="1"/>
      <pageSetup scale="65" orientation="landscape" horizontalDpi="300" verticalDpi="300" r:id="rId1"/>
      <headerFooter alignWithMargins="0">
        <oddFooter>&amp;L&amp;8Pricing &amp;&amp; Analysis
&amp;F&amp;C&amp;8&amp;A
page &amp;P&amp;R&amp;8&amp;D
&amp;T</oddFooter>
      </headerFooter>
    </customSheetView>
    <customSheetView guid="{26EFD302-2526-11D5-9AB1-0060975861A8}" scale="75" showPageBreaks="1" printArea="1" showRuler="0">
      <pane xSplit="4" ySplit="7" topLeftCell="K8" activePane="bottomRight" state="frozen"/>
      <selection pane="bottomRight" activeCell="M20" sqref="M20"/>
      <pageMargins left="0" right="0" top="0.57999999999999996" bottom="0.46" header="0.3" footer="0.2"/>
      <printOptions horizontalCentered="1" gridLines="1"/>
      <pageSetup scale="65" orientation="landscape" horizontalDpi="300" verticalDpi="300" r:id="rId2"/>
      <headerFooter alignWithMargins="0">
        <oddFooter>&amp;L&amp;8Pricing &amp;&amp; Analysis
&amp;F&amp;C&amp;8&amp;A
page &amp;P&amp;R&amp;8&amp;D
&amp;T</oddFooter>
      </headerFooter>
    </customSheetView>
    <customSheetView guid="{44D25261-300E-11D5-83AB-006008184210}" scale="75" showPageBreaks="1" printArea="1" showRuler="0">
      <pane xSplit="4" ySplit="7" topLeftCell="K8" activePane="bottomRight" state="frozen"/>
      <selection pane="bottomRight" activeCell="M20" sqref="M20"/>
      <pageMargins left="0" right="0" top="0.57999999999999996" bottom="0.46" header="0.3" footer="0.2"/>
      <printOptions horizontalCentered="1" gridLines="1"/>
      <pageSetup scale="65" orientation="landscape" horizontalDpi="300" verticalDpi="300" r:id="rId3"/>
      <headerFooter alignWithMargins="0">
        <oddFooter>&amp;L&amp;8Pricing &amp;&amp; Analysis
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7999999999999996" bottom="0.46" header="0.3" footer="0.2"/>
  <pageSetup scale="61" orientation="landscape" horizontalDpi="300" verticalDpi="300" r:id="rId4"/>
  <headerFooter alignWithMargins="0">
    <oddFooter>&amp;L&amp;8Pricing &amp;&amp; Analysis
&amp;F&amp;C&amp;8&amp;A
page &amp;P&amp;R&amp;8&amp;D
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W178"/>
  <sheetViews>
    <sheetView zoomScale="70" zoomScaleNormal="70" workbookViewId="0">
      <pane xSplit="2" ySplit="7" topLeftCell="C8" activePane="bottomRight" state="frozen"/>
      <selection activeCell="B56" sqref="A1:XFD1048576"/>
      <selection pane="topRight" activeCell="B56" sqref="A1:XFD1048576"/>
      <selection pane="bottomLeft" activeCell="B56" sqref="A1:XFD1048576"/>
      <selection pane="bottomRight" activeCell="C8" sqref="C8"/>
    </sheetView>
  </sheetViews>
  <sheetFormatPr defaultColWidth="9.1796875" defaultRowHeight="13" x14ac:dyDescent="0.3"/>
  <cols>
    <col min="1" max="1" width="4.54296875" style="32" customWidth="1"/>
    <col min="2" max="2" width="32.1796875" style="32" customWidth="1"/>
    <col min="3" max="3" width="12.81640625" style="32" customWidth="1"/>
    <col min="4" max="4" width="13.54296875" style="32" customWidth="1"/>
    <col min="5" max="8" width="15" style="32" customWidth="1"/>
    <col min="9" max="14" width="12.54296875" style="32" customWidth="1"/>
    <col min="15" max="15" width="5" style="32" customWidth="1"/>
    <col min="16" max="16" width="13.81640625" style="32" customWidth="1"/>
    <col min="17" max="17" width="11.54296875" style="32" bestFit="1" customWidth="1"/>
    <col min="18" max="16384" width="9.1796875" style="32"/>
  </cols>
  <sheetData>
    <row r="1" spans="1:49" x14ac:dyDescent="0.3">
      <c r="A1" s="301" t="str">
        <f>'1. RB-i'!$A$1</f>
        <v>CPS Energy</v>
      </c>
      <c r="B1" s="302"/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3"/>
      <c r="S1" s="1"/>
      <c r="T1" s="1"/>
    </row>
    <row r="2" spans="1:49" x14ac:dyDescent="0.3">
      <c r="A2" s="307" t="s">
        <v>1316</v>
      </c>
      <c r="B2" s="288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98"/>
    </row>
    <row r="3" spans="1:49" x14ac:dyDescent="0.3">
      <c r="A3" s="307" t="str">
        <f>'10a. RB by class'!A3</f>
        <v>Based on FYE 2017 Test Year</v>
      </c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98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</row>
    <row r="4" spans="1:49" s="5" customFormat="1" x14ac:dyDescent="0.3">
      <c r="A4" s="304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305"/>
    </row>
    <row r="5" spans="1:49" s="5" customFormat="1" x14ac:dyDescent="0.3">
      <c r="A5" s="304"/>
      <c r="B5" s="196"/>
      <c r="C5" s="196"/>
      <c r="D5" s="196"/>
      <c r="E5" s="196"/>
      <c r="F5" s="196"/>
      <c r="G5" s="196"/>
      <c r="H5" s="199"/>
      <c r="I5" s="199"/>
      <c r="J5" s="199"/>
      <c r="K5" s="196"/>
      <c r="L5" s="196"/>
      <c r="M5" s="196"/>
      <c r="N5" s="305"/>
      <c r="P5" s="5" t="s">
        <v>832</v>
      </c>
    </row>
    <row r="6" spans="1:49" s="5" customFormat="1" x14ac:dyDescent="0.3">
      <c r="A6" s="304"/>
      <c r="B6" s="196" t="s">
        <v>359</v>
      </c>
      <c r="C6" s="404" t="s">
        <v>1337</v>
      </c>
      <c r="D6" s="404"/>
      <c r="E6" s="196" t="s">
        <v>355</v>
      </c>
      <c r="F6" s="196" t="s">
        <v>961</v>
      </c>
      <c r="G6" s="196" t="s">
        <v>962</v>
      </c>
      <c r="H6" s="196" t="s">
        <v>963</v>
      </c>
      <c r="I6" s="196" t="s">
        <v>964</v>
      </c>
      <c r="J6" s="196" t="s">
        <v>965</v>
      </c>
      <c r="K6" s="196" t="s">
        <v>966</v>
      </c>
      <c r="L6" s="196" t="s">
        <v>967</v>
      </c>
      <c r="M6" s="196" t="s">
        <v>968</v>
      </c>
      <c r="N6" s="305" t="s">
        <v>932</v>
      </c>
      <c r="P6" s="5" t="s">
        <v>833</v>
      </c>
      <c r="Q6" s="5" t="s">
        <v>824</v>
      </c>
    </row>
    <row r="7" spans="1:49" s="5" customFormat="1" ht="13.5" thickBot="1" x14ac:dyDescent="0.35">
      <c r="A7" s="299"/>
      <c r="B7" s="282"/>
      <c r="C7" s="405" t="s">
        <v>248</v>
      </c>
      <c r="D7" s="405" t="s">
        <v>1243</v>
      </c>
      <c r="E7" s="282" t="s">
        <v>816</v>
      </c>
      <c r="F7" s="282" t="s">
        <v>817</v>
      </c>
      <c r="G7" s="282" t="s">
        <v>818</v>
      </c>
      <c r="H7" s="282" t="s">
        <v>819</v>
      </c>
      <c r="I7" s="282" t="s">
        <v>820</v>
      </c>
      <c r="J7" s="282" t="s">
        <v>821</v>
      </c>
      <c r="K7" s="282" t="s">
        <v>822</v>
      </c>
      <c r="L7" s="282" t="s">
        <v>823</v>
      </c>
      <c r="M7" s="282" t="s">
        <v>908</v>
      </c>
      <c r="N7" s="300" t="s">
        <v>914</v>
      </c>
    </row>
    <row r="8" spans="1:49" x14ac:dyDescent="0.3">
      <c r="A8" s="157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158"/>
      <c r="O8" s="35"/>
      <c r="P8" s="35"/>
    </row>
    <row r="9" spans="1:49" x14ac:dyDescent="0.3">
      <c r="A9" s="157" t="s">
        <v>544</v>
      </c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158"/>
    </row>
    <row r="10" spans="1:49" x14ac:dyDescent="0.3">
      <c r="A10" s="157"/>
      <c r="B10" s="35" t="s">
        <v>969</v>
      </c>
      <c r="C10" s="32" t="s">
        <v>1244</v>
      </c>
      <c r="D10" s="32" t="s">
        <v>928</v>
      </c>
      <c r="E10" s="35">
        <f>'9b. Summary Schedules-sf'!E$199</f>
        <v>566909993.11332774</v>
      </c>
      <c r="F10" s="35">
        <f>$E10*'11a. AF by class'!F$10/'11a. AF by class'!$E$10</f>
        <v>225676778.35441437</v>
      </c>
      <c r="G10" s="35">
        <f>$E10*'11a. AF by class'!G10/'11a. AF by class'!$E10</f>
        <v>66912958.036557198</v>
      </c>
      <c r="H10" s="35">
        <f>$E10*'11a. AF by class'!H10/'11a. AF by class'!$E10</f>
        <v>118511515.12540859</v>
      </c>
      <c r="I10" s="35">
        <f>$E10*'11a. AF by class'!I10/'11a. AF by class'!$E10</f>
        <v>69530884.498310432</v>
      </c>
      <c r="J10" s="35">
        <f>$E10*'11a. AF by class'!J10/'11a. AF by class'!$E10</f>
        <v>29223724.899838269</v>
      </c>
      <c r="K10" s="35">
        <f>$E10*'11a. AF by class'!K10/'11a. AF by class'!$E10</f>
        <v>43295852.811260827</v>
      </c>
      <c r="L10" s="35">
        <f>$E10*'11a. AF by class'!L10/'11a. AF by class'!$E10</f>
        <v>11270337.984011238</v>
      </c>
      <c r="M10" s="35">
        <f>$E10*'11a. AF by class'!M10/'11a. AF by class'!$E10</f>
        <v>60589.744471313039</v>
      </c>
      <c r="N10" s="158">
        <f>$E10*'11a. AF by class'!N10/'11a. AF by class'!$E10</f>
        <v>2427351.6590555175</v>
      </c>
      <c r="P10" s="32">
        <f>SUM(F10:O10)</f>
        <v>566909993.11332774</v>
      </c>
      <c r="Q10" s="32">
        <f>E10-P10</f>
        <v>0</v>
      </c>
    </row>
    <row r="11" spans="1:49" x14ac:dyDescent="0.3">
      <c r="A11" s="157"/>
      <c r="B11" s="35" t="s">
        <v>1138</v>
      </c>
      <c r="E11" s="639"/>
      <c r="F11" s="639"/>
      <c r="G11" s="639"/>
      <c r="H11" s="639"/>
      <c r="I11" s="639"/>
      <c r="J11" s="639"/>
      <c r="K11" s="639"/>
      <c r="L11" s="639"/>
      <c r="M11" s="639"/>
      <c r="N11" s="640"/>
      <c r="O11" s="641"/>
      <c r="P11" s="641"/>
      <c r="Q11" s="641"/>
    </row>
    <row r="12" spans="1:49" x14ac:dyDescent="0.3">
      <c r="A12" s="157"/>
      <c r="B12" s="35" t="s">
        <v>1139</v>
      </c>
      <c r="E12" s="639"/>
      <c r="F12" s="639"/>
      <c r="G12" s="639"/>
      <c r="H12" s="639"/>
      <c r="I12" s="639"/>
      <c r="J12" s="639"/>
      <c r="K12" s="639"/>
      <c r="L12" s="639"/>
      <c r="M12" s="639"/>
      <c r="N12" s="640"/>
      <c r="O12" s="641"/>
      <c r="P12" s="641"/>
      <c r="Q12" s="641"/>
    </row>
    <row r="13" spans="1:49" x14ac:dyDescent="0.3">
      <c r="A13" s="157"/>
      <c r="B13" s="35" t="s">
        <v>638</v>
      </c>
      <c r="E13" s="639"/>
      <c r="F13" s="639"/>
      <c r="G13" s="639"/>
      <c r="H13" s="639"/>
      <c r="I13" s="639"/>
      <c r="J13" s="639"/>
      <c r="K13" s="639"/>
      <c r="L13" s="639"/>
      <c r="M13" s="639"/>
      <c r="N13" s="640"/>
      <c r="O13" s="641"/>
      <c r="P13" s="641"/>
      <c r="Q13" s="641"/>
    </row>
    <row r="14" spans="1:49" x14ac:dyDescent="0.3">
      <c r="A14" s="157"/>
      <c r="B14" s="35"/>
      <c r="E14" s="639"/>
      <c r="F14" s="639"/>
      <c r="G14" s="639"/>
      <c r="H14" s="639"/>
      <c r="I14" s="639"/>
      <c r="J14" s="639"/>
      <c r="K14" s="639"/>
      <c r="L14" s="639"/>
      <c r="M14" s="639"/>
      <c r="N14" s="640"/>
      <c r="O14" s="641"/>
      <c r="P14" s="641"/>
      <c r="Q14" s="641"/>
    </row>
    <row r="15" spans="1:49" x14ac:dyDescent="0.3">
      <c r="A15" s="157"/>
      <c r="B15" s="35" t="s">
        <v>970</v>
      </c>
      <c r="C15" s="32" t="s">
        <v>1244</v>
      </c>
      <c r="D15" s="32" t="s">
        <v>927</v>
      </c>
      <c r="E15" s="35">
        <f>'9b. Summary Schedules-sf'!I199</f>
        <v>118908331.2681472</v>
      </c>
      <c r="F15" s="35">
        <f>$E15*'11a. AF by class'!F11/'11a. AF by class'!$E11</f>
        <v>40452111.670601606</v>
      </c>
      <c r="G15" s="35">
        <f>$E15*'11a. AF by class'!G11/'11a. AF by class'!$E11</f>
        <v>10854911.71104566</v>
      </c>
      <c r="H15" s="35">
        <f>$E15*'11a. AF by class'!H11/'11a. AF by class'!$E11</f>
        <v>26383954.591328017</v>
      </c>
      <c r="I15" s="35">
        <f>$E15*'11a. AF by class'!I11/'11a. AF by class'!$E11</f>
        <v>17120642.024036109</v>
      </c>
      <c r="J15" s="35">
        <f>$E15*'11a. AF by class'!J11/'11a. AF by class'!$E11</f>
        <v>8258319.8573731557</v>
      </c>
      <c r="K15" s="35">
        <f>$E15*'11a. AF by class'!K11/'11a. AF by class'!$E11</f>
        <v>12953873.267963136</v>
      </c>
      <c r="L15" s="35">
        <f>$E15*'11a. AF by class'!L11/'11a. AF by class'!$E11</f>
        <v>2373654.0603668801</v>
      </c>
      <c r="M15" s="35">
        <f>$E15*'11a. AF by class'!M11/'11a. AF by class'!$E11</f>
        <v>23270.95639218314</v>
      </c>
      <c r="N15" s="158">
        <f>$E15*'11a. AF by class'!N11/'11a. AF by class'!$E11</f>
        <v>487593.12904045027</v>
      </c>
      <c r="P15" s="32">
        <f>SUM(F15:O15)</f>
        <v>118908331.2681472</v>
      </c>
      <c r="Q15" s="32">
        <f>E15-P15</f>
        <v>0</v>
      </c>
    </row>
    <row r="16" spans="1:49" x14ac:dyDescent="0.3">
      <c r="A16" s="157"/>
      <c r="B16" s="35" t="s">
        <v>971</v>
      </c>
      <c r="E16" s="35">
        <f>E10+E15</f>
        <v>685818324.38147497</v>
      </c>
      <c r="F16" s="35">
        <f t="shared" ref="F16:Q16" si="0">F10+F15</f>
        <v>266128890.02501598</v>
      </c>
      <c r="G16" s="35">
        <f t="shared" si="0"/>
        <v>77767869.74760285</v>
      </c>
      <c r="H16" s="35">
        <f t="shared" si="0"/>
        <v>144895469.71673661</v>
      </c>
      <c r="I16" s="35">
        <f t="shared" si="0"/>
        <v>86651526.522346541</v>
      </c>
      <c r="J16" s="35">
        <f t="shared" si="0"/>
        <v>37482044.757211424</v>
      </c>
      <c r="K16" s="35">
        <f t="shared" si="0"/>
        <v>56249726.079223961</v>
      </c>
      <c r="L16" s="35">
        <f t="shared" si="0"/>
        <v>13643992.044378119</v>
      </c>
      <c r="M16" s="35">
        <f t="shared" si="0"/>
        <v>83860.700863496182</v>
      </c>
      <c r="N16" s="158">
        <f t="shared" si="0"/>
        <v>2914944.7880959678</v>
      </c>
      <c r="O16" s="35"/>
      <c r="P16" s="35">
        <f t="shared" si="0"/>
        <v>685818324.38147497</v>
      </c>
      <c r="Q16" s="35">
        <f t="shared" si="0"/>
        <v>0</v>
      </c>
    </row>
    <row r="17" spans="1:17" x14ac:dyDescent="0.3">
      <c r="A17" s="157"/>
      <c r="B17" s="35" t="s">
        <v>617</v>
      </c>
      <c r="C17" s="32" t="s">
        <v>1244</v>
      </c>
      <c r="D17" s="32" t="s">
        <v>927</v>
      </c>
      <c r="E17" s="35">
        <f>'9b. Summary Schedules-sf'!J199</f>
        <v>368653979.37153488</v>
      </c>
      <c r="F17" s="35">
        <f>$E17*'11a. AF by class'!F13/'11a. AF by class'!$E13</f>
        <v>124908969.61451162</v>
      </c>
      <c r="G17" s="35">
        <f>$E17*'11a. AF by class'!G13/'11a. AF by class'!$E13</f>
        <v>33518048.405581396</v>
      </c>
      <c r="H17" s="35">
        <f>$E17*'11a. AF by class'!H13/'11a. AF by class'!$E13</f>
        <v>81468987.557302326</v>
      </c>
      <c r="I17" s="35">
        <f>$E17*'11a. AF by class'!I13/'11a. AF by class'!$E13</f>
        <v>52903693.482139543</v>
      </c>
      <c r="J17" s="35">
        <f>$E17*'11a. AF by class'!J13/'11a. AF by class'!$E13</f>
        <v>25604101.692837209</v>
      </c>
      <c r="K17" s="35">
        <f>$E17*'11a. AF by class'!K13/'11a. AF by class'!$E13</f>
        <v>40998740.577488378</v>
      </c>
      <c r="L17" s="35">
        <f>$E17*'11a. AF by class'!L13/'11a. AF by class'!$E13</f>
        <v>7673980.0576744182</v>
      </c>
      <c r="M17" s="35">
        <f>$E17*'11a. AF by class'!M13/'11a. AF by class'!$E13</f>
        <v>71856.599441860468</v>
      </c>
      <c r="N17" s="158">
        <f>$E17*'11a. AF by class'!N13/'11a. AF by class'!$E13</f>
        <v>1505601.3845581396</v>
      </c>
      <c r="P17" s="32">
        <f>SUM(F17:O17)</f>
        <v>368653979.37153494</v>
      </c>
      <c r="Q17" s="32">
        <f>E17-P17</f>
        <v>0</v>
      </c>
    </row>
    <row r="18" spans="1:17" x14ac:dyDescent="0.3">
      <c r="A18" s="157"/>
      <c r="B18" s="35" t="s">
        <v>972</v>
      </c>
      <c r="E18" s="35">
        <f>SUM(E16:E17)</f>
        <v>1054472303.7530098</v>
      </c>
      <c r="F18" s="35">
        <f t="shared" ref="F18:N18" si="1">SUM(F16:F17)</f>
        <v>391037859.63952762</v>
      </c>
      <c r="G18" s="35">
        <f t="shared" si="1"/>
        <v>111285918.15318425</v>
      </c>
      <c r="H18" s="35">
        <f t="shared" si="1"/>
        <v>226364457.27403894</v>
      </c>
      <c r="I18" s="35">
        <f t="shared" si="1"/>
        <v>139555220.00448608</v>
      </c>
      <c r="J18" s="35">
        <f t="shared" si="1"/>
        <v>63086146.450048633</v>
      </c>
      <c r="K18" s="35">
        <f t="shared" si="1"/>
        <v>97248466.656712338</v>
      </c>
      <c r="L18" s="35">
        <f t="shared" si="1"/>
        <v>21317972.102052536</v>
      </c>
      <c r="M18" s="35">
        <f t="shared" si="1"/>
        <v>155717.30030535665</v>
      </c>
      <c r="N18" s="158">
        <f t="shared" si="1"/>
        <v>4420546.1726541072</v>
      </c>
      <c r="P18" s="32">
        <f>SUM(F18:O18)</f>
        <v>1054472303.7530099</v>
      </c>
      <c r="Q18" s="32">
        <f>E18-P18</f>
        <v>0</v>
      </c>
    </row>
    <row r="19" spans="1:17" x14ac:dyDescent="0.3">
      <c r="A19" s="157"/>
      <c r="B19" s="35"/>
      <c r="E19" s="35"/>
      <c r="F19" s="35"/>
      <c r="G19" s="35"/>
      <c r="H19" s="35"/>
      <c r="I19" s="35"/>
      <c r="J19" s="35"/>
      <c r="K19" s="35"/>
      <c r="L19" s="35"/>
      <c r="M19" s="35"/>
      <c r="N19" s="158"/>
    </row>
    <row r="20" spans="1:17" x14ac:dyDescent="0.3">
      <c r="A20" s="157" t="s">
        <v>984</v>
      </c>
      <c r="B20" s="35"/>
      <c r="C20" s="32" t="s">
        <v>1244</v>
      </c>
      <c r="D20" s="32" t="s">
        <v>928</v>
      </c>
      <c r="E20" s="35">
        <f>'9b. Summary Schedules-sf'!K199</f>
        <v>31094468.674418602</v>
      </c>
      <c r="F20" s="35">
        <f>$E20*'11a. AF by class'!F16/'11a. AF by class'!$E16</f>
        <v>12378086.089912556</v>
      </c>
      <c r="G20" s="35">
        <f>$E20*'11a. AF by class'!G16/'11a. AF by class'!$E16</f>
        <v>3670080.1376416273</v>
      </c>
      <c r="H20" s="35">
        <f>$E20*'11a. AF by class'!H16/'11a. AF by class'!$E16</f>
        <v>6500298.6763872094</v>
      </c>
      <c r="I20" s="35">
        <f>$E20*'11a. AF by class'!I16/'11a. AF by class'!$E16</f>
        <v>3813736.5829174416</v>
      </c>
      <c r="J20" s="35">
        <f>$E20*'11a. AF by class'!J16/'11a. AF by class'!$E16</f>
        <v>1602919.8601662789</v>
      </c>
      <c r="K20" s="35">
        <f>$E20*'11a. AF by class'!K16/'11a. AF by class'!$E16</f>
        <v>2374684.5726653486</v>
      </c>
      <c r="L20" s="35">
        <f>$E20*'11a. AF by class'!L16/'11a. AF by class'!$E16</f>
        <v>618158.03724744171</v>
      </c>
      <c r="M20" s="35">
        <f>$E20*'11a. AF by class'!M16/'11a. AF by class'!$E16</f>
        <v>3420.3915541860465</v>
      </c>
      <c r="N20" s="158">
        <f>$E20*'11a. AF by class'!N16/'11a. AF by class'!$E16</f>
        <v>133084.32592651161</v>
      </c>
      <c r="P20" s="32">
        <f>SUM(F20:O20)</f>
        <v>31094468.674418598</v>
      </c>
      <c r="Q20" s="32">
        <f>E20-P20</f>
        <v>0</v>
      </c>
    </row>
    <row r="21" spans="1:17" x14ac:dyDescent="0.3">
      <c r="A21" s="157"/>
      <c r="B21" s="35"/>
      <c r="E21" s="35"/>
      <c r="F21" s="35"/>
      <c r="G21" s="35"/>
      <c r="H21" s="35"/>
      <c r="I21" s="35"/>
      <c r="J21" s="35"/>
      <c r="K21" s="35"/>
      <c r="L21" s="35"/>
      <c r="M21" s="35"/>
      <c r="N21" s="158"/>
    </row>
    <row r="22" spans="1:17" x14ac:dyDescent="0.3">
      <c r="A22" s="157" t="s">
        <v>366</v>
      </c>
      <c r="B22" s="35"/>
      <c r="C22" s="32" t="s">
        <v>1244</v>
      </c>
      <c r="D22" s="32" t="s">
        <v>928</v>
      </c>
      <c r="E22" s="35">
        <f>'9b. Summary Schedules-sf'!L199</f>
        <v>70018316.938394994</v>
      </c>
      <c r="F22" s="35">
        <f>$E22*'11a. AF by class'!F18/'11a. AF by class'!$E18</f>
        <v>29512349.305104833</v>
      </c>
      <c r="G22" s="35">
        <f>$E22*'11a. AF by class'!G18/'11a. AF by class'!$E18</f>
        <v>6698787.7482374609</v>
      </c>
      <c r="H22" s="35">
        <f>$E22*'11a. AF by class'!H18/'11a. AF by class'!$E18</f>
        <v>13881022.441084342</v>
      </c>
      <c r="I22" s="35">
        <f>$E22*'11a. AF by class'!I18/'11a. AF by class'!$E18</f>
        <v>9319485.3370317612</v>
      </c>
      <c r="J22" s="35">
        <f>$E22*'11a. AF by class'!J18/'11a. AF by class'!$E18</f>
        <v>3694142.7145802574</v>
      </c>
      <c r="K22" s="35">
        <f>$E22*'11a. AF by class'!K18/'11a. AF by class'!$E18</f>
        <v>5439670.8476156769</v>
      </c>
      <c r="L22" s="35">
        <f>$E22*'11a. AF by class'!L18/'11a. AF by class'!$E18</f>
        <v>1465263.6246427165</v>
      </c>
      <c r="M22" s="35">
        <f>$E22*'11a. AF by class'!M18/'11a. AF by class'!$E18</f>
        <v>7594.9200979358011</v>
      </c>
      <c r="N22" s="158">
        <f>$E22*'11a. AF by class'!N18/'11a. AF by class'!$E18</f>
        <v>0</v>
      </c>
      <c r="P22" s="32">
        <f>SUM(F22:O22)</f>
        <v>70018316.938394979</v>
      </c>
      <c r="Q22" s="32">
        <f>E22-P22</f>
        <v>0</v>
      </c>
    </row>
    <row r="23" spans="1:17" x14ac:dyDescent="0.3">
      <c r="A23" s="157"/>
      <c r="B23" s="35"/>
      <c r="E23" s="35"/>
      <c r="F23" s="35"/>
      <c r="G23" s="35"/>
      <c r="H23" s="35"/>
      <c r="I23" s="35"/>
      <c r="J23" s="35"/>
      <c r="K23" s="35"/>
      <c r="L23" s="35"/>
      <c r="M23" s="35"/>
      <c r="N23" s="158"/>
    </row>
    <row r="24" spans="1:17" x14ac:dyDescent="0.3">
      <c r="A24" s="157" t="s">
        <v>367</v>
      </c>
      <c r="B24" s="35"/>
      <c r="E24" s="35"/>
      <c r="F24" s="35"/>
      <c r="G24" s="35"/>
      <c r="H24" s="35"/>
      <c r="I24" s="35"/>
      <c r="J24" s="35"/>
      <c r="K24" s="35"/>
      <c r="L24" s="35"/>
      <c r="M24" s="35"/>
      <c r="N24" s="158"/>
    </row>
    <row r="25" spans="1:17" x14ac:dyDescent="0.3">
      <c r="A25" s="157"/>
      <c r="B25" s="35" t="s">
        <v>973</v>
      </c>
      <c r="E25" s="35"/>
      <c r="F25" s="35"/>
      <c r="G25" s="35"/>
      <c r="H25" s="35"/>
      <c r="I25" s="35"/>
      <c r="J25" s="35"/>
      <c r="K25" s="35"/>
      <c r="L25" s="35"/>
      <c r="M25" s="35"/>
      <c r="N25" s="158"/>
    </row>
    <row r="26" spans="1:17" x14ac:dyDescent="0.3">
      <c r="A26" s="157"/>
      <c r="B26" s="35" t="s">
        <v>974</v>
      </c>
      <c r="C26" s="32" t="s">
        <v>1244</v>
      </c>
      <c r="D26" s="32" t="s">
        <v>928</v>
      </c>
      <c r="E26" s="35">
        <f>'9b. Summary Schedules-sf'!N199</f>
        <v>74707672.37917994</v>
      </c>
      <c r="F26" s="35">
        <f>$E26*'11a. AF by class'!F22/'11a. AF by class'!$E22</f>
        <v>30125344.352181394</v>
      </c>
      <c r="G26" s="35">
        <f>$E26*'11a. AF by class'!G22/'11a. AF by class'!$E22</f>
        <v>8989190.9743567687</v>
      </c>
      <c r="H26" s="35">
        <f>$E26*'11a. AF by class'!H22/'11a. AF by class'!$E22</f>
        <v>15562467.752296697</v>
      </c>
      <c r="I26" s="35">
        <f>$E26*'11a. AF by class'!I22/'11a. AF by class'!$E22</f>
        <v>9048308.4336307105</v>
      </c>
      <c r="J26" s="35">
        <f>$E26*'11a. AF by class'!J22/'11a. AF by class'!$E22</f>
        <v>3749773.4180614832</v>
      </c>
      <c r="K26" s="35">
        <f>$E26*'11a. AF by class'!K22/'11a. AF by class'!$E22</f>
        <v>5519394.6441513253</v>
      </c>
      <c r="L26" s="35">
        <f>$E26*'11a. AF by class'!L22/'11a. AF by class'!$E22</f>
        <v>1384344.1804507787</v>
      </c>
      <c r="M26" s="35">
        <f>$E26*'11a. AF by class'!M22/'11a. AF by class'!$E22</f>
        <v>7460.355835596597</v>
      </c>
      <c r="N26" s="158">
        <f>$E26*'11a. AF by class'!N22/'11a. AF by class'!$E22</f>
        <v>321388.26821518358</v>
      </c>
      <c r="P26" s="32">
        <f>SUM(F26:O26)</f>
        <v>74707672.379179955</v>
      </c>
      <c r="Q26" s="32">
        <f>E26-P26</f>
        <v>0</v>
      </c>
    </row>
    <row r="27" spans="1:17" x14ac:dyDescent="0.3">
      <c r="A27" s="157"/>
      <c r="B27" s="35" t="s">
        <v>975</v>
      </c>
      <c r="C27" s="32" t="s">
        <v>1244</v>
      </c>
      <c r="D27" s="32" t="s">
        <v>928</v>
      </c>
      <c r="E27" s="35">
        <f>'9b. Summary Schedules-sf'!O199</f>
        <v>106642741.65398155</v>
      </c>
      <c r="F27" s="35">
        <f>$E27*'11a. AF by class'!F23/'11a. AF by class'!$E23</f>
        <v>43753717.018746406</v>
      </c>
      <c r="G27" s="35">
        <f>$E27*'11a. AF by class'!G23/'11a. AF by class'!$E23</f>
        <v>13055801.570978405</v>
      </c>
      <c r="H27" s="35">
        <f>$E27*'11a. AF by class'!H23/'11a. AF by class'!$E23</f>
        <v>22602756.077642992</v>
      </c>
      <c r="I27" s="35">
        <f>$E27*'11a. AF by class'!I23/'11a. AF by class'!$E23</f>
        <v>13141663.115122115</v>
      </c>
      <c r="J27" s="35">
        <f>$E27*'11a. AF by class'!J23/'11a. AF by class'!$E23</f>
        <v>5446129.4483559793</v>
      </c>
      <c r="K27" s="35">
        <f>$E27*'11a. AF by class'!K23/'11a. AF by class'!$E23</f>
        <v>8016307.7491094247</v>
      </c>
      <c r="L27" s="35">
        <f>$E27*'11a. AF by class'!L23/'11a. AF by class'!$E23</f>
        <v>148750.56877894633</v>
      </c>
      <c r="M27" s="35">
        <f>$E27*'11a. AF by class'!M23/'11a. AF by class'!$E23</f>
        <v>10835.338320911533</v>
      </c>
      <c r="N27" s="158">
        <f>$E27*'11a. AF by class'!N23/'11a. AF by class'!$E23</f>
        <v>466780.76692636631</v>
      </c>
      <c r="P27" s="32">
        <f>SUM(F27:O27)</f>
        <v>106642741.65398154</v>
      </c>
      <c r="Q27" s="32">
        <f>E27-P27</f>
        <v>0</v>
      </c>
    </row>
    <row r="28" spans="1:17" x14ac:dyDescent="0.3">
      <c r="A28" s="157"/>
      <c r="B28" s="35" t="s">
        <v>976</v>
      </c>
      <c r="C28" s="32" t="s">
        <v>1244</v>
      </c>
      <c r="D28" s="32" t="s">
        <v>928</v>
      </c>
      <c r="E28" s="35">
        <f>'9b. Summary Schedules-sf'!P199</f>
        <v>28930671.784362514</v>
      </c>
      <c r="F28" s="35">
        <f>$E28*'11a. AF by class'!F24/'11a. AF by class'!$E24</f>
        <v>14697703.094565529</v>
      </c>
      <c r="G28" s="35">
        <f>$E28*'11a. AF by class'!G24/'11a. AF by class'!$E24</f>
        <v>5404569.9920455171</v>
      </c>
      <c r="H28" s="35">
        <f>$E28*'11a. AF by class'!H24/'11a. AF by class'!$E24</f>
        <v>5008101.587161812</v>
      </c>
      <c r="I28" s="35">
        <f>$E28*'11a. AF by class'!I24/'11a. AF by class'!$E24</f>
        <v>2575059.4853922715</v>
      </c>
      <c r="J28" s="35">
        <f>$E28*'11a. AF by class'!J24/'11a. AF by class'!$E24</f>
        <v>875423.00517736143</v>
      </c>
      <c r="K28" s="35">
        <f>$E28*'11a. AF by class'!K24/'11a. AF by class'!$E24</f>
        <v>292307.22624792514</v>
      </c>
      <c r="L28" s="35">
        <f>$E28*'11a. AF by class'!L24/'11a. AF by class'!$E24</f>
        <v>0</v>
      </c>
      <c r="M28" s="35">
        <f>$E28*'11a. AF by class'!M24/'11a. AF by class'!$E24</f>
        <v>1758.3553499687252</v>
      </c>
      <c r="N28" s="158">
        <f>$E28*'11a. AF by class'!N24/'11a. AF by class'!$E24</f>
        <v>75749.038422127749</v>
      </c>
      <c r="P28" s="32">
        <f>SUM(F28:O28)</f>
        <v>28930671.784362514</v>
      </c>
      <c r="Q28" s="32">
        <f>E28-P28</f>
        <v>0</v>
      </c>
    </row>
    <row r="29" spans="1:17" x14ac:dyDescent="0.3">
      <c r="A29" s="157"/>
      <c r="B29" s="35" t="s">
        <v>931</v>
      </c>
      <c r="C29" s="32" t="s">
        <v>1244</v>
      </c>
      <c r="D29" s="32" t="s">
        <v>928</v>
      </c>
      <c r="E29" s="35">
        <f>'9b. Summary Schedules-sf'!Q199</f>
        <v>17887362.8808189</v>
      </c>
      <c r="F29" s="35">
        <f>$E29*'11a. AF by class'!F25/'11a. AF by class'!$E25</f>
        <v>8663182.9254313949</v>
      </c>
      <c r="G29" s="35">
        <f>$E29*'11a. AF by class'!G25/'11a. AF by class'!$E25</f>
        <v>2989965.232668444</v>
      </c>
      <c r="H29" s="35">
        <f>$E29*'11a. AF by class'!H25/'11a. AF by class'!$E25</f>
        <v>3448125.1839598133</v>
      </c>
      <c r="I29" s="35">
        <f>$E29*'11a. AF by class'!I25/'11a. AF by class'!$E25</f>
        <v>1849517.9763900542</v>
      </c>
      <c r="J29" s="35">
        <f>$E29*'11a. AF by class'!J25/'11a. AF by class'!$E25</f>
        <v>653593.43884676462</v>
      </c>
      <c r="K29" s="35">
        <f>$E29*'11a. AF by class'!K25/'11a. AF by class'!$E25</f>
        <v>221370.69042343597</v>
      </c>
      <c r="L29" s="35">
        <f>$E29*'11a. AF by class'!L25/'11a. AF by class'!$E25</f>
        <v>0</v>
      </c>
      <c r="M29" s="35">
        <f>$E29*'11a. AF by class'!M25/'11a. AF by class'!$E25</f>
        <v>1397.6442028999418</v>
      </c>
      <c r="N29" s="158">
        <f>$E29*'11a. AF by class'!N25/'11a. AF by class'!$E25</f>
        <v>60209.788896092497</v>
      </c>
      <c r="P29" s="32">
        <f>SUM(F29:O29)</f>
        <v>17887362.880818896</v>
      </c>
      <c r="Q29" s="32">
        <f>E29-P29</f>
        <v>0</v>
      </c>
    </row>
    <row r="30" spans="1:17" x14ac:dyDescent="0.3">
      <c r="A30" s="157"/>
      <c r="B30" s="35" t="s">
        <v>977</v>
      </c>
      <c r="E30" s="35">
        <f>SUM(E26:E29)</f>
        <v>228168448.69834292</v>
      </c>
      <c r="F30" s="35">
        <f t="shared" ref="F30:N30" si="2">SUM(F26:F29)</f>
        <v>97239947.390924722</v>
      </c>
      <c r="G30" s="35">
        <f t="shared" si="2"/>
        <v>30439527.770049136</v>
      </c>
      <c r="H30" s="35">
        <f t="shared" si="2"/>
        <v>46621450.601061314</v>
      </c>
      <c r="I30" s="35">
        <f t="shared" si="2"/>
        <v>26614549.010535151</v>
      </c>
      <c r="J30" s="35">
        <f t="shared" si="2"/>
        <v>10724919.310441589</v>
      </c>
      <c r="K30" s="35">
        <f t="shared" si="2"/>
        <v>14049380.309932113</v>
      </c>
      <c r="L30" s="35">
        <f t="shared" si="2"/>
        <v>1533094.749229725</v>
      </c>
      <c r="M30" s="35">
        <f t="shared" si="2"/>
        <v>21451.693709376796</v>
      </c>
      <c r="N30" s="158">
        <f t="shared" si="2"/>
        <v>924127.86245977005</v>
      </c>
      <c r="P30" s="32">
        <f>SUM(F30:O30)</f>
        <v>228168448.69834292</v>
      </c>
      <c r="Q30" s="32">
        <f>E30-P30</f>
        <v>0</v>
      </c>
    </row>
    <row r="31" spans="1:17" x14ac:dyDescent="0.3">
      <c r="A31" s="157"/>
      <c r="B31" s="35"/>
      <c r="E31" s="35"/>
      <c r="F31" s="35"/>
      <c r="G31" s="35"/>
      <c r="H31" s="35"/>
      <c r="I31" s="35"/>
      <c r="J31" s="35"/>
      <c r="K31" s="35"/>
      <c r="L31" s="35"/>
      <c r="M31" s="35"/>
      <c r="N31" s="158"/>
    </row>
    <row r="32" spans="1:17" x14ac:dyDescent="0.3">
      <c r="A32" s="157"/>
      <c r="B32" s="35" t="s">
        <v>978</v>
      </c>
      <c r="E32" s="35"/>
      <c r="F32" s="35"/>
      <c r="G32" s="35"/>
      <c r="H32" s="35"/>
      <c r="I32" s="35"/>
      <c r="J32" s="35"/>
      <c r="K32" s="35"/>
      <c r="L32" s="35"/>
      <c r="M32" s="35"/>
      <c r="N32" s="158"/>
    </row>
    <row r="33" spans="1:17" x14ac:dyDescent="0.3">
      <c r="A33" s="157"/>
      <c r="B33" s="35" t="s">
        <v>975</v>
      </c>
      <c r="C33" s="32" t="s">
        <v>1244</v>
      </c>
      <c r="D33" s="32" t="s">
        <v>1010</v>
      </c>
      <c r="E33" s="35">
        <f>'9b. Summary Schedules-sf'!R199</f>
        <v>60523550.518896475</v>
      </c>
      <c r="F33" s="35">
        <f>$E33*'11a. AF by class'!F29/'11a. AF by class'!$E29</f>
        <v>43408074.771182604</v>
      </c>
      <c r="G33" s="35">
        <f>$E33*'11a. AF by class'!G29/'11a. AF by class'!$E29</f>
        <v>10675477.15004459</v>
      </c>
      <c r="H33" s="35">
        <f>$E33*'11a. AF by class'!H29/'11a. AF by class'!$E29</f>
        <v>5688505.9882079326</v>
      </c>
      <c r="I33" s="35">
        <f>$E33*'11a. AF by class'!I29/'11a. AF by class'!$E29</f>
        <v>154808.38863322797</v>
      </c>
      <c r="J33" s="35">
        <f>$E33*'11a. AF by class'!J29/'11a. AF by class'!$E29</f>
        <v>13666.262851388443</v>
      </c>
      <c r="K33" s="35">
        <f>$E33*'11a. AF by class'!K29/'11a. AF by class'!$E29</f>
        <v>2961.023617800829</v>
      </c>
      <c r="L33" s="35">
        <f>$E33*'11a. AF by class'!L29/'11a. AF by class'!$E29</f>
        <v>151.84736501542716</v>
      </c>
      <c r="M33" s="35">
        <f>$E33*'11a. AF by class'!M29/'11a. AF by class'!$E29</f>
        <v>137497.78902146927</v>
      </c>
      <c r="N33" s="158">
        <f>$E33*'11a. AF by class'!N29/'11a. AF by class'!$E29</f>
        <v>442407.29797244695</v>
      </c>
      <c r="P33" s="32">
        <f t="shared" ref="P33:P39" si="3">SUM(F33:O33)</f>
        <v>60523550.518896475</v>
      </c>
      <c r="Q33" s="32">
        <f t="shared" ref="Q33:Q39" si="4">E33-P33</f>
        <v>0</v>
      </c>
    </row>
    <row r="34" spans="1:17" x14ac:dyDescent="0.3">
      <c r="A34" s="157"/>
      <c r="B34" s="35" t="s">
        <v>976</v>
      </c>
      <c r="C34" s="32" t="s">
        <v>1244</v>
      </c>
      <c r="D34" s="32" t="s">
        <v>1010</v>
      </c>
      <c r="E34" s="35">
        <f>'9b. Summary Schedules-sf'!S199</f>
        <v>17294105.029983826</v>
      </c>
      <c r="F34" s="35">
        <f>$E34*'11a. AF by class'!F30/'11a. AF by class'!$E30</f>
        <v>12404852.926330416</v>
      </c>
      <c r="G34" s="35">
        <f>$E34*'11a. AF by class'!G30/'11a. AF by class'!$E30</f>
        <v>3050762.4367763749</v>
      </c>
      <c r="H34" s="35">
        <f>$E34*'11a. AF by class'!H30/'11a. AF by class'!$E30</f>
        <v>1625621.0515264643</v>
      </c>
      <c r="I34" s="35">
        <f>$E34*'11a. AF by class'!I30/'11a. AF by class'!$E30</f>
        <v>43372.170225847556</v>
      </c>
      <c r="J34" s="35">
        <f>$E34*'11a. AF by class'!J30/'11a. AF by class'!$E30</f>
        <v>3536.6001734933225</v>
      </c>
      <c r="K34" s="35">
        <f>$E34*'11a. AF by class'!K30/'11a. AF by class'!$E30</f>
        <v>238.66626937685001</v>
      </c>
      <c r="L34" s="35">
        <f>$E34*'11a. AF by class'!L30/'11a. AF by class'!$E30</f>
        <v>0</v>
      </c>
      <c r="M34" s="35">
        <f>$E34*'11a. AF by class'!M30/'11a. AF by class'!$E30</f>
        <v>39293.146712861395</v>
      </c>
      <c r="N34" s="158">
        <f>$E34*'11a. AF by class'!N30/'11a. AF by class'!$E30</f>
        <v>126428.03196899136</v>
      </c>
      <c r="P34" s="32">
        <f t="shared" si="3"/>
        <v>17294105.029983826</v>
      </c>
      <c r="Q34" s="32">
        <f t="shared" si="4"/>
        <v>0</v>
      </c>
    </row>
    <row r="35" spans="1:17" x14ac:dyDescent="0.3">
      <c r="A35" s="157"/>
      <c r="B35" s="35" t="s">
        <v>931</v>
      </c>
      <c r="C35" s="32" t="s">
        <v>1244</v>
      </c>
      <c r="D35" s="32" t="s">
        <v>1010</v>
      </c>
      <c r="E35" s="35">
        <f>'9b. Summary Schedules-sf'!T199</f>
        <v>19553535.604630336</v>
      </c>
      <c r="F35" s="35">
        <f>$E35*'11a. AF by class'!F31/'11a. AF by class'!$E31</f>
        <v>14025515.222942499</v>
      </c>
      <c r="G35" s="35">
        <f>$E35*'11a. AF by class'!G31/'11a. AF by class'!$E31</f>
        <v>3449336.7436679341</v>
      </c>
      <c r="H35" s="35">
        <f>$E35*'11a. AF by class'!H31/'11a. AF by class'!$E31</f>
        <v>1838004.2827049405</v>
      </c>
      <c r="I35" s="35">
        <f>$E35*'11a. AF by class'!I31/'11a. AF by class'!$E31</f>
        <v>49038.633296769745</v>
      </c>
      <c r="J35" s="35">
        <f>$E35*'11a. AF by class'!J31/'11a. AF by class'!$E31</f>
        <v>3998.6479376555621</v>
      </c>
      <c r="K35" s="35">
        <f>$E35*'11a. AF by class'!K31/'11a. AF by class'!$E31</f>
        <v>269.84740683565138</v>
      </c>
      <c r="L35" s="35">
        <f>$E35*'11a. AF by class'!L31/'11a. AF by class'!$E31</f>
        <v>0</v>
      </c>
      <c r="M35" s="35">
        <f>$E35*'11a. AF by class'!M31/'11a. AF by class'!$E31</f>
        <v>44426.69579812407</v>
      </c>
      <c r="N35" s="158">
        <f>$E35*'11a. AF by class'!N31/'11a. AF by class'!$E31</f>
        <v>142945.53087557646</v>
      </c>
      <c r="P35" s="32">
        <f t="shared" si="3"/>
        <v>19553535.604630332</v>
      </c>
      <c r="Q35" s="32">
        <f t="shared" si="4"/>
        <v>0</v>
      </c>
    </row>
    <row r="36" spans="1:17" x14ac:dyDescent="0.3">
      <c r="A36" s="157"/>
      <c r="B36" s="35" t="s">
        <v>456</v>
      </c>
      <c r="C36" s="32" t="s">
        <v>1244</v>
      </c>
      <c r="D36" s="32" t="s">
        <v>1010</v>
      </c>
      <c r="E36" s="35">
        <f>'9b. Summary Schedules-sf'!U199</f>
        <v>11444443.892670285</v>
      </c>
      <c r="F36" s="35">
        <f>$E36*'11a. AF by class'!F32/'11a. AF by class'!$E32</f>
        <v>6247638.2680589417</v>
      </c>
      <c r="G36" s="35">
        <f>$E36*'11a. AF by class'!G32/'11a. AF by class'!$E32</f>
        <v>1536500.2922609537</v>
      </c>
      <c r="H36" s="35">
        <f>$E36*'11a. AF by class'!H32/'11a. AF by class'!$E32</f>
        <v>2456206.2165174033</v>
      </c>
      <c r="I36" s="35">
        <f>$E36*'11a. AF by class'!I32/'11a. AF by class'!$E32</f>
        <v>1092208.1546674606</v>
      </c>
      <c r="J36" s="35">
        <f>$E36*'11a. AF by class'!J32/'11a. AF by class'!$E32</f>
        <v>89059.494352574329</v>
      </c>
      <c r="K36" s="35">
        <f>$E36*'11a. AF by class'!K32/'11a. AF by class'!$E32</f>
        <v>6010.1499256338502</v>
      </c>
      <c r="L36" s="35">
        <f>$E36*'11a. AF by class'!L32/'11a. AF by class'!$E32</f>
        <v>0</v>
      </c>
      <c r="M36" s="35">
        <f>$E36*'11a. AF by class'!M32/'11a. AF by class'!$E32</f>
        <v>16821.316887317214</v>
      </c>
      <c r="N36" s="158">
        <f>$E36*'11a. AF by class'!N32/'11a. AF by class'!$E32</f>
        <v>0</v>
      </c>
      <c r="P36" s="32">
        <f t="shared" si="3"/>
        <v>11444443.892670285</v>
      </c>
      <c r="Q36" s="32">
        <f t="shared" si="4"/>
        <v>0</v>
      </c>
    </row>
    <row r="37" spans="1:17" x14ac:dyDescent="0.3">
      <c r="A37" s="157"/>
      <c r="B37" s="35" t="s">
        <v>932</v>
      </c>
      <c r="C37" s="32" t="s">
        <v>1244</v>
      </c>
      <c r="D37" s="32" t="s">
        <v>1010</v>
      </c>
      <c r="E37" s="35">
        <f>'9b. Summary Schedules-sf'!V199</f>
        <v>17561956.646479882</v>
      </c>
      <c r="F37" s="35">
        <f>$E37*'11a. AF by class'!F33/'11a. AF by class'!$E33</f>
        <v>0</v>
      </c>
      <c r="G37" s="35">
        <f>$E37*'11a. AF by class'!G33/'11a. AF by class'!$E33</f>
        <v>0</v>
      </c>
      <c r="H37" s="35">
        <f>$E37*'11a. AF by class'!H33/'11a. AF by class'!$E33</f>
        <v>0</v>
      </c>
      <c r="I37" s="35">
        <f>$E37*'11a. AF by class'!I33/'11a. AF by class'!$E33</f>
        <v>0</v>
      </c>
      <c r="J37" s="35">
        <f>$E37*'11a. AF by class'!J33/'11a. AF by class'!$E33</f>
        <v>0</v>
      </c>
      <c r="K37" s="35">
        <f>$E37*'11a. AF by class'!K33/'11a. AF by class'!$E33</f>
        <v>0</v>
      </c>
      <c r="L37" s="35">
        <f>$E37*'11a. AF by class'!L33/'11a. AF by class'!$E33</f>
        <v>0</v>
      </c>
      <c r="M37" s="35">
        <f>$E37*'11a. AF by class'!M33/'11a. AF by class'!$E33</f>
        <v>0</v>
      </c>
      <c r="N37" s="158">
        <f>$E37*'11a. AF by class'!N33/'11a. AF by class'!$E33</f>
        <v>17561956.646479882</v>
      </c>
      <c r="P37" s="32">
        <f t="shared" si="3"/>
        <v>17561956.646479882</v>
      </c>
      <c r="Q37" s="32">
        <f t="shared" si="4"/>
        <v>0</v>
      </c>
    </row>
    <row r="38" spans="1:17" x14ac:dyDescent="0.3">
      <c r="A38" s="157"/>
      <c r="B38" s="35" t="s">
        <v>1013</v>
      </c>
      <c r="C38" s="32" t="s">
        <v>1244</v>
      </c>
      <c r="D38" s="32" t="s">
        <v>1010</v>
      </c>
      <c r="E38" s="35">
        <f>'9b. Summary Schedules-sf'!W199</f>
        <v>1932660.9504740869</v>
      </c>
      <c r="F38" s="35">
        <f>$E38*'11a. AF by class'!F34/'11a. AF by class'!$E34</f>
        <v>673829.05703631183</v>
      </c>
      <c r="G38" s="35">
        <f>$E38*'11a. AF by class'!G34/'11a. AF by class'!$E34</f>
        <v>180815.15699418951</v>
      </c>
      <c r="H38" s="35">
        <f>$E38*'11a. AF by class'!H34/'11a. AF by class'!$E34</f>
        <v>439489.42364073702</v>
      </c>
      <c r="I38" s="35">
        <f>$E38*'11a. AF by class'!I34/'11a. AF by class'!$E34</f>
        <v>285186.25096391508</v>
      </c>
      <c r="J38" s="35">
        <f>$E38*'11a. AF by class'!J34/'11a. AF by class'!$E34</f>
        <v>137562.55612836452</v>
      </c>
      <c r="K38" s="35">
        <f>$E38*'11a. AF by class'!K34/'11a. AF by class'!$E34</f>
        <v>215778.50571056904</v>
      </c>
      <c r="L38" s="35">
        <f>$E38*'11a. AF by class'!L34/'11a. AF by class'!$E34</f>
        <v>0</v>
      </c>
      <c r="M38" s="35">
        <f>$E38*'11a. AF by class'!M34/'11a. AF by class'!$E34</f>
        <v>0</v>
      </c>
      <c r="N38" s="158">
        <f>$E38*'11a. AF by class'!N34/'11a. AF by class'!$E34</f>
        <v>0</v>
      </c>
      <c r="P38" s="32">
        <f>SUM(F38:O38)</f>
        <v>1932660.9504740869</v>
      </c>
      <c r="Q38" s="32">
        <f>E38-P38</f>
        <v>0</v>
      </c>
    </row>
    <row r="39" spans="1:17" x14ac:dyDescent="0.3">
      <c r="A39" s="157"/>
      <c r="B39" s="35" t="s">
        <v>979</v>
      </c>
      <c r="E39" s="35">
        <f t="shared" ref="E39:N39" si="5">SUM(E33:E38)</f>
        <v>128310252.64313489</v>
      </c>
      <c r="F39" s="35">
        <f t="shared" si="5"/>
        <v>76759910.245550767</v>
      </c>
      <c r="G39" s="35">
        <f t="shared" si="5"/>
        <v>18892891.77974404</v>
      </c>
      <c r="H39" s="35">
        <f t="shared" si="5"/>
        <v>12047826.962597478</v>
      </c>
      <c r="I39" s="35">
        <f t="shared" si="5"/>
        <v>1624613.597787221</v>
      </c>
      <c r="J39" s="35">
        <f t="shared" si="5"/>
        <v>247823.56144347618</v>
      </c>
      <c r="K39" s="35">
        <f t="shared" si="5"/>
        <v>225258.1929302162</v>
      </c>
      <c r="L39" s="35">
        <f t="shared" si="5"/>
        <v>151.84736501542716</v>
      </c>
      <c r="M39" s="35">
        <f t="shared" si="5"/>
        <v>238038.94841977197</v>
      </c>
      <c r="N39" s="158">
        <f t="shared" si="5"/>
        <v>18273737.507296897</v>
      </c>
      <c r="P39" s="32">
        <f t="shared" si="3"/>
        <v>128310252.64313489</v>
      </c>
      <c r="Q39" s="32">
        <f t="shared" si="4"/>
        <v>0</v>
      </c>
    </row>
    <row r="40" spans="1:17" x14ac:dyDescent="0.3">
      <c r="A40" s="157"/>
      <c r="B40" s="35"/>
      <c r="E40" s="35"/>
      <c r="F40" s="35"/>
      <c r="G40" s="35"/>
      <c r="H40" s="35"/>
      <c r="I40" s="35"/>
      <c r="J40" s="35"/>
      <c r="K40" s="35"/>
      <c r="L40" s="35"/>
      <c r="M40" s="35"/>
      <c r="N40" s="158"/>
    </row>
    <row r="41" spans="1:17" x14ac:dyDescent="0.3">
      <c r="A41" s="157"/>
      <c r="B41" s="35" t="s">
        <v>543</v>
      </c>
      <c r="E41" s="35">
        <f t="shared" ref="E41:N41" si="6">SUM(E30,E39)</f>
        <v>356478701.34147781</v>
      </c>
      <c r="F41" s="35">
        <f t="shared" si="6"/>
        <v>173999857.6364755</v>
      </c>
      <c r="G41" s="35">
        <f t="shared" si="6"/>
        <v>49332419.549793176</v>
      </c>
      <c r="H41" s="35">
        <f t="shared" si="6"/>
        <v>58669277.563658789</v>
      </c>
      <c r="I41" s="35">
        <f t="shared" si="6"/>
        <v>28239162.608322371</v>
      </c>
      <c r="J41" s="35">
        <f t="shared" si="6"/>
        <v>10972742.871885065</v>
      </c>
      <c r="K41" s="35">
        <f t="shared" si="6"/>
        <v>14274638.502862329</v>
      </c>
      <c r="L41" s="35">
        <f t="shared" si="6"/>
        <v>1533246.5965947404</v>
      </c>
      <c r="M41" s="35">
        <f t="shared" si="6"/>
        <v>259490.64212914876</v>
      </c>
      <c r="N41" s="158">
        <f t="shared" si="6"/>
        <v>19197865.369756669</v>
      </c>
      <c r="P41" s="32">
        <f>SUM(F41:O41)</f>
        <v>356478701.34147775</v>
      </c>
      <c r="Q41" s="32">
        <f>E41-P41</f>
        <v>0</v>
      </c>
    </row>
    <row r="42" spans="1:17" x14ac:dyDescent="0.3">
      <c r="A42" s="157"/>
      <c r="B42" s="35"/>
      <c r="E42" s="35"/>
      <c r="F42" s="35"/>
      <c r="G42" s="35"/>
      <c r="H42" s="35"/>
      <c r="I42" s="35"/>
      <c r="J42" s="35"/>
      <c r="K42" s="35"/>
      <c r="L42" s="35"/>
      <c r="M42" s="35"/>
      <c r="N42" s="158"/>
    </row>
    <row r="43" spans="1:17" x14ac:dyDescent="0.3">
      <c r="A43" s="157" t="s">
        <v>907</v>
      </c>
      <c r="B43" s="35"/>
      <c r="E43" s="35"/>
      <c r="F43" s="35"/>
      <c r="G43" s="35"/>
      <c r="H43" s="35"/>
      <c r="I43" s="35"/>
      <c r="J43" s="35"/>
      <c r="K43" s="35"/>
      <c r="L43" s="35"/>
      <c r="M43" s="35"/>
      <c r="N43" s="158"/>
    </row>
    <row r="44" spans="1:17" x14ac:dyDescent="0.3">
      <c r="A44" s="157"/>
      <c r="B44" s="35" t="s">
        <v>907</v>
      </c>
      <c r="E44" s="35">
        <f>'9b. Summary Schedules-sf'!Y199</f>
        <v>51022655.379928067</v>
      </c>
      <c r="F44" s="35">
        <f>$E44*'11a. AF by class'!F40/'11a. AF by class'!$E40</f>
        <v>27106084.212778706</v>
      </c>
      <c r="G44" s="35">
        <f>$E44*'11a. AF by class'!G40/'11a. AF by class'!$E40</f>
        <v>6570169.4615708431</v>
      </c>
      <c r="H44" s="35">
        <f>$E44*'11a. AF by class'!H40/'11a. AF by class'!$E40</f>
        <v>14265642.772063373</v>
      </c>
      <c r="I44" s="35">
        <f>$E44*'11a. AF by class'!I40/'11a. AF by class'!$E40</f>
        <v>2234806.2539065494</v>
      </c>
      <c r="J44" s="35">
        <f>$E44*'11a. AF by class'!J40/'11a. AF by class'!$E40</f>
        <v>198652.49393317592</v>
      </c>
      <c r="K44" s="35">
        <f>$E44*'11a. AF by class'!K40/'11a. AF by class'!$E40</f>
        <v>496297.82493101765</v>
      </c>
      <c r="L44" s="35">
        <f>$E44*'11a. AF by class'!L40/'11a. AF by class'!$E40</f>
        <v>60171.117959488583</v>
      </c>
      <c r="M44" s="35">
        <f>$E44*'11a. AF by class'!M40/'11a. AF by class'!$E40</f>
        <v>90831.242784904505</v>
      </c>
      <c r="N44" s="158">
        <f>$E44*'11a. AF by class'!N40/'11a. AF by class'!$E40</f>
        <v>0</v>
      </c>
      <c r="P44" s="32">
        <f>SUM(F44:O44)</f>
        <v>51022655.37992806</v>
      </c>
      <c r="Q44" s="32">
        <f>E44-P44</f>
        <v>0</v>
      </c>
    </row>
    <row r="45" spans="1:17" x14ac:dyDescent="0.3">
      <c r="A45" s="157"/>
      <c r="B45" s="35" t="s">
        <v>996</v>
      </c>
      <c r="E45" s="35">
        <f>'9b. Summary Schedules-sf'!Z199</f>
        <v>15421464.940456562</v>
      </c>
      <c r="F45" s="35">
        <f>$E45*'11a. AF by class'!F41/'11a. AF by class'!$E41</f>
        <v>9947567.6269270275</v>
      </c>
      <c r="G45" s="35">
        <f>$E45*'11a. AF by class'!G41/'11a. AF by class'!$E41</f>
        <v>2446434.9423366422</v>
      </c>
      <c r="H45" s="35">
        <f>$E45*'11a. AF by class'!H41/'11a. AF by class'!$E41</f>
        <v>2607201.4625004348</v>
      </c>
      <c r="I45" s="35">
        <f>$E45*'11a. AF by class'!I41/'11a. AF by class'!$E41</f>
        <v>354765.08075105352</v>
      </c>
      <c r="J45" s="35">
        <f>$E45*'11a. AF by class'!J41/'11a. AF by class'!$E41</f>
        <v>31318.153278660931</v>
      </c>
      <c r="K45" s="35">
        <f>$E45*'11a. AF by class'!K41/'11a. AF by class'!$E41</f>
        <v>6785.5998770432016</v>
      </c>
      <c r="L45" s="35">
        <f>$E45*'11a. AF by class'!L41/'11a. AF by class'!$E41</f>
        <v>608.96409152951799</v>
      </c>
      <c r="M45" s="35">
        <f>$E45*'11a. AF by class'!M41/'11a. AF by class'!$E41</f>
        <v>26783.110694170391</v>
      </c>
      <c r="N45" s="158">
        <f>$E45*'11a. AF by class'!N41/'11a. AF by class'!$E41</f>
        <v>0</v>
      </c>
      <c r="P45" s="32">
        <f>SUM(F45:O45)</f>
        <v>15421464.940456562</v>
      </c>
      <c r="Q45" s="32">
        <f>E45-P45</f>
        <v>0</v>
      </c>
    </row>
    <row r="46" spans="1:17" x14ac:dyDescent="0.3">
      <c r="A46" s="157"/>
      <c r="B46" s="35" t="s">
        <v>997</v>
      </c>
      <c r="C46" s="32" t="s">
        <v>1244</v>
      </c>
      <c r="D46" s="32" t="s">
        <v>1010</v>
      </c>
      <c r="E46" s="35">
        <f>E44+E45</f>
        <v>66444120.320384629</v>
      </c>
      <c r="F46" s="35">
        <f t="shared" ref="F46:N46" si="7">SUM(F44:F45)</f>
        <v>37053651.839705735</v>
      </c>
      <c r="G46" s="35">
        <f t="shared" si="7"/>
        <v>9016604.4039074853</v>
      </c>
      <c r="H46" s="35">
        <f t="shared" si="7"/>
        <v>16872844.234563809</v>
      </c>
      <c r="I46" s="35">
        <f t="shared" si="7"/>
        <v>2589571.3346576029</v>
      </c>
      <c r="J46" s="35">
        <f t="shared" si="7"/>
        <v>229970.64721183685</v>
      </c>
      <c r="K46" s="35">
        <f t="shared" si="7"/>
        <v>503083.42480806087</v>
      </c>
      <c r="L46" s="35">
        <f t="shared" si="7"/>
        <v>60780.0820510181</v>
      </c>
      <c r="M46" s="35">
        <f t="shared" si="7"/>
        <v>117614.3534790749</v>
      </c>
      <c r="N46" s="158">
        <f t="shared" si="7"/>
        <v>0</v>
      </c>
      <c r="P46" s="32">
        <f>SUM(F46:O46)</f>
        <v>66444120.320384614</v>
      </c>
      <c r="Q46" s="32">
        <f>E46-P46</f>
        <v>0</v>
      </c>
    </row>
    <row r="47" spans="1:17" x14ac:dyDescent="0.3">
      <c r="A47" s="157"/>
      <c r="B47" s="35"/>
      <c r="E47" s="35"/>
      <c r="F47" s="35"/>
      <c r="G47" s="35"/>
      <c r="H47" s="35"/>
      <c r="I47" s="35"/>
      <c r="J47" s="35"/>
      <c r="K47" s="35"/>
      <c r="L47" s="35"/>
      <c r="M47" s="35"/>
      <c r="N47" s="158"/>
    </row>
    <row r="48" spans="1:17" x14ac:dyDescent="0.3">
      <c r="A48" s="157" t="s">
        <v>84</v>
      </c>
      <c r="B48" s="35"/>
      <c r="C48" s="32" t="s">
        <v>1244</v>
      </c>
      <c r="D48" s="32" t="s">
        <v>1010</v>
      </c>
      <c r="E48" s="35">
        <f>'9b. Summary Schedules-sf'!AA199</f>
        <v>5752190.4545248523</v>
      </c>
      <c r="F48" s="35">
        <f>$E48*'11a. AF by class'!F44/'11a. AF by class'!$E44</f>
        <v>3451305.1574971653</v>
      </c>
      <c r="G48" s="35">
        <f>$E48*'11a. AF by class'!G44/'11a. AF by class'!$E44</f>
        <v>848789.75952999282</v>
      </c>
      <c r="H48" s="35">
        <f>$E48*'11a. AF by class'!H44/'11a. AF by class'!$E44</f>
        <v>1356851.4723847546</v>
      </c>
      <c r="I48" s="35">
        <f>$E48*'11a. AF by class'!I44/'11a. AF by class'!$E44</f>
        <v>61542.811208524952</v>
      </c>
      <c r="J48" s="35">
        <f>$E48*'11a. AF by class'!J44/'11a. AF by class'!$E44</f>
        <v>5432.9112395951406</v>
      </c>
      <c r="K48" s="35">
        <f>$E48*'11a. AF by class'!K44/'11a. AF by class'!$E44</f>
        <v>1177.130768578947</v>
      </c>
      <c r="L48" s="35">
        <f>$E48*'11a. AF by class'!L44/'11a. AF by class'!$E44</f>
        <v>211.27988153981104</v>
      </c>
      <c r="M48" s="35">
        <f>$E48*'11a. AF by class'!M44/'11a. AF by class'!$E44</f>
        <v>9292.391018523087</v>
      </c>
      <c r="N48" s="158">
        <f>$E48*'11a. AF by class'!N44/'11a. AF by class'!$E44</f>
        <v>17587.540996178268</v>
      </c>
      <c r="P48" s="32">
        <f>SUM(F48:O48)</f>
        <v>5752190.4545248514</v>
      </c>
      <c r="Q48" s="32">
        <f>E48-P48</f>
        <v>0</v>
      </c>
    </row>
    <row r="49" spans="1:17" x14ac:dyDescent="0.3">
      <c r="A49" s="157"/>
      <c r="B49" s="35"/>
      <c r="E49" s="35"/>
      <c r="F49" s="35"/>
      <c r="G49" s="35"/>
      <c r="H49" s="35"/>
      <c r="I49" s="35"/>
      <c r="J49" s="35"/>
      <c r="K49" s="35"/>
      <c r="L49" s="35"/>
      <c r="M49" s="35"/>
      <c r="N49" s="158"/>
    </row>
    <row r="50" spans="1:17" x14ac:dyDescent="0.3">
      <c r="A50" s="157" t="s">
        <v>82</v>
      </c>
      <c r="B50" s="35"/>
      <c r="E50" s="35"/>
      <c r="F50" s="35"/>
      <c r="G50" s="35"/>
      <c r="H50" s="35"/>
      <c r="I50" s="35"/>
      <c r="J50" s="35"/>
      <c r="K50" s="35"/>
      <c r="L50" s="35"/>
      <c r="M50" s="35"/>
      <c r="N50" s="158"/>
    </row>
    <row r="51" spans="1:17" x14ac:dyDescent="0.3">
      <c r="A51" s="157"/>
      <c r="B51" s="35" t="s">
        <v>81</v>
      </c>
      <c r="C51" s="32" t="s">
        <v>1244</v>
      </c>
      <c r="D51" s="32" t="s">
        <v>1010</v>
      </c>
      <c r="E51" s="35">
        <f>'9b. Summary Schedules-sf'!AC199</f>
        <v>33779902.977727875</v>
      </c>
      <c r="F51" s="35">
        <f>$E51*'11a. AF by class'!F47/'11a. AF by class'!$E47</f>
        <v>24315990.994278651</v>
      </c>
      <c r="G51" s="35">
        <f>$E51*'11a. AF by class'!G47/'11a. AF by class'!$E47</f>
        <v>5980104.1075528832</v>
      </c>
      <c r="H51" s="35">
        <f>$E51*'11a. AF by class'!H47/'11a. AF by class'!$E47</f>
        <v>3186542.1608606349</v>
      </c>
      <c r="I51" s="35">
        <f>$E51*'11a. AF by class'!I47/'11a. AF by class'!$E47</f>
        <v>86719.335139539209</v>
      </c>
      <c r="J51" s="35">
        <f>$E51*'11a. AF by class'!J47/'11a. AF by class'!$E47</f>
        <v>7655.4587175659908</v>
      </c>
      <c r="K51" s="35">
        <f>$E51*'11a. AF by class'!K47/'11a. AF by class'!$E47</f>
        <v>1658.6827221392982</v>
      </c>
      <c r="L51" s="35">
        <f>$E51*'11a. AF by class'!L47/'11a. AF by class'!$E47</f>
        <v>297.71228346089964</v>
      </c>
      <c r="M51" s="35">
        <f>$E51*'11a. AF by class'!M47/'11a. AF by class'!$E47</f>
        <v>77022.420763955612</v>
      </c>
      <c r="N51" s="158">
        <f>$E51*'11a. AF by class'!N47/'11a. AF by class'!$E47</f>
        <v>123912.10540904732</v>
      </c>
      <c r="P51" s="32">
        <f>SUM(F51:O51)</f>
        <v>33779902.977727883</v>
      </c>
      <c r="Q51" s="32">
        <f>E51-P51</f>
        <v>0</v>
      </c>
    </row>
    <row r="52" spans="1:17" x14ac:dyDescent="0.3">
      <c r="A52" s="157"/>
      <c r="B52" s="35" t="s">
        <v>1007</v>
      </c>
      <c r="C52" s="32" t="s">
        <v>1244</v>
      </c>
      <c r="D52" s="32" t="s">
        <v>1010</v>
      </c>
      <c r="E52" s="35">
        <f>'9b. Summary Schedules-sf'!AD199</f>
        <v>1235463.3991966993</v>
      </c>
      <c r="F52" s="35">
        <f>$E52*'11a. AF by class'!F48/'11a. AF by class'!$E48</f>
        <v>428860.358021477</v>
      </c>
      <c r="G52" s="35">
        <f>$E52*'11a. AF by class'!G48/'11a. AF by class'!$E48</f>
        <v>115080.30435092816</v>
      </c>
      <c r="H52" s="35">
        <f>$E52*'11a. AF by class'!H48/'11a. AF by class'!$E48</f>
        <v>279714.25334224215</v>
      </c>
      <c r="I52" s="35">
        <f>$E52*'11a. AF by class'!I48/'11a. AF by class'!$E48</f>
        <v>181507.57438261755</v>
      </c>
      <c r="J52" s="35">
        <f>$E52*'11a. AF by class'!J48/'11a. AF by class'!$E48</f>
        <v>87552.067479899066</v>
      </c>
      <c r="K52" s="35">
        <f>$E52*'11a. AF by class'!K48/'11a. AF by class'!$E48</f>
        <v>137332.8238758145</v>
      </c>
      <c r="L52" s="35">
        <f>$E52*'11a. AF by class'!L48/'11a. AF by class'!$E48</f>
        <v>0</v>
      </c>
      <c r="M52" s="35">
        <f>$E52*'11a. AF by class'!M48/'11a. AF by class'!$E48</f>
        <v>246.71124145805112</v>
      </c>
      <c r="N52" s="158">
        <f>$E52*'11a. AF by class'!N48/'11a. AF by class'!$E48</f>
        <v>5169.3065022627507</v>
      </c>
      <c r="P52" s="32">
        <f>SUM(F52:O52)</f>
        <v>1235463.3991966995</v>
      </c>
      <c r="Q52" s="32">
        <f>E52-P52</f>
        <v>0</v>
      </c>
    </row>
    <row r="53" spans="1:17" x14ac:dyDescent="0.3">
      <c r="A53" s="157"/>
      <c r="B53" s="35" t="s">
        <v>1008</v>
      </c>
      <c r="C53" s="32" t="s">
        <v>1244</v>
      </c>
      <c r="D53" s="32" t="s">
        <v>1010</v>
      </c>
      <c r="E53" s="35">
        <f>'9b. Summary Schedules-sf'!AE199</f>
        <v>0</v>
      </c>
      <c r="F53" s="35">
        <f>$E53*'11a. AF by class'!F49/'11a. AF by class'!$E49</f>
        <v>0</v>
      </c>
      <c r="G53" s="35">
        <f>$E53*'11a. AF by class'!G49/'11a. AF by class'!$E49</f>
        <v>0</v>
      </c>
      <c r="H53" s="35">
        <f>$E53*'11a. AF by class'!H49/'11a. AF by class'!$E49</f>
        <v>0</v>
      </c>
      <c r="I53" s="35">
        <f>$E53*'11a. AF by class'!I49/'11a. AF by class'!$E49</f>
        <v>0</v>
      </c>
      <c r="J53" s="35">
        <f>$E53*'11a. AF by class'!J49/'11a. AF by class'!$E49</f>
        <v>0</v>
      </c>
      <c r="K53" s="35">
        <f>$E53*'11a. AF by class'!K49/'11a. AF by class'!$E49</f>
        <v>0</v>
      </c>
      <c r="L53" s="35">
        <f>$E53*'11a. AF by class'!L49/'11a. AF by class'!$E49</f>
        <v>0</v>
      </c>
      <c r="M53" s="35">
        <f>$E53*'11a. AF by class'!M49/'11a. AF by class'!$E49</f>
        <v>0</v>
      </c>
      <c r="N53" s="158">
        <f>$E53*'11a. AF by class'!N49/'11a. AF by class'!$E49</f>
        <v>0</v>
      </c>
      <c r="P53" s="32">
        <f>SUM(F53:O53)</f>
        <v>0</v>
      </c>
      <c r="Q53" s="32">
        <f>E53-P53</f>
        <v>0</v>
      </c>
    </row>
    <row r="54" spans="1:17" x14ac:dyDescent="0.3">
      <c r="A54" s="157"/>
      <c r="B54" s="35" t="s">
        <v>83</v>
      </c>
      <c r="E54" s="35">
        <f t="shared" ref="E54:N54" si="8">SUM(E51:E53)</f>
        <v>35015366.376924574</v>
      </c>
      <c r="F54" s="35">
        <f t="shared" si="8"/>
        <v>24744851.352300126</v>
      </c>
      <c r="G54" s="35">
        <f t="shared" si="8"/>
        <v>6095184.4119038116</v>
      </c>
      <c r="H54" s="35">
        <f t="shared" si="8"/>
        <v>3466256.4142028769</v>
      </c>
      <c r="I54" s="35">
        <f t="shared" si="8"/>
        <v>268226.90952215675</v>
      </c>
      <c r="J54" s="35">
        <f t="shared" si="8"/>
        <v>95207.526197465049</v>
      </c>
      <c r="K54" s="35">
        <f t="shared" si="8"/>
        <v>138991.50659795379</v>
      </c>
      <c r="L54" s="35">
        <f t="shared" si="8"/>
        <v>297.71228346089964</v>
      </c>
      <c r="M54" s="35">
        <f t="shared" si="8"/>
        <v>77269.132005413659</v>
      </c>
      <c r="N54" s="158">
        <f t="shared" si="8"/>
        <v>129081.41191131008</v>
      </c>
      <c r="P54" s="32">
        <f>SUM(F54:O54)</f>
        <v>35015366.376924567</v>
      </c>
      <c r="Q54" s="32">
        <f>E54-P54</f>
        <v>0</v>
      </c>
    </row>
    <row r="55" spans="1:17" x14ac:dyDescent="0.3">
      <c r="A55" s="157"/>
      <c r="B55" s="35"/>
      <c r="E55" s="35"/>
      <c r="F55" s="35"/>
      <c r="G55" s="35"/>
      <c r="H55" s="35"/>
      <c r="I55" s="35"/>
      <c r="J55" s="35"/>
      <c r="K55" s="35"/>
      <c r="L55" s="35"/>
      <c r="M55" s="35"/>
      <c r="N55" s="158"/>
    </row>
    <row r="56" spans="1:17" x14ac:dyDescent="0.3">
      <c r="A56" s="157" t="s">
        <v>912</v>
      </c>
      <c r="B56" s="35"/>
      <c r="E56" s="53"/>
      <c r="F56" s="35"/>
      <c r="G56" s="35"/>
      <c r="H56" s="35"/>
      <c r="I56" s="35"/>
      <c r="J56" s="35"/>
      <c r="K56" s="35"/>
      <c r="L56" s="35"/>
      <c r="M56" s="35"/>
      <c r="N56" s="158"/>
    </row>
    <row r="57" spans="1:17" x14ac:dyDescent="0.3">
      <c r="A57" s="157"/>
      <c r="B57" s="35" t="s">
        <v>1006</v>
      </c>
      <c r="C57" s="32" t="s">
        <v>1244</v>
      </c>
      <c r="D57" s="32" t="s">
        <v>1010</v>
      </c>
      <c r="E57" s="53">
        <f>'9b. Summary Schedules-sf'!AG199</f>
        <v>20591241.072095115</v>
      </c>
      <c r="F57" s="35">
        <f>$E57*'11a. AF by class'!F53/'11a. AF by class'!$E53</f>
        <v>7147736.6500918074</v>
      </c>
      <c r="G57" s="35">
        <f>$E57*'11a. AF by class'!G53/'11a. AF by class'!$E53</f>
        <v>1918022.250663829</v>
      </c>
      <c r="H57" s="35">
        <f>$E57*'11a. AF by class'!H53/'11a. AF by class'!$E53</f>
        <v>4661945.9755878961</v>
      </c>
      <c r="I57" s="35">
        <f>$E57*'11a. AF by class'!I53/'11a. AF by class'!$E53</f>
        <v>3025153.3335215119</v>
      </c>
      <c r="J57" s="35">
        <f>$E57*'11a. AF by class'!J53/'11a. AF by class'!$E53</f>
        <v>1459214.1936467958</v>
      </c>
      <c r="K57" s="35">
        <f>$E57*'11a. AF by class'!K53/'11a. AF by class'!$E53</f>
        <v>2288900.8977337182</v>
      </c>
      <c r="L57" s="35">
        <f>$E57*'11a. AF by class'!L53/'11a. AF by class'!$E53</f>
        <v>0</v>
      </c>
      <c r="M57" s="35">
        <f>$E57*'11a. AF by class'!M53/'11a. AF by class'!$E53</f>
        <v>4111.8908511265345</v>
      </c>
      <c r="N57" s="158">
        <f>$E57*'11a. AF by class'!N53/'11a. AF by class'!$E53</f>
        <v>86155.879998428267</v>
      </c>
      <c r="P57" s="32">
        <f>SUM(F57:O57)</f>
        <v>20591241.072095111</v>
      </c>
      <c r="Q57" s="32">
        <f>E57-P57</f>
        <v>0</v>
      </c>
    </row>
    <row r="58" spans="1:17" x14ac:dyDescent="0.3">
      <c r="A58" s="157"/>
      <c r="B58" s="35" t="s">
        <v>1014</v>
      </c>
      <c r="E58" s="53">
        <f t="shared" ref="E58:N58" si="9">SUM(E57:E57)</f>
        <v>20591241.072095115</v>
      </c>
      <c r="F58" s="35">
        <f t="shared" si="9"/>
        <v>7147736.6500918074</v>
      </c>
      <c r="G58" s="35">
        <f t="shared" si="9"/>
        <v>1918022.250663829</v>
      </c>
      <c r="H58" s="35">
        <f t="shared" si="9"/>
        <v>4661945.9755878961</v>
      </c>
      <c r="I58" s="35">
        <f t="shared" si="9"/>
        <v>3025153.3335215119</v>
      </c>
      <c r="J58" s="35">
        <f t="shared" si="9"/>
        <v>1459214.1936467958</v>
      </c>
      <c r="K58" s="35">
        <f t="shared" si="9"/>
        <v>2288900.8977337182</v>
      </c>
      <c r="L58" s="35">
        <f t="shared" si="9"/>
        <v>0</v>
      </c>
      <c r="M58" s="35">
        <f t="shared" si="9"/>
        <v>4111.8908511265345</v>
      </c>
      <c r="N58" s="158">
        <f t="shared" si="9"/>
        <v>86155.879998428267</v>
      </c>
      <c r="P58" s="32">
        <f>SUM(F58:O58)</f>
        <v>20591241.072095111</v>
      </c>
      <c r="Q58" s="32">
        <f>E58-P58</f>
        <v>0</v>
      </c>
    </row>
    <row r="59" spans="1:17" x14ac:dyDescent="0.3">
      <c r="A59" s="157"/>
      <c r="B59" s="35"/>
      <c r="E59" s="35"/>
      <c r="F59" s="35"/>
      <c r="G59" s="35"/>
      <c r="H59" s="35"/>
      <c r="I59" s="35"/>
      <c r="J59" s="35"/>
      <c r="K59" s="35"/>
      <c r="L59" s="35"/>
      <c r="M59" s="35"/>
      <c r="N59" s="158"/>
    </row>
    <row r="60" spans="1:17" x14ac:dyDescent="0.3">
      <c r="A60" s="157" t="s">
        <v>38</v>
      </c>
      <c r="B60" s="35"/>
      <c r="C60" s="32" t="s">
        <v>1244</v>
      </c>
      <c r="D60" s="32" t="s">
        <v>1010</v>
      </c>
      <c r="E60" s="35">
        <f>'9b. Summary Schedules-sf'!AH199</f>
        <v>-3851778.8473685486</v>
      </c>
      <c r="F60" s="35">
        <f>$E60*'11a. AF by class'!F56/'11a. AF by class'!$E56</f>
        <v>-1531948.7003703632</v>
      </c>
      <c r="G60" s="35">
        <f>$E60*'11a. AF by class'!G56/'11a. AF by class'!$E56</f>
        <v>-392717.45049932308</v>
      </c>
      <c r="H60" s="35">
        <f>$E60*'11a. AF by class'!H56/'11a. AF by class'!$E56</f>
        <v>-903118.54014045012</v>
      </c>
      <c r="I60" s="35">
        <f>$E60*'11a. AF by class'!I56/'11a. AF by class'!$E56</f>
        <v>-507907.56621779496</v>
      </c>
      <c r="J60" s="35">
        <f>$E60*'11a. AF by class'!J56/'11a. AF by class'!$E56</f>
        <v>-220301.66814533557</v>
      </c>
      <c r="K60" s="35">
        <f>$E60*'11a. AF by class'!K56/'11a. AF by class'!$E56</f>
        <v>-295777.73798670288</v>
      </c>
      <c r="L60" s="35">
        <f>$E60*'11a. AF by class'!L56/'11a. AF by class'!$E56</f>
        <v>0</v>
      </c>
      <c r="M60" s="35">
        <f>$E60*'11a. AF by class'!M56/'11a. AF by class'!$E56</f>
        <v>0</v>
      </c>
      <c r="N60" s="158">
        <f>$E60*'11a. AF by class'!N56/'11a. AF by class'!$E56</f>
        <v>-7.184008578398358</v>
      </c>
      <c r="P60" s="32">
        <f>SUM(F60:O60)</f>
        <v>-3851778.8473685482</v>
      </c>
      <c r="Q60" s="32">
        <f>E60-P60</f>
        <v>0</v>
      </c>
    </row>
    <row r="61" spans="1:17" x14ac:dyDescent="0.3">
      <c r="A61" s="157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158"/>
    </row>
    <row r="62" spans="1:17" x14ac:dyDescent="0.3">
      <c r="A62" s="157" t="s">
        <v>41</v>
      </c>
      <c r="B62" s="35"/>
      <c r="C62" s="35"/>
      <c r="D62" s="35"/>
      <c r="E62" s="35">
        <f>SUM(E18,E20,E22,E41,E46,E48,E54,E58,E60)</f>
        <v>1636014930.0838621</v>
      </c>
      <c r="F62" s="35">
        <f t="shared" ref="F62:N62" si="10">SUM(F18,F20,F22,F41,F46,F48,F54,F58,F60)</f>
        <v>677793748.970245</v>
      </c>
      <c r="G62" s="35">
        <f t="shared" si="10"/>
        <v>188473088.96436226</v>
      </c>
      <c r="H62" s="35">
        <f t="shared" si="10"/>
        <v>330869835.51176822</v>
      </c>
      <c r="I62" s="35">
        <f t="shared" si="10"/>
        <v>186364191.35544968</v>
      </c>
      <c r="J62" s="35">
        <f t="shared" si="10"/>
        <v>80925475.506830588</v>
      </c>
      <c r="K62" s="35">
        <f t="shared" si="10"/>
        <v>121973835.8017773</v>
      </c>
      <c r="L62" s="35">
        <f t="shared" si="10"/>
        <v>24995929.434753451</v>
      </c>
      <c r="M62" s="35">
        <f t="shared" si="10"/>
        <v>634511.02144076547</v>
      </c>
      <c r="N62" s="158">
        <f t="shared" si="10"/>
        <v>23984313.517234623</v>
      </c>
      <c r="P62" s="32">
        <f>SUM(F62:O62)</f>
        <v>1636014930.0838618</v>
      </c>
      <c r="Q62" s="32">
        <f>E62-P62</f>
        <v>0</v>
      </c>
    </row>
    <row r="63" spans="1:17" x14ac:dyDescent="0.3">
      <c r="A63" s="157" t="s">
        <v>163</v>
      </c>
      <c r="B63" s="35"/>
      <c r="C63" s="35"/>
      <c r="D63" s="35"/>
      <c r="E63" s="118">
        <f>SUM(F63:N63)</f>
        <v>1604657246.9699612</v>
      </c>
      <c r="F63" s="348">
        <f>'11c. Cust &amp; Demand Array'!F49</f>
        <v>621287195</v>
      </c>
      <c r="G63" s="348">
        <f>'11c. Cust &amp; Demand Array'!G49</f>
        <v>159267946.23689997</v>
      </c>
      <c r="H63" s="348">
        <f>'11c. Cust &amp; Demand Array'!H49</f>
        <v>366262907.12</v>
      </c>
      <c r="I63" s="348">
        <f>'11c. Cust &amp; Demand Array'!I49</f>
        <v>205983703.67000002</v>
      </c>
      <c r="J63" s="348">
        <f>'11c. Cust &amp; Demand Array'!J49</f>
        <v>89344118</v>
      </c>
      <c r="K63" s="348">
        <f>'11c. Cust &amp; Demand Array'!K49</f>
        <v>119953704.15000001</v>
      </c>
      <c r="L63" s="348">
        <f>'11c. Cust &amp; Demand Array'!L49</f>
        <v>22525601.027860761</v>
      </c>
      <c r="M63" s="348">
        <f>'11c. Cust &amp; Demand Array'!M49</f>
        <v>453406.09520000004</v>
      </c>
      <c r="N63" s="349">
        <f>'11c. Cust &amp; Demand Array'!N49</f>
        <v>19578665.670000002</v>
      </c>
      <c r="P63" s="32">
        <f>SUM(F63:O63)</f>
        <v>1604657246.9699612</v>
      </c>
      <c r="Q63" s="32">
        <f>E63-P63</f>
        <v>0</v>
      </c>
    </row>
    <row r="64" spans="1:17" x14ac:dyDescent="0.3">
      <c r="A64" s="157" t="s">
        <v>36</v>
      </c>
      <c r="B64" s="35"/>
      <c r="C64" s="35"/>
      <c r="D64" s="35"/>
      <c r="E64" s="35">
        <f t="shared" ref="E64:N64" si="11">E62-E63</f>
        <v>31357683.1139009</v>
      </c>
      <c r="F64" s="35">
        <f t="shared" si="11"/>
        <v>56506553.970245004</v>
      </c>
      <c r="G64" s="35">
        <f t="shared" si="11"/>
        <v>29205142.727462292</v>
      </c>
      <c r="H64" s="35">
        <f t="shared" si="11"/>
        <v>-35393071.608231783</v>
      </c>
      <c r="I64" s="35">
        <f t="shared" si="11"/>
        <v>-19619512.31455034</v>
      </c>
      <c r="J64" s="35">
        <f t="shared" si="11"/>
        <v>-8418642.493169412</v>
      </c>
      <c r="K64" s="35">
        <f t="shared" si="11"/>
        <v>2020131.6517772973</v>
      </c>
      <c r="L64" s="35">
        <f t="shared" si="11"/>
        <v>2470328.4068926908</v>
      </c>
      <c r="M64" s="35">
        <f t="shared" si="11"/>
        <v>181104.92624076543</v>
      </c>
      <c r="N64" s="158">
        <f t="shared" si="11"/>
        <v>4405647.8472346216</v>
      </c>
      <c r="P64" s="32">
        <f>SUM(F64:O64)</f>
        <v>31357683.113901135</v>
      </c>
      <c r="Q64" s="32">
        <f>E64-P64</f>
        <v>-2.3469328880310059E-7</v>
      </c>
    </row>
    <row r="65" spans="1:15" x14ac:dyDescent="0.3">
      <c r="A65" s="157" t="s">
        <v>37</v>
      </c>
      <c r="B65" s="35"/>
      <c r="C65" s="35"/>
      <c r="D65" s="35"/>
      <c r="E65" s="316">
        <f t="shared" ref="E65:M65" si="12">E64/E63</f>
        <v>1.954167045524078E-2</v>
      </c>
      <c r="F65" s="316">
        <f t="shared" si="12"/>
        <v>9.0950778359829232E-2</v>
      </c>
      <c r="G65" s="316">
        <f t="shared" si="12"/>
        <v>0.18337112656693441</v>
      </c>
      <c r="H65" s="316">
        <f t="shared" si="12"/>
        <v>-9.6632967521976851E-2</v>
      </c>
      <c r="I65" s="316">
        <f t="shared" si="12"/>
        <v>-9.5247885949182376E-2</v>
      </c>
      <c r="J65" s="316">
        <f t="shared" si="12"/>
        <v>-9.4227159902898275E-2</v>
      </c>
      <c r="K65" s="316">
        <f t="shared" si="12"/>
        <v>1.6840927640309949E-2</v>
      </c>
      <c r="L65" s="316">
        <f t="shared" si="12"/>
        <v>0.10966759128146096</v>
      </c>
      <c r="M65" s="316">
        <f t="shared" si="12"/>
        <v>0.39943205033641865</v>
      </c>
      <c r="N65" s="317">
        <f>N64/N63</f>
        <v>0.22502288570080176</v>
      </c>
    </row>
    <row r="66" spans="1:15" x14ac:dyDescent="0.3">
      <c r="A66" s="157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158"/>
    </row>
    <row r="67" spans="1:15" x14ac:dyDescent="0.3">
      <c r="A67" s="157" t="s">
        <v>983</v>
      </c>
      <c r="B67" s="35"/>
      <c r="C67" s="35"/>
      <c r="D67" s="35"/>
      <c r="E67" s="35">
        <f>E62</f>
        <v>1636014930.0838621</v>
      </c>
      <c r="F67" s="35">
        <f>F62</f>
        <v>677793748.970245</v>
      </c>
      <c r="G67" s="35">
        <f t="shared" ref="G67:N67" si="13">G62</f>
        <v>188473088.96436226</v>
      </c>
      <c r="H67" s="35">
        <f t="shared" si="13"/>
        <v>330869835.51176822</v>
      </c>
      <c r="I67" s="35">
        <f t="shared" si="13"/>
        <v>186364191.35544968</v>
      </c>
      <c r="J67" s="35">
        <f t="shared" si="13"/>
        <v>80925475.506830588</v>
      </c>
      <c r="K67" s="35">
        <f t="shared" si="13"/>
        <v>121973835.8017773</v>
      </c>
      <c r="L67" s="35">
        <f t="shared" si="13"/>
        <v>24995929.434753451</v>
      </c>
      <c r="M67" s="35">
        <f t="shared" si="13"/>
        <v>634511.02144076547</v>
      </c>
      <c r="N67" s="158">
        <f t="shared" si="13"/>
        <v>23984313.517234623</v>
      </c>
    </row>
    <row r="68" spans="1:15" x14ac:dyDescent="0.3">
      <c r="A68" s="157" t="s">
        <v>22</v>
      </c>
      <c r="B68" s="35"/>
      <c r="C68" s="35"/>
      <c r="D68" s="35"/>
      <c r="E68" s="35">
        <f>SUM(F68:N68)</f>
        <v>22390001572</v>
      </c>
      <c r="F68" s="35">
        <f>'11a. AF by class'!F13</f>
        <v>7586279228</v>
      </c>
      <c r="G68" s="35">
        <f>'11a. AF by class'!G13</f>
        <v>2035700680</v>
      </c>
      <c r="H68" s="35">
        <f>'11a. AF by class'!H13</f>
        <v>4947975233</v>
      </c>
      <c r="I68" s="35">
        <f>'11a. AF by class'!I13</f>
        <v>3213077429.0000005</v>
      </c>
      <c r="J68" s="35">
        <f>'11a. AF by class'!J13</f>
        <v>1555051374</v>
      </c>
      <c r="K68" s="35">
        <f>'11a. AF by class'!K13</f>
        <v>2490036504</v>
      </c>
      <c r="L68" s="35">
        <f>'11a. AF by class'!L13</f>
        <v>466075060</v>
      </c>
      <c r="M68" s="35">
        <f>'11a. AF by class'!M13</f>
        <v>4364172</v>
      </c>
      <c r="N68" s="158">
        <f>'11a. AF by class'!N13</f>
        <v>91441892</v>
      </c>
    </row>
    <row r="69" spans="1:15" x14ac:dyDescent="0.3">
      <c r="A69" s="157" t="s">
        <v>23</v>
      </c>
      <c r="B69" s="35"/>
      <c r="C69" s="35"/>
      <c r="D69" s="35"/>
      <c r="E69" s="160">
        <f>E67/E68*100</f>
        <v>7.3068995766833442</v>
      </c>
      <c r="F69" s="160">
        <f>F67/F68*100</f>
        <v>8.9344687771126825</v>
      </c>
      <c r="G69" s="160">
        <f t="shared" ref="G69:N69" si="14">G67/G68*100</f>
        <v>9.2583890557212118</v>
      </c>
      <c r="H69" s="160">
        <f t="shared" si="14"/>
        <v>6.6869743669100572</v>
      </c>
      <c r="I69" s="160">
        <f t="shared" si="14"/>
        <v>5.8001774147550318</v>
      </c>
      <c r="J69" s="160">
        <f t="shared" si="14"/>
        <v>5.2040387127962875</v>
      </c>
      <c r="K69" s="160">
        <f t="shared" si="14"/>
        <v>4.8984758097256114</v>
      </c>
      <c r="L69" s="160">
        <f t="shared" si="14"/>
        <v>5.3630695096093435</v>
      </c>
      <c r="M69" s="160">
        <f t="shared" si="14"/>
        <v>14.539092901030607</v>
      </c>
      <c r="N69" s="350">
        <f t="shared" si="14"/>
        <v>26.229021504973478</v>
      </c>
    </row>
    <row r="70" spans="1:15" x14ac:dyDescent="0.3">
      <c r="A70" s="157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158"/>
    </row>
    <row r="71" spans="1:15" x14ac:dyDescent="0.3">
      <c r="A71" s="157" t="s">
        <v>39</v>
      </c>
      <c r="B71" s="35"/>
      <c r="C71" s="35"/>
      <c r="D71" s="35"/>
      <c r="E71" s="35">
        <f>E63</f>
        <v>1604657246.9699612</v>
      </c>
      <c r="F71" s="35">
        <f>F63</f>
        <v>621287195</v>
      </c>
      <c r="G71" s="35">
        <f t="shared" ref="G71:N71" si="15">G63</f>
        <v>159267946.23689997</v>
      </c>
      <c r="H71" s="35">
        <f t="shared" si="15"/>
        <v>366262907.12</v>
      </c>
      <c r="I71" s="35">
        <f t="shared" si="15"/>
        <v>205983703.67000002</v>
      </c>
      <c r="J71" s="35">
        <f t="shared" si="15"/>
        <v>89344118</v>
      </c>
      <c r="K71" s="35">
        <f t="shared" si="15"/>
        <v>119953704.15000001</v>
      </c>
      <c r="L71" s="35">
        <f t="shared" si="15"/>
        <v>22525601.027860761</v>
      </c>
      <c r="M71" s="35">
        <f t="shared" si="15"/>
        <v>453406.09520000004</v>
      </c>
      <c r="N71" s="158">
        <f t="shared" si="15"/>
        <v>19578665.670000002</v>
      </c>
    </row>
    <row r="72" spans="1:15" x14ac:dyDescent="0.3">
      <c r="A72" s="157" t="s">
        <v>22</v>
      </c>
      <c r="B72" s="35"/>
      <c r="C72" s="35"/>
      <c r="D72" s="35"/>
      <c r="E72" s="35">
        <f>E68</f>
        <v>22390001572</v>
      </c>
      <c r="F72" s="35">
        <f>F68</f>
        <v>7586279228</v>
      </c>
      <c r="G72" s="35">
        <f t="shared" ref="G72:N72" si="16">G68</f>
        <v>2035700680</v>
      </c>
      <c r="H72" s="35">
        <f t="shared" si="16"/>
        <v>4947975233</v>
      </c>
      <c r="I72" s="35">
        <f t="shared" si="16"/>
        <v>3213077429.0000005</v>
      </c>
      <c r="J72" s="35">
        <f t="shared" si="16"/>
        <v>1555051374</v>
      </c>
      <c r="K72" s="35">
        <f t="shared" si="16"/>
        <v>2490036504</v>
      </c>
      <c r="L72" s="35">
        <f t="shared" si="16"/>
        <v>466075060</v>
      </c>
      <c r="M72" s="35">
        <f t="shared" si="16"/>
        <v>4364172</v>
      </c>
      <c r="N72" s="158">
        <f t="shared" si="16"/>
        <v>91441892</v>
      </c>
    </row>
    <row r="73" spans="1:15" ht="13.5" thickBot="1" x14ac:dyDescent="0.35">
      <c r="A73" s="33" t="s">
        <v>23</v>
      </c>
      <c r="B73" s="34"/>
      <c r="C73" s="34"/>
      <c r="D73" s="34"/>
      <c r="E73" s="318">
        <f>E71/E72*100</f>
        <v>7.1668474064632424</v>
      </c>
      <c r="F73" s="318">
        <f>F71/F72*100</f>
        <v>8.1896167584618738</v>
      </c>
      <c r="G73" s="318">
        <f t="shared" ref="G73:N73" si="17">G71/G72*100</f>
        <v>7.8237408771165695</v>
      </c>
      <c r="H73" s="318">
        <f t="shared" si="17"/>
        <v>7.4022785053014832</v>
      </c>
      <c r="I73" s="318">
        <f t="shared" si="17"/>
        <v>6.4107917789615136</v>
      </c>
      <c r="J73" s="318">
        <f t="shared" si="17"/>
        <v>5.7454126271200607</v>
      </c>
      <c r="K73" s="318">
        <f t="shared" si="17"/>
        <v>4.8173472138784357</v>
      </c>
      <c r="L73" s="318">
        <f t="shared" si="17"/>
        <v>4.8330414907548924</v>
      </c>
      <c r="M73" s="318">
        <f t="shared" si="17"/>
        <v>10.389281064082718</v>
      </c>
      <c r="N73" s="319">
        <f t="shared" si="17"/>
        <v>21.411046120961714</v>
      </c>
    </row>
    <row r="74" spans="1:15" ht="13.5" thickBot="1" x14ac:dyDescent="0.35">
      <c r="A74" s="157"/>
      <c r="B74" s="35"/>
      <c r="C74" s="35"/>
      <c r="D74" s="35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35"/>
    </row>
    <row r="75" spans="1:15" x14ac:dyDescent="0.3">
      <c r="A75" s="301" t="str">
        <f>'1. RB-i'!$A$1</f>
        <v>CPS Energy</v>
      </c>
      <c r="B75" s="302"/>
      <c r="C75" s="302"/>
      <c r="D75" s="302"/>
      <c r="E75" s="302"/>
      <c r="F75" s="302"/>
      <c r="G75" s="302"/>
      <c r="H75" s="302"/>
      <c r="I75" s="302"/>
      <c r="J75" s="302"/>
      <c r="K75" s="302"/>
      <c r="L75" s="302"/>
      <c r="M75" s="302"/>
      <c r="N75" s="303"/>
    </row>
    <row r="76" spans="1:15" x14ac:dyDescent="0.3">
      <c r="A76" s="307" t="s">
        <v>1317</v>
      </c>
      <c r="B76" s="288"/>
      <c r="C76" s="288"/>
      <c r="D76" s="288"/>
      <c r="E76" s="288"/>
      <c r="F76" s="288"/>
      <c r="G76" s="288"/>
      <c r="H76" s="288"/>
      <c r="I76" s="288"/>
      <c r="J76" s="288"/>
      <c r="K76" s="288"/>
      <c r="L76" s="288"/>
      <c r="M76" s="288"/>
      <c r="N76" s="298"/>
    </row>
    <row r="77" spans="1:15" x14ac:dyDescent="0.3">
      <c r="A77" s="307" t="s">
        <v>1275</v>
      </c>
      <c r="B77" s="288"/>
      <c r="C77" s="288"/>
      <c r="D77" s="288"/>
      <c r="E77" s="288"/>
      <c r="F77" s="288"/>
      <c r="G77" s="288"/>
      <c r="H77" s="288"/>
      <c r="I77" s="288"/>
      <c r="J77" s="288"/>
      <c r="K77" s="288"/>
      <c r="L77" s="288"/>
      <c r="M77" s="288"/>
      <c r="N77" s="298"/>
    </row>
    <row r="78" spans="1:15" x14ac:dyDescent="0.3">
      <c r="A78" s="304"/>
      <c r="B78" s="196"/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305"/>
    </row>
    <row r="79" spans="1:15" x14ac:dyDescent="0.3">
      <c r="A79" s="304"/>
      <c r="B79" s="196"/>
      <c r="C79" s="196"/>
      <c r="D79" s="196"/>
      <c r="E79" s="196"/>
      <c r="F79" s="196"/>
      <c r="G79" s="196"/>
      <c r="H79" s="199"/>
      <c r="I79" s="199"/>
      <c r="J79" s="199"/>
      <c r="K79" s="196"/>
      <c r="L79" s="196"/>
      <c r="M79" s="196"/>
      <c r="N79" s="305"/>
    </row>
    <row r="80" spans="1:15" x14ac:dyDescent="0.3">
      <c r="A80" s="304"/>
      <c r="B80" s="289" t="s">
        <v>359</v>
      </c>
      <c r="C80" s="404" t="s">
        <v>1337</v>
      </c>
      <c r="D80" s="404"/>
      <c r="E80" s="196" t="s">
        <v>355</v>
      </c>
      <c r="F80" s="196" t="s">
        <v>961</v>
      </c>
      <c r="G80" s="196" t="s">
        <v>962</v>
      </c>
      <c r="H80" s="196" t="s">
        <v>963</v>
      </c>
      <c r="I80" s="196" t="s">
        <v>964</v>
      </c>
      <c r="J80" s="196" t="s">
        <v>965</v>
      </c>
      <c r="K80" s="196" t="s">
        <v>966</v>
      </c>
      <c r="L80" s="196" t="s">
        <v>967</v>
      </c>
      <c r="M80" s="196" t="s">
        <v>968</v>
      </c>
      <c r="N80" s="305" t="s">
        <v>932</v>
      </c>
    </row>
    <row r="81" spans="1:14" ht="13.5" thickBot="1" x14ac:dyDescent="0.35">
      <c r="A81" s="299"/>
      <c r="B81" s="282"/>
      <c r="C81" s="405" t="s">
        <v>248</v>
      </c>
      <c r="D81" s="405" t="s">
        <v>1243</v>
      </c>
      <c r="E81" s="282" t="s">
        <v>816</v>
      </c>
      <c r="F81" s="282" t="s">
        <v>817</v>
      </c>
      <c r="G81" s="282" t="s">
        <v>818</v>
      </c>
      <c r="H81" s="282" t="s">
        <v>819</v>
      </c>
      <c r="I81" s="282" t="s">
        <v>820</v>
      </c>
      <c r="J81" s="282" t="s">
        <v>821</v>
      </c>
      <c r="K81" s="282" t="s">
        <v>822</v>
      </c>
      <c r="L81" s="282" t="s">
        <v>823</v>
      </c>
      <c r="M81" s="282" t="s">
        <v>908</v>
      </c>
      <c r="N81" s="300" t="s">
        <v>914</v>
      </c>
    </row>
    <row r="82" spans="1:14" x14ac:dyDescent="0.3">
      <c r="A82" s="157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158"/>
    </row>
    <row r="83" spans="1:14" x14ac:dyDescent="0.3">
      <c r="A83" s="157" t="s">
        <v>544</v>
      </c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158"/>
    </row>
    <row r="84" spans="1:14" x14ac:dyDescent="0.3">
      <c r="A84" s="157"/>
      <c r="B84" s="35" t="s">
        <v>969</v>
      </c>
      <c r="C84" s="32" t="s">
        <v>1244</v>
      </c>
      <c r="D84" s="32" t="s">
        <v>928</v>
      </c>
      <c r="E84" s="36">
        <f t="shared" ref="E84:N84" si="18">E10/E$138*100</f>
        <v>2.5319783533301834</v>
      </c>
      <c r="F84" s="36">
        <f t="shared" si="18"/>
        <v>2.9748018965802081</v>
      </c>
      <c r="G84" s="36">
        <f t="shared" si="18"/>
        <v>3.2869742931243313</v>
      </c>
      <c r="H84" s="36">
        <f t="shared" si="18"/>
        <v>2.3951517447987314</v>
      </c>
      <c r="I84" s="36">
        <f t="shared" si="18"/>
        <v>2.1639965433372823</v>
      </c>
      <c r="J84" s="36">
        <f t="shared" si="18"/>
        <v>1.8792771344053529</v>
      </c>
      <c r="K84" s="36">
        <f t="shared" si="18"/>
        <v>1.7387637788325705</v>
      </c>
      <c r="L84" s="36">
        <f t="shared" si="18"/>
        <v>2.4181379677366213</v>
      </c>
      <c r="M84" s="36">
        <f t="shared" si="18"/>
        <v>1.3883445581730749</v>
      </c>
      <c r="N84" s="351">
        <f t="shared" si="18"/>
        <v>2.6545291287887145</v>
      </c>
    </row>
    <row r="85" spans="1:14" x14ac:dyDescent="0.3">
      <c r="A85" s="157"/>
      <c r="B85" s="35" t="s">
        <v>970</v>
      </c>
      <c r="C85" s="32" t="s">
        <v>1244</v>
      </c>
      <c r="D85" s="32" t="s">
        <v>927</v>
      </c>
      <c r="E85" s="36">
        <f t="shared" ref="E85:N85" si="19">E15/E$138*100</f>
        <v>0.53107781563020962</v>
      </c>
      <c r="F85" s="36">
        <f t="shared" si="19"/>
        <v>0.5332272970034897</v>
      </c>
      <c r="G85" s="36">
        <f t="shared" si="19"/>
        <v>0.5332272970034897</v>
      </c>
      <c r="H85" s="36">
        <f t="shared" si="19"/>
        <v>0.53322729700348959</v>
      </c>
      <c r="I85" s="36">
        <f t="shared" si="19"/>
        <v>0.5328424976476378</v>
      </c>
      <c r="J85" s="36">
        <f t="shared" si="19"/>
        <v>0.5310641175879991</v>
      </c>
      <c r="K85" s="36">
        <f t="shared" si="19"/>
        <v>0.52022824754392172</v>
      </c>
      <c r="L85" s="36">
        <f t="shared" si="19"/>
        <v>0.50928579194237078</v>
      </c>
      <c r="M85" s="36">
        <f t="shared" si="19"/>
        <v>0.53322729700348981</v>
      </c>
      <c r="N85" s="351">
        <f t="shared" si="19"/>
        <v>0.5332272970034897</v>
      </c>
    </row>
    <row r="86" spans="1:14" x14ac:dyDescent="0.3">
      <c r="A86" s="157"/>
      <c r="B86" s="35" t="s">
        <v>971</v>
      </c>
      <c r="E86" s="36">
        <f t="shared" ref="E86:N86" si="20">E16/E$138*100</f>
        <v>3.0630561689603928</v>
      </c>
      <c r="F86" s="36">
        <f t="shared" si="20"/>
        <v>3.5080291935836976</v>
      </c>
      <c r="G86" s="36">
        <f t="shared" si="20"/>
        <v>3.8202015901278203</v>
      </c>
      <c r="H86" s="36">
        <f t="shared" si="20"/>
        <v>2.9283790418022213</v>
      </c>
      <c r="I86" s="36">
        <f t="shared" si="20"/>
        <v>2.6968390409849201</v>
      </c>
      <c r="J86" s="36">
        <f t="shared" si="20"/>
        <v>2.4103412519933523</v>
      </c>
      <c r="K86" s="36">
        <f t="shared" si="20"/>
        <v>2.2589920263764918</v>
      </c>
      <c r="L86" s="36">
        <f t="shared" si="20"/>
        <v>2.9274237596789923</v>
      </c>
      <c r="M86" s="36">
        <f t="shared" si="20"/>
        <v>1.9215718551765646</v>
      </c>
      <c r="N86" s="351">
        <f t="shared" si="20"/>
        <v>3.1877564257922049</v>
      </c>
    </row>
    <row r="87" spans="1:14" x14ac:dyDescent="0.3">
      <c r="A87" s="157"/>
      <c r="B87" s="35" t="s">
        <v>617</v>
      </c>
      <c r="C87" s="32" t="s">
        <v>1244</v>
      </c>
      <c r="D87" s="32" t="s">
        <v>927</v>
      </c>
      <c r="E87" s="36">
        <f t="shared" ref="E87:N87" si="21">E17/E$138*100</f>
        <v>1.6465116279069769</v>
      </c>
      <c r="F87" s="36">
        <f t="shared" si="21"/>
        <v>1.6465116279069765</v>
      </c>
      <c r="G87" s="36">
        <f t="shared" si="21"/>
        <v>1.6465116279069769</v>
      </c>
      <c r="H87" s="36">
        <f t="shared" si="21"/>
        <v>1.6465116279069769</v>
      </c>
      <c r="I87" s="36">
        <f t="shared" si="21"/>
        <v>1.6465116279069769</v>
      </c>
      <c r="J87" s="36">
        <f t="shared" si="21"/>
        <v>1.6465116279069765</v>
      </c>
      <c r="K87" s="36">
        <f t="shared" si="21"/>
        <v>1.6465116279069769</v>
      </c>
      <c r="L87" s="36">
        <f t="shared" si="21"/>
        <v>1.6465116279069765</v>
      </c>
      <c r="M87" s="36">
        <f t="shared" si="21"/>
        <v>1.6465116279069769</v>
      </c>
      <c r="N87" s="351">
        <f t="shared" si="21"/>
        <v>1.6465116279069769</v>
      </c>
    </row>
    <row r="88" spans="1:14" x14ac:dyDescent="0.3">
      <c r="A88" s="157"/>
      <c r="B88" s="35" t="s">
        <v>972</v>
      </c>
      <c r="E88" s="36">
        <f t="shared" ref="E88:N88" si="22">E18/E$138*100</f>
        <v>4.7095677968673693</v>
      </c>
      <c r="F88" s="36">
        <f t="shared" si="22"/>
        <v>5.1545408214906745</v>
      </c>
      <c r="G88" s="36">
        <f t="shared" si="22"/>
        <v>5.4667132180347977</v>
      </c>
      <c r="H88" s="36">
        <f t="shared" si="22"/>
        <v>4.5748906697091982</v>
      </c>
      <c r="I88" s="36">
        <f t="shared" si="22"/>
        <v>4.3433506688918966</v>
      </c>
      <c r="J88" s="36">
        <f t="shared" si="22"/>
        <v>4.0568528799003287</v>
      </c>
      <c r="K88" s="36">
        <f t="shared" si="22"/>
        <v>3.9055036542834687</v>
      </c>
      <c r="L88" s="36">
        <f t="shared" si="22"/>
        <v>4.5739353875859683</v>
      </c>
      <c r="M88" s="36">
        <f t="shared" si="22"/>
        <v>3.5680834830835417</v>
      </c>
      <c r="N88" s="351">
        <f t="shared" si="22"/>
        <v>4.8342680536991809</v>
      </c>
    </row>
    <row r="89" spans="1:14" x14ac:dyDescent="0.3">
      <c r="A89" s="157"/>
      <c r="B89" s="35"/>
      <c r="E89" s="35"/>
      <c r="F89" s="35"/>
      <c r="G89" s="35"/>
      <c r="H89" s="35"/>
      <c r="I89" s="35"/>
      <c r="J89" s="35"/>
      <c r="K89" s="35"/>
      <c r="L89" s="35"/>
      <c r="M89" s="35"/>
      <c r="N89" s="158"/>
    </row>
    <row r="90" spans="1:14" x14ac:dyDescent="0.3">
      <c r="A90" s="157" t="s">
        <v>984</v>
      </c>
      <c r="B90" s="35"/>
      <c r="C90" s="32" t="s">
        <v>1244</v>
      </c>
      <c r="D90" s="32" t="s">
        <v>928</v>
      </c>
      <c r="E90" s="36">
        <f t="shared" ref="E90:N90" si="23">E20/E$138*100</f>
        <v>0.13887658102402298</v>
      </c>
      <c r="F90" s="36">
        <f t="shared" si="23"/>
        <v>0.16316412457145793</v>
      </c>
      <c r="G90" s="36">
        <f t="shared" si="23"/>
        <v>0.18028584328230551</v>
      </c>
      <c r="H90" s="36">
        <f t="shared" si="23"/>
        <v>0.13137290245581973</v>
      </c>
      <c r="I90" s="36">
        <f t="shared" si="23"/>
        <v>0.11869420103282052</v>
      </c>
      <c r="J90" s="36">
        <f t="shared" si="23"/>
        <v>0.10307825753969456</v>
      </c>
      <c r="K90" s="36">
        <f t="shared" si="23"/>
        <v>9.5367460230026749E-2</v>
      </c>
      <c r="L90" s="36">
        <f t="shared" si="23"/>
        <v>0.13263057612382043</v>
      </c>
      <c r="M90" s="36">
        <f t="shared" si="23"/>
        <v>7.8374352664973945E-2</v>
      </c>
      <c r="N90" s="351">
        <f t="shared" si="23"/>
        <v>0.1455397772462009</v>
      </c>
    </row>
    <row r="91" spans="1:14" x14ac:dyDescent="0.3">
      <c r="A91" s="157"/>
      <c r="B91" s="35"/>
      <c r="E91" s="35"/>
      <c r="F91" s="35"/>
      <c r="G91" s="35"/>
      <c r="H91" s="35"/>
      <c r="I91" s="35"/>
      <c r="J91" s="35"/>
      <c r="K91" s="35"/>
      <c r="L91" s="35"/>
      <c r="M91" s="35"/>
      <c r="N91" s="158"/>
    </row>
    <row r="92" spans="1:14" x14ac:dyDescent="0.3">
      <c r="A92" s="157" t="s">
        <v>366</v>
      </c>
      <c r="B92" s="35"/>
      <c r="C92" s="32" t="s">
        <v>1244</v>
      </c>
      <c r="D92" s="32" t="s">
        <v>928</v>
      </c>
      <c r="E92" s="36">
        <f t="shared" ref="E92:N92" si="24">E22/E$138*100</f>
        <v>0.31272135784910787</v>
      </c>
      <c r="F92" s="36">
        <f t="shared" si="24"/>
        <v>0.3890227134822361</v>
      </c>
      <c r="G92" s="36">
        <f t="shared" si="24"/>
        <v>0.32906545712002516</v>
      </c>
      <c r="H92" s="36">
        <f t="shared" si="24"/>
        <v>0.28053944871240105</v>
      </c>
      <c r="I92" s="36">
        <f t="shared" si="24"/>
        <v>0.29004857626267183</v>
      </c>
      <c r="J92" s="36">
        <f t="shared" si="24"/>
        <v>0.23755759946875282</v>
      </c>
      <c r="K92" s="36">
        <f t="shared" si="24"/>
        <v>0.21845747397186258</v>
      </c>
      <c r="L92" s="36">
        <f t="shared" si="24"/>
        <v>0.31438361551521687</v>
      </c>
      <c r="M92" s="36">
        <f t="shared" si="24"/>
        <v>0.17402889019809029</v>
      </c>
      <c r="N92" s="351">
        <f t="shared" si="24"/>
        <v>0</v>
      </c>
    </row>
    <row r="93" spans="1:14" x14ac:dyDescent="0.3">
      <c r="A93" s="157"/>
      <c r="B93" s="35"/>
      <c r="E93" s="35"/>
      <c r="F93" s="35"/>
      <c r="G93" s="35"/>
      <c r="H93" s="35"/>
      <c r="I93" s="35"/>
      <c r="J93" s="35"/>
      <c r="K93" s="35"/>
      <c r="L93" s="35"/>
      <c r="M93" s="35"/>
      <c r="N93" s="158"/>
    </row>
    <row r="94" spans="1:14" x14ac:dyDescent="0.3">
      <c r="A94" s="157" t="s">
        <v>367</v>
      </c>
      <c r="B94" s="35"/>
      <c r="E94" s="35"/>
      <c r="F94" s="35"/>
      <c r="G94" s="35"/>
      <c r="H94" s="35"/>
      <c r="I94" s="35"/>
      <c r="J94" s="35"/>
      <c r="K94" s="35"/>
      <c r="L94" s="35"/>
      <c r="M94" s="35"/>
      <c r="N94" s="158"/>
    </row>
    <row r="95" spans="1:14" x14ac:dyDescent="0.3">
      <c r="A95" s="157"/>
      <c r="B95" s="35" t="s">
        <v>973</v>
      </c>
      <c r="E95" s="35"/>
      <c r="F95" s="35"/>
      <c r="G95" s="35"/>
      <c r="H95" s="35"/>
      <c r="I95" s="35"/>
      <c r="J95" s="35"/>
      <c r="K95" s="35"/>
      <c r="L95" s="35"/>
      <c r="M95" s="35"/>
      <c r="N95" s="158"/>
    </row>
    <row r="96" spans="1:14" x14ac:dyDescent="0.3">
      <c r="A96" s="157"/>
      <c r="B96" s="35" t="s">
        <v>974</v>
      </c>
      <c r="C96" s="32" t="s">
        <v>1244</v>
      </c>
      <c r="D96" s="32" t="s">
        <v>928</v>
      </c>
      <c r="E96" s="36">
        <f t="shared" ref="E96:N96" si="25">E26/E$138*100</f>
        <v>0.33366532886985695</v>
      </c>
      <c r="F96" s="36">
        <f t="shared" si="25"/>
        <v>0.39710302569660955</v>
      </c>
      <c r="G96" s="36">
        <f t="shared" si="25"/>
        <v>0.44157724476256344</v>
      </c>
      <c r="H96" s="36">
        <f t="shared" si="25"/>
        <v>0.31452194118726501</v>
      </c>
      <c r="I96" s="36">
        <f t="shared" si="25"/>
        <v>0.28160878888146801</v>
      </c>
      <c r="J96" s="36">
        <f t="shared" si="25"/>
        <v>0.2411350184795556</v>
      </c>
      <c r="K96" s="36">
        <f t="shared" si="25"/>
        <v>0.22165918593100775</v>
      </c>
      <c r="L96" s="36">
        <f t="shared" si="25"/>
        <v>0.29702172445158914</v>
      </c>
      <c r="M96" s="36">
        <f t="shared" si="25"/>
        <v>0.17094550433843114</v>
      </c>
      <c r="N96" s="351">
        <f t="shared" si="25"/>
        <v>0.35146721178427015</v>
      </c>
    </row>
    <row r="97" spans="1:14" x14ac:dyDescent="0.3">
      <c r="A97" s="157"/>
      <c r="B97" s="35" t="s">
        <v>975</v>
      </c>
      <c r="C97" s="32" t="s">
        <v>1244</v>
      </c>
      <c r="D97" s="32" t="s">
        <v>928</v>
      </c>
      <c r="E97" s="36">
        <f t="shared" ref="E97:N97" si="26">E27/E$138*100</f>
        <v>0.47629626693436466</v>
      </c>
      <c r="F97" s="36">
        <f t="shared" si="26"/>
        <v>0.57674804345794384</v>
      </c>
      <c r="G97" s="36">
        <f t="shared" si="26"/>
        <v>0.64134190744478237</v>
      </c>
      <c r="H97" s="36">
        <f t="shared" si="26"/>
        <v>0.4568081894771075</v>
      </c>
      <c r="I97" s="36">
        <f t="shared" si="26"/>
        <v>0.40900549101339795</v>
      </c>
      <c r="J97" s="36">
        <f t="shared" si="26"/>
        <v>0.35022183443027388</v>
      </c>
      <c r="K97" s="36">
        <f t="shared" si="26"/>
        <v>0.3219353505955439</v>
      </c>
      <c r="L97" s="36">
        <f t="shared" si="26"/>
        <v>3.1915582176601842E-2</v>
      </c>
      <c r="M97" s="36">
        <f t="shared" si="26"/>
        <v>0.2482793602294211</v>
      </c>
      <c r="N97" s="351">
        <f t="shared" si="26"/>
        <v>0.51046709196083373</v>
      </c>
    </row>
    <row r="98" spans="1:14" x14ac:dyDescent="0.3">
      <c r="A98" s="157"/>
      <c r="B98" s="35" t="s">
        <v>976</v>
      </c>
      <c r="C98" s="32" t="s">
        <v>1244</v>
      </c>
      <c r="D98" s="32" t="s">
        <v>928</v>
      </c>
      <c r="E98" s="36">
        <f t="shared" ref="E98:N98" si="27">E28/E$138*100</f>
        <v>0.12921245981751964</v>
      </c>
      <c r="F98" s="36">
        <f t="shared" si="27"/>
        <v>0.19374060264375928</v>
      </c>
      <c r="G98" s="36">
        <f t="shared" si="27"/>
        <v>0.26548942313294888</v>
      </c>
      <c r="H98" s="36">
        <f t="shared" si="27"/>
        <v>0.10121517087961164</v>
      </c>
      <c r="I98" s="36">
        <f t="shared" si="27"/>
        <v>8.0143088434495094E-2</v>
      </c>
      <c r="J98" s="36">
        <f t="shared" si="27"/>
        <v>5.6295439482847681E-2</v>
      </c>
      <c r="K98" s="36">
        <f t="shared" si="27"/>
        <v>1.1739073936400618E-2</v>
      </c>
      <c r="L98" s="36">
        <f t="shared" si="27"/>
        <v>0</v>
      </c>
      <c r="M98" s="36">
        <f t="shared" si="27"/>
        <v>4.029069775363403E-2</v>
      </c>
      <c r="N98" s="351">
        <f t="shared" si="27"/>
        <v>8.2838441730982287E-2</v>
      </c>
    </row>
    <row r="99" spans="1:14" x14ac:dyDescent="0.3">
      <c r="A99" s="157"/>
      <c r="B99" s="35" t="s">
        <v>931</v>
      </c>
      <c r="C99" s="32" t="s">
        <v>1244</v>
      </c>
      <c r="D99" s="32" t="s">
        <v>928</v>
      </c>
      <c r="E99" s="36">
        <f t="shared" ref="E99:N99" si="28">E29/E$138*100</f>
        <v>7.9889958128399996E-2</v>
      </c>
      <c r="F99" s="36">
        <f t="shared" si="28"/>
        <v>0.11419541339127988</v>
      </c>
      <c r="G99" s="36">
        <f t="shared" si="28"/>
        <v>0.14687646676369159</v>
      </c>
      <c r="H99" s="36">
        <f t="shared" si="28"/>
        <v>6.9687599908805228E-2</v>
      </c>
      <c r="I99" s="36">
        <f t="shared" si="28"/>
        <v>5.7562197527423919E-2</v>
      </c>
      <c r="J99" s="36">
        <f t="shared" si="28"/>
        <v>4.2030343805655172E-2</v>
      </c>
      <c r="K99" s="36">
        <f t="shared" si="28"/>
        <v>8.8902588402951371E-3</v>
      </c>
      <c r="L99" s="36">
        <f t="shared" si="28"/>
        <v>0</v>
      </c>
      <c r="M99" s="36">
        <f t="shared" si="28"/>
        <v>3.2025415196741597E-2</v>
      </c>
      <c r="N99" s="351">
        <f t="shared" si="28"/>
        <v>6.5844863420031263E-2</v>
      </c>
    </row>
    <row r="100" spans="1:14" x14ac:dyDescent="0.3">
      <c r="A100" s="157"/>
      <c r="B100" s="35" t="s">
        <v>977</v>
      </c>
      <c r="E100" s="36">
        <f t="shared" ref="E100:N100" si="29">E30/E$138*100</f>
        <v>1.0190640137501412</v>
      </c>
      <c r="F100" s="36">
        <f t="shared" si="29"/>
        <v>1.2817870851895925</v>
      </c>
      <c r="G100" s="36">
        <f t="shared" si="29"/>
        <v>1.4952850421039863</v>
      </c>
      <c r="H100" s="36">
        <f t="shared" si="29"/>
        <v>0.94223290145278926</v>
      </c>
      <c r="I100" s="36">
        <f t="shared" si="29"/>
        <v>0.82831956585678501</v>
      </c>
      <c r="J100" s="36">
        <f t="shared" si="29"/>
        <v>0.68968263619833237</v>
      </c>
      <c r="K100" s="36">
        <f t="shared" si="29"/>
        <v>0.56422386930324753</v>
      </c>
      <c r="L100" s="36">
        <f t="shared" si="29"/>
        <v>0.32893730662819098</v>
      </c>
      <c r="M100" s="36">
        <f t="shared" si="29"/>
        <v>0.49154097751822784</v>
      </c>
      <c r="N100" s="351">
        <f t="shared" si="29"/>
        <v>1.0106176088961174</v>
      </c>
    </row>
    <row r="101" spans="1:14" x14ac:dyDescent="0.3">
      <c r="A101" s="157"/>
      <c r="B101" s="35"/>
      <c r="E101" s="35"/>
      <c r="F101" s="35"/>
      <c r="G101" s="35"/>
      <c r="H101" s="35"/>
      <c r="I101" s="35"/>
      <c r="J101" s="35"/>
      <c r="K101" s="35"/>
      <c r="L101" s="35"/>
      <c r="M101" s="35"/>
      <c r="N101" s="158"/>
    </row>
    <row r="102" spans="1:14" x14ac:dyDescent="0.3">
      <c r="A102" s="157"/>
      <c r="B102" s="35" t="s">
        <v>978</v>
      </c>
      <c r="E102" s="35"/>
      <c r="F102" s="35"/>
      <c r="G102" s="35"/>
      <c r="H102" s="35"/>
      <c r="I102" s="35"/>
      <c r="J102" s="35"/>
      <c r="K102" s="35"/>
      <c r="L102" s="35"/>
      <c r="M102" s="35"/>
      <c r="N102" s="158"/>
    </row>
    <row r="103" spans="1:14" x14ac:dyDescent="0.3">
      <c r="A103" s="157"/>
      <c r="B103" s="35" t="s">
        <v>975</v>
      </c>
      <c r="C103" s="32" t="s">
        <v>1244</v>
      </c>
      <c r="D103" s="32" t="s">
        <v>1010</v>
      </c>
      <c r="E103" s="36">
        <f t="shared" ref="E103:N103" si="30">E33/E$138*100</f>
        <v>0.27031507936374916</v>
      </c>
      <c r="F103" s="36">
        <f t="shared" si="30"/>
        <v>0.57219189363566891</v>
      </c>
      <c r="G103" s="36">
        <f t="shared" si="30"/>
        <v>0.52441290878011548</v>
      </c>
      <c r="H103" s="36">
        <f t="shared" si="30"/>
        <v>0.11496633916574683</v>
      </c>
      <c r="I103" s="36">
        <f t="shared" si="30"/>
        <v>4.8180721459117979E-3</v>
      </c>
      <c r="J103" s="36">
        <f t="shared" si="30"/>
        <v>8.7883031261116681E-4</v>
      </c>
      <c r="K103" s="36">
        <f t="shared" si="30"/>
        <v>1.1891486783604313E-4</v>
      </c>
      <c r="L103" s="36">
        <f t="shared" si="30"/>
        <v>3.2580023701638779E-5</v>
      </c>
      <c r="M103" s="36">
        <f t="shared" si="30"/>
        <v>3.150604261735543</v>
      </c>
      <c r="N103" s="351">
        <f t="shared" si="30"/>
        <v>0.48381249370085977</v>
      </c>
    </row>
    <row r="104" spans="1:14" x14ac:dyDescent="0.3">
      <c r="A104" s="157"/>
      <c r="B104" s="35" t="s">
        <v>976</v>
      </c>
      <c r="C104" s="32" t="s">
        <v>1244</v>
      </c>
      <c r="D104" s="32" t="s">
        <v>1010</v>
      </c>
      <c r="E104" s="36">
        <f t="shared" ref="E104:N104" si="31">E34/E$138*100</f>
        <v>7.724030288417269E-2</v>
      </c>
      <c r="F104" s="36">
        <f t="shared" si="31"/>
        <v>0.16351695677830666</v>
      </c>
      <c r="G104" s="36">
        <f t="shared" si="31"/>
        <v>0.14986301604892005</v>
      </c>
      <c r="H104" s="36">
        <f t="shared" si="31"/>
        <v>3.2854268159722304E-2</v>
      </c>
      <c r="I104" s="36">
        <f t="shared" si="31"/>
        <v>1.3498638356606984E-3</v>
      </c>
      <c r="J104" s="36">
        <f t="shared" si="31"/>
        <v>2.274265810521912E-4</v>
      </c>
      <c r="K104" s="36">
        <f t="shared" si="31"/>
        <v>9.5848502218122505E-6</v>
      </c>
      <c r="L104" s="36">
        <f t="shared" si="31"/>
        <v>0</v>
      </c>
      <c r="M104" s="36">
        <f t="shared" si="31"/>
        <v>0.90035742662895502</v>
      </c>
      <c r="N104" s="351">
        <f t="shared" si="31"/>
        <v>0.13826051627299155</v>
      </c>
    </row>
    <row r="105" spans="1:14" x14ac:dyDescent="0.3">
      <c r="A105" s="157"/>
      <c r="B105" s="35" t="s">
        <v>931</v>
      </c>
      <c r="C105" s="32" t="s">
        <v>1244</v>
      </c>
      <c r="D105" s="32" t="s">
        <v>1010</v>
      </c>
      <c r="E105" s="36">
        <f t="shared" ref="E105:N105" si="32">E35/E$138*100</f>
        <v>8.7331550834204366E-2</v>
      </c>
      <c r="F105" s="36">
        <f t="shared" si="32"/>
        <v>0.18488002881802834</v>
      </c>
      <c r="G105" s="36">
        <f t="shared" si="32"/>
        <v>0.16944223566639149</v>
      </c>
      <c r="H105" s="36">
        <f t="shared" si="32"/>
        <v>3.714659423609408E-2</v>
      </c>
      <c r="I105" s="36">
        <f t="shared" si="32"/>
        <v>1.5262200921199692E-3</v>
      </c>
      <c r="J105" s="36">
        <f t="shared" si="32"/>
        <v>2.5713928198847807E-4</v>
      </c>
      <c r="K105" s="36">
        <f t="shared" si="32"/>
        <v>1.0837086380146152E-5</v>
      </c>
      <c r="L105" s="36">
        <f t="shared" si="32"/>
        <v>0</v>
      </c>
      <c r="M105" s="36">
        <f t="shared" si="32"/>
        <v>1.0179868208247538</v>
      </c>
      <c r="N105" s="351">
        <f t="shared" si="32"/>
        <v>0.15632389898010471</v>
      </c>
    </row>
    <row r="106" spans="1:14" x14ac:dyDescent="0.3">
      <c r="A106" s="157"/>
      <c r="B106" s="35" t="s">
        <v>456</v>
      </c>
      <c r="C106" s="32" t="s">
        <v>1244</v>
      </c>
      <c r="D106" s="32" t="s">
        <v>1010</v>
      </c>
      <c r="E106" s="36">
        <f t="shared" ref="E106:N106" si="33">E36/E$138*100</f>
        <v>5.1114082577744108E-2</v>
      </c>
      <c r="F106" s="36">
        <f t="shared" si="33"/>
        <v>8.2354446498616826E-2</v>
      </c>
      <c r="G106" s="36">
        <f t="shared" si="33"/>
        <v>7.5477711795083433E-2</v>
      </c>
      <c r="H106" s="36">
        <f t="shared" si="33"/>
        <v>4.9640632801393067E-2</v>
      </c>
      <c r="I106" s="36">
        <f t="shared" si="33"/>
        <v>3.3992587443103919E-2</v>
      </c>
      <c r="J106" s="36">
        <f t="shared" si="33"/>
        <v>5.7271094602803991E-3</v>
      </c>
      <c r="K106" s="36">
        <f t="shared" si="33"/>
        <v>2.4136794444495622E-4</v>
      </c>
      <c r="L106" s="36">
        <f t="shared" si="33"/>
        <v>0</v>
      </c>
      <c r="M106" s="36">
        <f t="shared" si="33"/>
        <v>0.38544119909383073</v>
      </c>
      <c r="N106" s="351">
        <f t="shared" si="33"/>
        <v>0</v>
      </c>
    </row>
    <row r="107" spans="1:14" x14ac:dyDescent="0.3">
      <c r="A107" s="157"/>
      <c r="B107" s="35" t="s">
        <v>932</v>
      </c>
      <c r="C107" s="32" t="s">
        <v>1244</v>
      </c>
      <c r="D107" s="32" t="s">
        <v>1010</v>
      </c>
      <c r="E107" s="36">
        <f t="shared" ref="E107:N107" si="34">E37/E$138*100</f>
        <v>7.8436603007844954E-2</v>
      </c>
      <c r="F107" s="36">
        <f t="shared" si="34"/>
        <v>0</v>
      </c>
      <c r="G107" s="36">
        <f t="shared" si="34"/>
        <v>0</v>
      </c>
      <c r="H107" s="36">
        <f t="shared" si="34"/>
        <v>0</v>
      </c>
      <c r="I107" s="36">
        <f t="shared" si="34"/>
        <v>0</v>
      </c>
      <c r="J107" s="36">
        <f t="shared" si="34"/>
        <v>0</v>
      </c>
      <c r="K107" s="36">
        <f t="shared" si="34"/>
        <v>0</v>
      </c>
      <c r="L107" s="36">
        <f t="shared" si="34"/>
        <v>0</v>
      </c>
      <c r="M107" s="36">
        <f t="shared" si="34"/>
        <v>0</v>
      </c>
      <c r="N107" s="351">
        <f t="shared" si="34"/>
        <v>19.205591947375588</v>
      </c>
    </row>
    <row r="108" spans="1:14" x14ac:dyDescent="0.3">
      <c r="A108" s="157"/>
      <c r="B108" s="35" t="s">
        <v>1013</v>
      </c>
      <c r="C108" s="32" t="s">
        <v>1244</v>
      </c>
      <c r="D108" s="32" t="s">
        <v>1010</v>
      </c>
      <c r="E108" s="36">
        <f t="shared" ref="E108:N108" si="35">E38/E$138*100</f>
        <v>8.6318035497192271E-3</v>
      </c>
      <c r="F108" s="36">
        <f t="shared" si="35"/>
        <v>8.882207427183722E-3</v>
      </c>
      <c r="G108" s="36">
        <f t="shared" si="35"/>
        <v>8.882207427183722E-3</v>
      </c>
      <c r="H108" s="36">
        <f t="shared" si="35"/>
        <v>8.882207427183722E-3</v>
      </c>
      <c r="I108" s="36">
        <f t="shared" si="35"/>
        <v>8.8757976508730754E-3</v>
      </c>
      <c r="J108" s="36">
        <f t="shared" si="35"/>
        <v>8.846174372652239E-3</v>
      </c>
      <c r="K108" s="36">
        <f t="shared" si="35"/>
        <v>8.6656764012873703E-3</v>
      </c>
      <c r="L108" s="36">
        <f t="shared" si="35"/>
        <v>0</v>
      </c>
      <c r="M108" s="36">
        <f t="shared" si="35"/>
        <v>0</v>
      </c>
      <c r="N108" s="351">
        <f t="shared" si="35"/>
        <v>0</v>
      </c>
    </row>
    <row r="109" spans="1:14" x14ac:dyDescent="0.3">
      <c r="A109" s="157"/>
      <c r="B109" s="35" t="s">
        <v>979</v>
      </c>
      <c r="E109" s="36">
        <f t="shared" ref="E109:N109" si="36">E39/E$138*100</f>
        <v>0.57306942221743451</v>
      </c>
      <c r="F109" s="36">
        <f t="shared" si="36"/>
        <v>1.0118255331578043</v>
      </c>
      <c r="G109" s="36">
        <f t="shared" si="36"/>
        <v>0.92807807971769418</v>
      </c>
      <c r="H109" s="36">
        <f t="shared" si="36"/>
        <v>0.24349004179014003</v>
      </c>
      <c r="I109" s="36">
        <f t="shared" si="36"/>
        <v>5.0562541167669471E-2</v>
      </c>
      <c r="J109" s="36">
        <f t="shared" si="36"/>
        <v>1.5936680008584475E-2</v>
      </c>
      <c r="K109" s="36">
        <f t="shared" si="36"/>
        <v>9.0463811501703267E-3</v>
      </c>
      <c r="L109" s="36">
        <f t="shared" si="36"/>
        <v>3.2580023701638779E-5</v>
      </c>
      <c r="M109" s="36">
        <f t="shared" si="36"/>
        <v>5.4543897082830828</v>
      </c>
      <c r="N109" s="351">
        <f t="shared" si="36"/>
        <v>19.983988856329546</v>
      </c>
    </row>
    <row r="110" spans="1:14" x14ac:dyDescent="0.3">
      <c r="A110" s="157"/>
      <c r="B110" s="35"/>
      <c r="E110" s="35"/>
      <c r="F110" s="35"/>
      <c r="G110" s="35"/>
      <c r="H110" s="35"/>
      <c r="I110" s="35"/>
      <c r="J110" s="35"/>
      <c r="K110" s="35"/>
      <c r="L110" s="35"/>
      <c r="M110" s="35"/>
      <c r="N110" s="158"/>
    </row>
    <row r="111" spans="1:14" x14ac:dyDescent="0.3">
      <c r="A111" s="157"/>
      <c r="B111" s="35" t="s">
        <v>543</v>
      </c>
      <c r="E111" s="36">
        <f t="shared" ref="E111:N111" si="37">E41/E$138*100</f>
        <v>1.5921334359675756</v>
      </c>
      <c r="F111" s="36">
        <f t="shared" si="37"/>
        <v>2.2936126183473968</v>
      </c>
      <c r="G111" s="36">
        <f t="shared" si="37"/>
        <v>2.4233631218216805</v>
      </c>
      <c r="H111" s="36">
        <f t="shared" si="37"/>
        <v>1.1857229432429293</v>
      </c>
      <c r="I111" s="36">
        <f t="shared" si="37"/>
        <v>0.87888210702445435</v>
      </c>
      <c r="J111" s="36">
        <f t="shared" si="37"/>
        <v>0.70561931620691687</v>
      </c>
      <c r="K111" s="36">
        <f t="shared" si="37"/>
        <v>0.57327025045341773</v>
      </c>
      <c r="L111" s="36">
        <f t="shared" si="37"/>
        <v>0.32896988665189258</v>
      </c>
      <c r="M111" s="36">
        <f t="shared" si="37"/>
        <v>5.9459306858013106</v>
      </c>
      <c r="N111" s="351">
        <f t="shared" si="37"/>
        <v>20.994606465225662</v>
      </c>
    </row>
    <row r="112" spans="1:14" x14ac:dyDescent="0.3">
      <c r="A112" s="157"/>
      <c r="B112" s="35"/>
      <c r="E112" s="35"/>
      <c r="F112" s="35"/>
      <c r="G112" s="35"/>
      <c r="H112" s="35"/>
      <c r="I112" s="35"/>
      <c r="J112" s="35"/>
      <c r="K112" s="35"/>
      <c r="L112" s="35"/>
      <c r="M112" s="35"/>
      <c r="N112" s="158"/>
    </row>
    <row r="113" spans="1:14" x14ac:dyDescent="0.3">
      <c r="A113" s="157" t="s">
        <v>907</v>
      </c>
      <c r="B113" s="35"/>
      <c r="E113" s="35"/>
      <c r="F113" s="35"/>
      <c r="G113" s="35"/>
      <c r="H113" s="35"/>
      <c r="I113" s="35"/>
      <c r="J113" s="35"/>
      <c r="K113" s="35"/>
      <c r="L113" s="35"/>
      <c r="M113" s="35"/>
      <c r="N113" s="158"/>
    </row>
    <row r="114" spans="1:14" x14ac:dyDescent="0.3">
      <c r="A114" s="157"/>
      <c r="B114" s="35" t="s">
        <v>907</v>
      </c>
      <c r="E114" s="36">
        <f t="shared" ref="E114:N114" si="38">E44/E$138*100</f>
        <v>0.22788142830563649</v>
      </c>
      <c r="F114" s="36">
        <f t="shared" si="38"/>
        <v>0.3573040669625443</v>
      </c>
      <c r="G114" s="36">
        <f t="shared" si="38"/>
        <v>0.32274732361787306</v>
      </c>
      <c r="H114" s="36">
        <f t="shared" si="38"/>
        <v>0.28831273602422602</v>
      </c>
      <c r="I114" s="36">
        <f t="shared" si="38"/>
        <v>6.9553451583085055E-2</v>
      </c>
      <c r="J114" s="36">
        <f t="shared" si="38"/>
        <v>1.2774657947292739E-2</v>
      </c>
      <c r="K114" s="36">
        <f t="shared" si="38"/>
        <v>1.9931347357107568E-2</v>
      </c>
      <c r="L114" s="36">
        <f t="shared" si="38"/>
        <v>1.2910177592314977E-2</v>
      </c>
      <c r="M114" s="36">
        <f t="shared" si="38"/>
        <v>2.0812938350024819</v>
      </c>
      <c r="N114" s="351">
        <f t="shared" si="38"/>
        <v>0</v>
      </c>
    </row>
    <row r="115" spans="1:14" x14ac:dyDescent="0.3">
      <c r="A115" s="157"/>
      <c r="B115" s="35" t="s">
        <v>996</v>
      </c>
      <c r="E115" s="36">
        <f t="shared" ref="E115:N115" si="39">E45/E$138*100</f>
        <v>6.8876569261799442E-2</v>
      </c>
      <c r="F115" s="36">
        <f t="shared" si="39"/>
        <v>0.13112577757765373</v>
      </c>
      <c r="G115" s="36">
        <f t="shared" si="39"/>
        <v>0.1201765547544368</v>
      </c>
      <c r="H115" s="36">
        <f t="shared" si="39"/>
        <v>5.2692290072754992E-2</v>
      </c>
      <c r="I115" s="36">
        <f t="shared" si="39"/>
        <v>1.1041286386349746E-2</v>
      </c>
      <c r="J115" s="36">
        <f t="shared" si="39"/>
        <v>2.0139626125728841E-3</v>
      </c>
      <c r="K115" s="36">
        <f t="shared" si="39"/>
        <v>2.7251005622378627E-4</v>
      </c>
      <c r="L115" s="36">
        <f t="shared" si="39"/>
        <v>1.3065794413661997E-4</v>
      </c>
      <c r="M115" s="36">
        <f t="shared" si="39"/>
        <v>0.6137042878734017</v>
      </c>
      <c r="N115" s="351">
        <f t="shared" si="39"/>
        <v>0</v>
      </c>
    </row>
    <row r="116" spans="1:14" x14ac:dyDescent="0.3">
      <c r="A116" s="157"/>
      <c r="B116" s="35" t="s">
        <v>997</v>
      </c>
      <c r="C116" s="32" t="s">
        <v>1244</v>
      </c>
      <c r="D116" s="32" t="s">
        <v>1010</v>
      </c>
      <c r="E116" s="36">
        <f t="shared" ref="E116:N116" si="40">E46/E$138*100</f>
        <v>0.29675799756743598</v>
      </c>
      <c r="F116" s="36">
        <f t="shared" si="40"/>
        <v>0.48842984454019805</v>
      </c>
      <c r="G116" s="36">
        <f t="shared" si="40"/>
        <v>0.4429238783723099</v>
      </c>
      <c r="H116" s="36">
        <f t="shared" si="40"/>
        <v>0.34100502609698102</v>
      </c>
      <c r="I116" s="36">
        <f t="shared" si="40"/>
        <v>8.0594737969434796E-2</v>
      </c>
      <c r="J116" s="36">
        <f t="shared" si="40"/>
        <v>1.4788620559865621E-2</v>
      </c>
      <c r="K116" s="36">
        <f t="shared" si="40"/>
        <v>2.0203857413331354E-2</v>
      </c>
      <c r="L116" s="36">
        <f t="shared" si="40"/>
        <v>1.3040835536451596E-2</v>
      </c>
      <c r="M116" s="36">
        <f t="shared" si="40"/>
        <v>2.6949981228758833</v>
      </c>
      <c r="N116" s="351">
        <f t="shared" si="40"/>
        <v>0</v>
      </c>
    </row>
    <row r="117" spans="1:14" x14ac:dyDescent="0.3">
      <c r="A117" s="157"/>
      <c r="B117" s="35"/>
      <c r="E117" s="35"/>
      <c r="F117" s="35"/>
      <c r="G117" s="35"/>
      <c r="H117" s="35"/>
      <c r="I117" s="35"/>
      <c r="J117" s="35"/>
      <c r="K117" s="35"/>
      <c r="L117" s="35"/>
      <c r="M117" s="35"/>
      <c r="N117" s="158"/>
    </row>
    <row r="118" spans="1:14" x14ac:dyDescent="0.3">
      <c r="A118" s="157" t="s">
        <v>84</v>
      </c>
      <c r="B118" s="35"/>
      <c r="C118" s="32" t="s">
        <v>1244</v>
      </c>
      <c r="D118" s="32" t="s">
        <v>1010</v>
      </c>
      <c r="E118" s="36">
        <f t="shared" ref="E118:N118" si="41">E48/E$138*100</f>
        <v>2.5690889015918164E-2</v>
      </c>
      <c r="F118" s="36">
        <f t="shared" si="41"/>
        <v>4.5494043308593669E-2</v>
      </c>
      <c r="G118" s="36">
        <f t="shared" si="41"/>
        <v>4.1695214226189325E-2</v>
      </c>
      <c r="H118" s="36">
        <f t="shared" si="41"/>
        <v>2.7422357802750839E-2</v>
      </c>
      <c r="I118" s="36">
        <f t="shared" si="41"/>
        <v>1.9153852519414323E-3</v>
      </c>
      <c r="J118" s="36">
        <f t="shared" si="41"/>
        <v>3.4937181693362764E-4</v>
      </c>
      <c r="K118" s="36">
        <f t="shared" si="41"/>
        <v>4.7273635012498882E-5</v>
      </c>
      <c r="L118" s="36">
        <f t="shared" si="41"/>
        <v>4.5331728657570957E-5</v>
      </c>
      <c r="M118" s="36">
        <f t="shared" si="41"/>
        <v>0.21292449102654726</v>
      </c>
      <c r="N118" s="351">
        <f t="shared" si="41"/>
        <v>1.9233570753521011E-2</v>
      </c>
    </row>
    <row r="119" spans="1:14" x14ac:dyDescent="0.3">
      <c r="A119" s="157"/>
      <c r="B119" s="35"/>
      <c r="E119" s="35"/>
      <c r="F119" s="35"/>
      <c r="G119" s="35"/>
      <c r="H119" s="35"/>
      <c r="I119" s="35"/>
      <c r="J119" s="35"/>
      <c r="K119" s="35"/>
      <c r="L119" s="35"/>
      <c r="M119" s="35"/>
      <c r="N119" s="158"/>
    </row>
    <row r="120" spans="1:14" x14ac:dyDescent="0.3">
      <c r="A120" s="157" t="s">
        <v>82</v>
      </c>
      <c r="B120" s="35"/>
      <c r="E120" s="35"/>
      <c r="F120" s="35"/>
      <c r="G120" s="35"/>
      <c r="H120" s="35"/>
      <c r="I120" s="35"/>
      <c r="J120" s="35"/>
      <c r="K120" s="35"/>
      <c r="L120" s="35"/>
      <c r="M120" s="35"/>
      <c r="N120" s="158"/>
    </row>
    <row r="121" spans="1:14" x14ac:dyDescent="0.3">
      <c r="A121" s="157"/>
      <c r="B121" s="35" t="s">
        <v>81</v>
      </c>
      <c r="C121" s="32" t="s">
        <v>1244</v>
      </c>
      <c r="D121" s="32" t="s">
        <v>1010</v>
      </c>
      <c r="E121" s="35"/>
      <c r="F121" s="35"/>
      <c r="G121" s="35"/>
      <c r="H121" s="35"/>
      <c r="I121" s="35"/>
      <c r="J121" s="35"/>
      <c r="K121" s="35"/>
      <c r="L121" s="35"/>
      <c r="M121" s="35"/>
      <c r="N121" s="158"/>
    </row>
    <row r="122" spans="1:14" x14ac:dyDescent="0.3">
      <c r="A122" s="157"/>
      <c r="B122" s="35" t="s">
        <v>1007</v>
      </c>
      <c r="C122" s="32" t="s">
        <v>1244</v>
      </c>
      <c r="D122" s="32" t="s">
        <v>1010</v>
      </c>
      <c r="E122" s="35"/>
      <c r="F122" s="35"/>
      <c r="G122" s="35"/>
      <c r="H122" s="35"/>
      <c r="I122" s="35"/>
      <c r="J122" s="35"/>
      <c r="K122" s="35"/>
      <c r="L122" s="35"/>
      <c r="M122" s="35"/>
      <c r="N122" s="158"/>
    </row>
    <row r="123" spans="1:14" x14ac:dyDescent="0.3">
      <c r="A123" s="157"/>
      <c r="B123" s="35" t="s">
        <v>1008</v>
      </c>
      <c r="C123" s="32" t="s">
        <v>1244</v>
      </c>
      <c r="D123" s="32" t="s">
        <v>1010</v>
      </c>
      <c r="E123" s="35"/>
      <c r="F123" s="35"/>
      <c r="G123" s="35"/>
      <c r="H123" s="35"/>
      <c r="I123" s="35"/>
      <c r="J123" s="35"/>
      <c r="K123" s="35"/>
      <c r="L123" s="35"/>
      <c r="M123" s="35"/>
      <c r="N123" s="158"/>
    </row>
    <row r="124" spans="1:14" x14ac:dyDescent="0.3">
      <c r="A124" s="157"/>
      <c r="B124" s="35" t="s">
        <v>83</v>
      </c>
      <c r="E124" s="36">
        <f t="shared" ref="E124:N124" si="42">E54/E$138*100</f>
        <v>0.15638840517417973</v>
      </c>
      <c r="F124" s="36">
        <f t="shared" si="42"/>
        <v>0.32617902147563987</v>
      </c>
      <c r="G124" s="36">
        <f t="shared" si="42"/>
        <v>0.29941456874218914</v>
      </c>
      <c r="H124" s="36">
        <f t="shared" si="42"/>
        <v>7.0054037277410858E-2</v>
      </c>
      <c r="I124" s="36">
        <f t="shared" si="42"/>
        <v>8.3479752806839922E-3</v>
      </c>
      <c r="J124" s="36">
        <f t="shared" si="42"/>
        <v>6.1224682212630901E-3</v>
      </c>
      <c r="K124" s="36">
        <f t="shared" si="42"/>
        <v>5.5819063846926555E-3</v>
      </c>
      <c r="L124" s="36">
        <f t="shared" si="42"/>
        <v>6.3876467335733354E-5</v>
      </c>
      <c r="M124" s="36">
        <f t="shared" si="42"/>
        <v>1.7705336087902506</v>
      </c>
      <c r="N124" s="351">
        <f t="shared" si="42"/>
        <v>0.14116222782366541</v>
      </c>
    </row>
    <row r="125" spans="1:14" x14ac:dyDescent="0.3">
      <c r="A125" s="157"/>
      <c r="B125" s="35"/>
      <c r="E125" s="35"/>
      <c r="F125" s="35"/>
      <c r="G125" s="35"/>
      <c r="H125" s="35"/>
      <c r="I125" s="35"/>
      <c r="J125" s="35"/>
      <c r="K125" s="35"/>
      <c r="L125" s="35"/>
      <c r="M125" s="35"/>
      <c r="N125" s="158"/>
    </row>
    <row r="126" spans="1:14" x14ac:dyDescent="0.3">
      <c r="A126" s="157" t="s">
        <v>912</v>
      </c>
      <c r="B126" s="35"/>
      <c r="E126" s="53"/>
      <c r="F126" s="53"/>
      <c r="G126" s="53"/>
      <c r="H126" s="53"/>
      <c r="I126" s="53"/>
      <c r="J126" s="53"/>
      <c r="K126" s="53"/>
      <c r="L126" s="53"/>
      <c r="M126" s="53"/>
      <c r="N126" s="154"/>
    </row>
    <row r="127" spans="1:14" x14ac:dyDescent="0.3">
      <c r="A127" s="157"/>
      <c r="B127" s="35" t="s">
        <v>1006</v>
      </c>
      <c r="C127" s="32" t="s">
        <v>1244</v>
      </c>
      <c r="D127" s="32" t="s">
        <v>1010</v>
      </c>
      <c r="E127" s="36">
        <f t="shared" ref="E127:N127" si="43">E57/E$138*100</f>
        <v>9.1966233257641472E-2</v>
      </c>
      <c r="F127" s="36">
        <f t="shared" si="43"/>
        <v>9.4219266590009135E-2</v>
      </c>
      <c r="G127" s="36">
        <f t="shared" si="43"/>
        <v>9.4219266590009149E-2</v>
      </c>
      <c r="H127" s="36">
        <f t="shared" si="43"/>
        <v>9.4219266590009149E-2</v>
      </c>
      <c r="I127" s="36">
        <f t="shared" si="43"/>
        <v>9.415127398479857E-2</v>
      </c>
      <c r="J127" s="36">
        <f t="shared" si="43"/>
        <v>9.3837040887807727E-2</v>
      </c>
      <c r="K127" s="36">
        <f t="shared" si="43"/>
        <v>9.1922383228391344E-2</v>
      </c>
      <c r="L127" s="36">
        <f t="shared" si="43"/>
        <v>0</v>
      </c>
      <c r="M127" s="36">
        <f t="shared" si="43"/>
        <v>9.4219266590009162E-2</v>
      </c>
      <c r="N127" s="351">
        <f t="shared" si="43"/>
        <v>9.4219266590009176E-2</v>
      </c>
    </row>
    <row r="128" spans="1:14" x14ac:dyDescent="0.3">
      <c r="A128" s="157"/>
      <c r="B128" s="35" t="s">
        <v>1014</v>
      </c>
      <c r="E128" s="36">
        <f t="shared" ref="E128:N128" si="44">E58/E$138*100</f>
        <v>9.1966233257641472E-2</v>
      </c>
      <c r="F128" s="36">
        <f t="shared" si="44"/>
        <v>9.4219266590009135E-2</v>
      </c>
      <c r="G128" s="36">
        <f t="shared" si="44"/>
        <v>9.4219266590009149E-2</v>
      </c>
      <c r="H128" s="36">
        <f t="shared" si="44"/>
        <v>9.4219266590009149E-2</v>
      </c>
      <c r="I128" s="36">
        <f t="shared" si="44"/>
        <v>9.415127398479857E-2</v>
      </c>
      <c r="J128" s="36">
        <f t="shared" si="44"/>
        <v>9.3837040887807727E-2</v>
      </c>
      <c r="K128" s="36">
        <f t="shared" si="44"/>
        <v>9.1922383228391344E-2</v>
      </c>
      <c r="L128" s="36">
        <f t="shared" si="44"/>
        <v>0</v>
      </c>
      <c r="M128" s="36">
        <f t="shared" si="44"/>
        <v>9.4219266590009162E-2</v>
      </c>
      <c r="N128" s="351">
        <f t="shared" si="44"/>
        <v>9.4219266590009176E-2</v>
      </c>
    </row>
    <row r="129" spans="1:14" x14ac:dyDescent="0.3">
      <c r="A129" s="157"/>
      <c r="B129" s="35"/>
      <c r="E129" s="35"/>
      <c r="F129" s="35"/>
      <c r="G129" s="35"/>
      <c r="H129" s="35"/>
      <c r="I129" s="35"/>
      <c r="J129" s="35"/>
      <c r="K129" s="35"/>
      <c r="L129" s="35"/>
      <c r="M129" s="35"/>
      <c r="N129" s="158"/>
    </row>
    <row r="130" spans="1:14" x14ac:dyDescent="0.3">
      <c r="A130" s="157" t="s">
        <v>38</v>
      </c>
      <c r="B130" s="35"/>
      <c r="C130" s="32" t="s">
        <v>1244</v>
      </c>
      <c r="D130" s="32" t="s">
        <v>1010</v>
      </c>
      <c r="E130" s="36">
        <f t="shared" ref="E130:N130" si="45">E60/E$138*100</f>
        <v>-1.7203120039908447E-2</v>
      </c>
      <c r="F130" s="36">
        <f t="shared" si="45"/>
        <v>-2.0193676693524985E-2</v>
      </c>
      <c r="G130" s="36">
        <f t="shared" si="45"/>
        <v>-1.9291512468292887E-2</v>
      </c>
      <c r="H130" s="36">
        <f t="shared" si="45"/>
        <v>-1.8252284977442815E-2</v>
      </c>
      <c r="I130" s="36">
        <f t="shared" si="45"/>
        <v>-1.5807510943670909E-2</v>
      </c>
      <c r="J130" s="36">
        <f t="shared" si="45"/>
        <v>-1.4166841805275018E-2</v>
      </c>
      <c r="K130" s="36">
        <f t="shared" si="45"/>
        <v>-1.1878449874592797E-2</v>
      </c>
      <c r="L130" s="36">
        <f t="shared" si="45"/>
        <v>0</v>
      </c>
      <c r="M130" s="36">
        <f t="shared" si="45"/>
        <v>0</v>
      </c>
      <c r="N130" s="351">
        <f t="shared" si="45"/>
        <v>-7.856364759380043E-6</v>
      </c>
    </row>
    <row r="131" spans="1:14" x14ac:dyDescent="0.3">
      <c r="A131" s="157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158"/>
    </row>
    <row r="132" spans="1:14" x14ac:dyDescent="0.3">
      <c r="A132" s="157" t="s">
        <v>41</v>
      </c>
      <c r="B132" s="35"/>
      <c r="E132" s="36">
        <f t="shared" ref="E132:N132" si="46">E62/E$138*100</f>
        <v>7.3068995766833442</v>
      </c>
      <c r="F132" s="36">
        <f t="shared" si="46"/>
        <v>8.9344687771126825</v>
      </c>
      <c r="G132" s="36">
        <f t="shared" si="46"/>
        <v>9.2583890557212118</v>
      </c>
      <c r="H132" s="36">
        <f t="shared" si="46"/>
        <v>6.6869743669100572</v>
      </c>
      <c r="I132" s="36">
        <f t="shared" si="46"/>
        <v>5.8001774147550318</v>
      </c>
      <c r="J132" s="36">
        <f t="shared" si="46"/>
        <v>5.2040387127962875</v>
      </c>
      <c r="K132" s="36">
        <f t="shared" si="46"/>
        <v>4.8984758097256114</v>
      </c>
      <c r="L132" s="36">
        <f t="shared" si="46"/>
        <v>5.3630695096093435</v>
      </c>
      <c r="M132" s="36">
        <f t="shared" si="46"/>
        <v>14.539092901030607</v>
      </c>
      <c r="N132" s="351">
        <f t="shared" si="46"/>
        <v>26.229021504973478</v>
      </c>
    </row>
    <row r="133" spans="1:14" x14ac:dyDescent="0.3">
      <c r="A133" s="157"/>
      <c r="B133" s="35"/>
      <c r="E133" s="35"/>
      <c r="F133" s="35"/>
      <c r="G133" s="35"/>
      <c r="H133" s="35"/>
      <c r="I133" s="35"/>
      <c r="J133" s="35"/>
      <c r="K133" s="35"/>
      <c r="L133" s="35"/>
      <c r="M133" s="35"/>
      <c r="N133" s="158"/>
    </row>
    <row r="134" spans="1:14" x14ac:dyDescent="0.3">
      <c r="A134" s="157"/>
      <c r="B134" s="35"/>
      <c r="E134" s="35"/>
      <c r="F134" s="35"/>
      <c r="G134" s="35"/>
      <c r="H134" s="35"/>
      <c r="I134" s="35"/>
      <c r="J134" s="35"/>
      <c r="K134" s="35"/>
      <c r="L134" s="35"/>
      <c r="M134" s="35"/>
      <c r="N134" s="158"/>
    </row>
    <row r="135" spans="1:14" x14ac:dyDescent="0.3">
      <c r="A135" s="157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158"/>
    </row>
    <row r="136" spans="1:14" x14ac:dyDescent="0.3">
      <c r="A136" s="157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158"/>
    </row>
    <row r="137" spans="1:14" x14ac:dyDescent="0.3">
      <c r="A137" s="157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158"/>
    </row>
    <row r="138" spans="1:14" x14ac:dyDescent="0.3">
      <c r="A138" s="157" t="s">
        <v>22</v>
      </c>
      <c r="B138" s="35"/>
      <c r="C138" s="35"/>
      <c r="D138" s="35"/>
      <c r="E138" s="35">
        <f>E68</f>
        <v>22390001572</v>
      </c>
      <c r="F138" s="35">
        <f t="shared" ref="F138:N138" si="47">F68</f>
        <v>7586279228</v>
      </c>
      <c r="G138" s="35">
        <f t="shared" si="47"/>
        <v>2035700680</v>
      </c>
      <c r="H138" s="35">
        <f t="shared" si="47"/>
        <v>4947975233</v>
      </c>
      <c r="I138" s="35">
        <f t="shared" si="47"/>
        <v>3213077429.0000005</v>
      </c>
      <c r="J138" s="35">
        <f t="shared" si="47"/>
        <v>1555051374</v>
      </c>
      <c r="K138" s="35">
        <f t="shared" si="47"/>
        <v>2490036504</v>
      </c>
      <c r="L138" s="35">
        <f t="shared" si="47"/>
        <v>466075060</v>
      </c>
      <c r="M138" s="35">
        <f t="shared" si="47"/>
        <v>4364172</v>
      </c>
      <c r="N138" s="158">
        <f t="shared" si="47"/>
        <v>91441892</v>
      </c>
    </row>
    <row r="139" spans="1:14" ht="13.5" thickBot="1" x14ac:dyDescent="0.35">
      <c r="A139" s="33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161"/>
    </row>
    <row r="140" spans="1:14" ht="13.5" thickBot="1" x14ac:dyDescent="0.35"/>
    <row r="141" spans="1:14" x14ac:dyDescent="0.3">
      <c r="A141" s="301" t="str">
        <f>'1. RB-i'!$A$1</f>
        <v>CPS Energy</v>
      </c>
      <c r="B141" s="302"/>
      <c r="C141" s="302"/>
      <c r="D141" s="302"/>
      <c r="E141" s="302"/>
      <c r="F141" s="302"/>
      <c r="G141" s="302"/>
      <c r="H141" s="302"/>
      <c r="I141" s="302"/>
      <c r="J141" s="302"/>
      <c r="K141" s="302"/>
      <c r="L141" s="302"/>
      <c r="M141" s="302"/>
      <c r="N141" s="303"/>
    </row>
    <row r="142" spans="1:14" x14ac:dyDescent="0.3">
      <c r="A142" s="307" t="s">
        <v>1318</v>
      </c>
      <c r="B142" s="288"/>
      <c r="C142" s="288"/>
      <c r="D142" s="288"/>
      <c r="E142" s="288"/>
      <c r="F142" s="288"/>
      <c r="G142" s="288"/>
      <c r="H142" s="288"/>
      <c r="I142" s="288"/>
      <c r="J142" s="288"/>
      <c r="K142" s="288"/>
      <c r="L142" s="288"/>
      <c r="M142" s="288"/>
      <c r="N142" s="298"/>
    </row>
    <row r="143" spans="1:14" x14ac:dyDescent="0.3">
      <c r="A143" s="307" t="str">
        <f>A3</f>
        <v>Based on FYE 2017 Test Year</v>
      </c>
      <c r="B143" s="288"/>
      <c r="C143" s="288"/>
      <c r="D143" s="288"/>
      <c r="E143" s="288"/>
      <c r="F143" s="288"/>
      <c r="G143" s="288"/>
      <c r="H143" s="288"/>
      <c r="I143" s="288"/>
      <c r="J143" s="288"/>
      <c r="K143" s="288"/>
      <c r="L143" s="288"/>
      <c r="M143" s="288"/>
      <c r="N143" s="298"/>
    </row>
    <row r="144" spans="1:14" x14ac:dyDescent="0.3">
      <c r="A144" s="304"/>
      <c r="B144" s="289"/>
      <c r="C144" s="289"/>
      <c r="D144" s="289"/>
      <c r="E144" s="289"/>
      <c r="F144" s="289"/>
      <c r="G144" s="289"/>
      <c r="H144" s="289"/>
      <c r="I144" s="289"/>
      <c r="J144" s="289"/>
      <c r="K144" s="289"/>
      <c r="L144" s="289"/>
      <c r="M144" s="289"/>
      <c r="N144" s="305"/>
    </row>
    <row r="145" spans="1:16" x14ac:dyDescent="0.3">
      <c r="A145" s="304"/>
      <c r="B145" s="289"/>
      <c r="C145" s="289"/>
      <c r="D145" s="289"/>
      <c r="E145" s="289"/>
      <c r="F145" s="289"/>
      <c r="G145" s="289"/>
      <c r="H145" s="199"/>
      <c r="I145" s="199"/>
      <c r="J145" s="199"/>
      <c r="K145" s="289"/>
      <c r="L145" s="289"/>
      <c r="M145" s="289"/>
      <c r="N145" s="305"/>
    </row>
    <row r="146" spans="1:16" x14ac:dyDescent="0.3">
      <c r="A146" s="304"/>
      <c r="B146" s="289"/>
      <c r="C146" s="289"/>
      <c r="D146" s="289"/>
      <c r="E146" s="289" t="s">
        <v>355</v>
      </c>
      <c r="F146" s="289" t="s">
        <v>961</v>
      </c>
      <c r="G146" s="289" t="s">
        <v>962</v>
      </c>
      <c r="H146" s="289" t="s">
        <v>963</v>
      </c>
      <c r="I146" s="289" t="s">
        <v>964</v>
      </c>
      <c r="J146" s="289" t="s">
        <v>965</v>
      </c>
      <c r="K146" s="289" t="s">
        <v>966</v>
      </c>
      <c r="L146" s="289" t="s">
        <v>967</v>
      </c>
      <c r="M146" s="289" t="s">
        <v>968</v>
      </c>
      <c r="N146" s="305" t="s">
        <v>932</v>
      </c>
    </row>
    <row r="147" spans="1:16" ht="13.5" thickBot="1" x14ac:dyDescent="0.35">
      <c r="A147" s="299"/>
      <c r="B147" s="282"/>
      <c r="C147" s="282"/>
      <c r="D147" s="282"/>
      <c r="E147" s="282" t="s">
        <v>816</v>
      </c>
      <c r="F147" s="282" t="s">
        <v>817</v>
      </c>
      <c r="G147" s="282" t="s">
        <v>818</v>
      </c>
      <c r="H147" s="282" t="s">
        <v>819</v>
      </c>
      <c r="I147" s="282" t="s">
        <v>820</v>
      </c>
      <c r="J147" s="282" t="s">
        <v>821</v>
      </c>
      <c r="K147" s="282" t="s">
        <v>822</v>
      </c>
      <c r="L147" s="282" t="s">
        <v>823</v>
      </c>
      <c r="M147" s="282" t="s">
        <v>908</v>
      </c>
      <c r="N147" s="300" t="s">
        <v>914</v>
      </c>
    </row>
    <row r="148" spans="1:16" x14ac:dyDescent="0.3">
      <c r="A148" s="157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158"/>
      <c r="P148" s="32" t="s">
        <v>1286</v>
      </c>
    </row>
    <row r="149" spans="1:16" x14ac:dyDescent="0.3">
      <c r="A149" s="157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158"/>
    </row>
    <row r="150" spans="1:16" x14ac:dyDescent="0.3">
      <c r="A150" s="157"/>
      <c r="B150" s="35"/>
      <c r="C150" s="408" t="s">
        <v>1284</v>
      </c>
      <c r="D150" s="35" t="s">
        <v>1010</v>
      </c>
      <c r="E150" s="35">
        <f>SUM(F150:N150)</f>
        <v>252261392.01969546</v>
      </c>
      <c r="F150" s="35">
        <f>SUMIF($D$10:$D$60,$D150,F$10:F$60)</f>
        <v>147625506.54477522</v>
      </c>
      <c r="G150" s="35">
        <f t="shared" ref="G150:N150" si="48">SUMIF($D$10:$D$60,$D150,G$10:G$60)</f>
        <v>36378775.155249834</v>
      </c>
      <c r="H150" s="35">
        <f t="shared" si="48"/>
        <v>37502606.519196369</v>
      </c>
      <c r="I150" s="35">
        <f t="shared" si="48"/>
        <v>7061200.4204792213</v>
      </c>
      <c r="J150" s="35">
        <f t="shared" si="48"/>
        <v>1817347.1715938335</v>
      </c>
      <c r="K150" s="35">
        <f t="shared" si="48"/>
        <v>2861633.4148518252</v>
      </c>
      <c r="L150" s="35">
        <f t="shared" si="48"/>
        <v>61440.921581034236</v>
      </c>
      <c r="M150" s="35">
        <f t="shared" si="48"/>
        <v>446326.71577391017</v>
      </c>
      <c r="N150" s="158">
        <f t="shared" si="48"/>
        <v>18506555.156194236</v>
      </c>
      <c r="P150" s="32">
        <f>F150+G150</f>
        <v>184004281.70002505</v>
      </c>
    </row>
    <row r="151" spans="1:16" x14ac:dyDescent="0.3">
      <c r="A151" s="157"/>
      <c r="B151" s="35"/>
      <c r="C151" s="408" t="s">
        <v>1284</v>
      </c>
      <c r="D151" s="35" t="s">
        <v>928</v>
      </c>
      <c r="E151" s="35">
        <f t="shared" ref="E151:E152" si="49">SUM(F151:N151)</f>
        <v>896191227.42448425</v>
      </c>
      <c r="F151" s="35">
        <f t="shared" ref="F151:N152" si="50">SUMIF($D$10:$D$60,$D151,F$10:F$60)</f>
        <v>364807161.14035642</v>
      </c>
      <c r="G151" s="35">
        <f t="shared" si="50"/>
        <v>107721353.69248542</v>
      </c>
      <c r="H151" s="35">
        <f t="shared" si="50"/>
        <v>185514286.84394145</v>
      </c>
      <c r="I151" s="35">
        <f t="shared" si="50"/>
        <v>109278655.42879477</v>
      </c>
      <c r="J151" s="35">
        <f t="shared" si="50"/>
        <v>45245706.785026394</v>
      </c>
      <c r="K151" s="35">
        <f t="shared" si="50"/>
        <v>65159588.541473955</v>
      </c>
      <c r="L151" s="35">
        <f t="shared" si="50"/>
        <v>14886854.395131122</v>
      </c>
      <c r="M151" s="35">
        <f t="shared" si="50"/>
        <v>93056.749832811678</v>
      </c>
      <c r="N151" s="158">
        <f t="shared" si="50"/>
        <v>3484563.8474417995</v>
      </c>
      <c r="P151" s="32">
        <f t="shared" ref="P151:P152" si="51">F151+G151</f>
        <v>472528514.83284187</v>
      </c>
    </row>
    <row r="152" spans="1:16" x14ac:dyDescent="0.3">
      <c r="A152" s="157"/>
      <c r="B152" s="35"/>
      <c r="C152" s="35" t="s">
        <v>1283</v>
      </c>
      <c r="D152" s="35" t="s">
        <v>927</v>
      </c>
      <c r="E152" s="118">
        <f t="shared" si="49"/>
        <v>487562310.63968199</v>
      </c>
      <c r="F152" s="118">
        <f t="shared" si="50"/>
        <v>165361081.28511322</v>
      </c>
      <c r="G152" s="118">
        <f t="shared" si="50"/>
        <v>44372960.116627052</v>
      </c>
      <c r="H152" s="118">
        <f t="shared" si="50"/>
        <v>107852942.14863035</v>
      </c>
      <c r="I152" s="118">
        <f t="shared" si="50"/>
        <v>70024335.506175652</v>
      </c>
      <c r="J152" s="118">
        <f t="shared" si="50"/>
        <v>33862421.550210364</v>
      </c>
      <c r="K152" s="118">
        <f t="shared" si="50"/>
        <v>53952613.845451511</v>
      </c>
      <c r="L152" s="118">
        <f t="shared" si="50"/>
        <v>10047634.118041299</v>
      </c>
      <c r="M152" s="118">
        <f t="shared" si="50"/>
        <v>95127.555834043611</v>
      </c>
      <c r="N152" s="251">
        <f t="shared" si="50"/>
        <v>1993194.5135985899</v>
      </c>
      <c r="P152" s="120">
        <f t="shared" si="51"/>
        <v>209734041.40174025</v>
      </c>
    </row>
    <row r="153" spans="1:16" x14ac:dyDescent="0.3">
      <c r="A153" s="157"/>
      <c r="B153" s="35"/>
      <c r="C153" s="35"/>
      <c r="D153" s="167" t="s">
        <v>355</v>
      </c>
      <c r="E153" s="35">
        <f>SUM(E150:E152)</f>
        <v>1636014930.0838618</v>
      </c>
      <c r="F153" s="35">
        <f>SUM(F150:F152)</f>
        <v>677793748.97024488</v>
      </c>
      <c r="G153" s="35">
        <f t="shared" ref="G153:N153" si="52">SUM(G150:G152)</f>
        <v>188473088.96436232</v>
      </c>
      <c r="H153" s="35">
        <f t="shared" si="52"/>
        <v>330869835.51176816</v>
      </c>
      <c r="I153" s="35">
        <f t="shared" si="52"/>
        <v>186364191.35544965</v>
      </c>
      <c r="J153" s="35">
        <f t="shared" si="52"/>
        <v>80925475.506830588</v>
      </c>
      <c r="K153" s="35">
        <f t="shared" si="52"/>
        <v>121973835.8017773</v>
      </c>
      <c r="L153" s="35">
        <f t="shared" si="52"/>
        <v>24995929.434753455</v>
      </c>
      <c r="M153" s="35">
        <f t="shared" si="52"/>
        <v>634511.02144076547</v>
      </c>
      <c r="N153" s="158">
        <f t="shared" si="52"/>
        <v>23984313.517234627</v>
      </c>
      <c r="P153" s="32">
        <f>SUM(P150:P152)</f>
        <v>866266837.93460727</v>
      </c>
    </row>
    <row r="154" spans="1:16" x14ac:dyDescent="0.3">
      <c r="A154" s="157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158"/>
    </row>
    <row r="155" spans="1:16" x14ac:dyDescent="0.3">
      <c r="A155" s="157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158"/>
    </row>
    <row r="156" spans="1:16" x14ac:dyDescent="0.3">
      <c r="A156" s="157"/>
      <c r="B156" s="35"/>
      <c r="C156" s="167" t="s">
        <v>1285</v>
      </c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158"/>
    </row>
    <row r="157" spans="1:16" x14ac:dyDescent="0.3">
      <c r="A157" s="157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158"/>
    </row>
    <row r="158" spans="1:16" x14ac:dyDescent="0.3">
      <c r="A158" s="157"/>
      <c r="B158" s="35"/>
      <c r="C158" s="408" t="s">
        <v>1284</v>
      </c>
      <c r="D158" s="35" t="s">
        <v>1010</v>
      </c>
      <c r="E158" s="165">
        <f>E150/E$153</f>
        <v>0.15419259774528132</v>
      </c>
      <c r="F158" s="165">
        <f t="shared" ref="F158:N158" si="53">F150/F$153</f>
        <v>0.21780299208875703</v>
      </c>
      <c r="G158" s="165">
        <f t="shared" si="53"/>
        <v>0.19301840573180482</v>
      </c>
      <c r="H158" s="165">
        <f t="shared" si="53"/>
        <v>0.11334549872517014</v>
      </c>
      <c r="I158" s="165">
        <f t="shared" si="53"/>
        <v>3.7889255275502465E-2</v>
      </c>
      <c r="J158" s="165">
        <f t="shared" si="53"/>
        <v>2.2457046563049712E-2</v>
      </c>
      <c r="K158" s="165">
        <f t="shared" si="53"/>
        <v>2.3461043067484869E-2</v>
      </c>
      <c r="L158" s="165">
        <f t="shared" si="53"/>
        <v>2.4580370872550532E-3</v>
      </c>
      <c r="M158" s="165">
        <f t="shared" si="53"/>
        <v>0.70341838154434144</v>
      </c>
      <c r="N158" s="166">
        <f t="shared" si="53"/>
        <v>0.77161079231622831</v>
      </c>
      <c r="P158" s="406">
        <f t="shared" ref="P158" si="54">P150/P$153</f>
        <v>0.21241062642861455</v>
      </c>
    </row>
    <row r="159" spans="1:16" x14ac:dyDescent="0.3">
      <c r="A159" s="157"/>
      <c r="B159" s="35"/>
      <c r="C159" s="408" t="s">
        <v>1284</v>
      </c>
      <c r="D159" s="35" t="s">
        <v>928</v>
      </c>
      <c r="E159" s="165">
        <f t="shared" ref="E159:N160" si="55">E151/E$153</f>
        <v>0.54778914968614967</v>
      </c>
      <c r="F159" s="165">
        <f t="shared" si="55"/>
        <v>0.53822739099408756</v>
      </c>
      <c r="G159" s="165">
        <f t="shared" si="55"/>
        <v>0.57154766383042654</v>
      </c>
      <c r="H159" s="165">
        <f t="shared" si="55"/>
        <v>0.56068661126814379</v>
      </c>
      <c r="I159" s="165">
        <f t="shared" si="55"/>
        <v>0.58637152681530547</v>
      </c>
      <c r="J159" s="165">
        <f t="shared" si="55"/>
        <v>0.55910337877727256</v>
      </c>
      <c r="K159" s="165">
        <f t="shared" si="55"/>
        <v>0.53420955496854594</v>
      </c>
      <c r="L159" s="165">
        <f t="shared" si="55"/>
        <v>0.59557114825396196</v>
      </c>
      <c r="M159" s="165">
        <f t="shared" si="55"/>
        <v>0.14665899675235028</v>
      </c>
      <c r="N159" s="166">
        <f t="shared" si="55"/>
        <v>0.14528511916498527</v>
      </c>
      <c r="P159" s="406">
        <f t="shared" ref="P159" si="56">P151/P$153</f>
        <v>0.54547686017793984</v>
      </c>
    </row>
    <row r="160" spans="1:16" x14ac:dyDescent="0.3">
      <c r="A160" s="157"/>
      <c r="B160" s="35"/>
      <c r="C160" s="35" t="s">
        <v>1283</v>
      </c>
      <c r="D160" s="35" t="s">
        <v>927</v>
      </c>
      <c r="E160" s="409">
        <f t="shared" si="55"/>
        <v>0.29801825256856895</v>
      </c>
      <c r="F160" s="409">
        <f t="shared" si="55"/>
        <v>0.24396961691715538</v>
      </c>
      <c r="G160" s="409">
        <f t="shared" si="55"/>
        <v>0.23543393043776861</v>
      </c>
      <c r="H160" s="409">
        <f t="shared" si="55"/>
        <v>0.32596789000668608</v>
      </c>
      <c r="I160" s="409">
        <f t="shared" si="55"/>
        <v>0.37573921790919201</v>
      </c>
      <c r="J160" s="409">
        <f t="shared" si="55"/>
        <v>0.41843957465967779</v>
      </c>
      <c r="K160" s="409">
        <f t="shared" si="55"/>
        <v>0.44232940196396903</v>
      </c>
      <c r="L160" s="409">
        <f t="shared" si="55"/>
        <v>0.40197081465878298</v>
      </c>
      <c r="M160" s="409">
        <f t="shared" si="55"/>
        <v>0.14992262170330828</v>
      </c>
      <c r="N160" s="410">
        <f t="shared" si="55"/>
        <v>8.3104088518786326E-2</v>
      </c>
      <c r="P160" s="407">
        <f t="shared" ref="P160" si="57">P152/P$153</f>
        <v>0.24211251339344547</v>
      </c>
    </row>
    <row r="161" spans="1:16" x14ac:dyDescent="0.3">
      <c r="A161" s="157"/>
      <c r="B161" s="35"/>
      <c r="C161" s="35"/>
      <c r="D161" s="35"/>
      <c r="E161" s="165">
        <f>SUM(E158:E160)</f>
        <v>0.99999999999999989</v>
      </c>
      <c r="F161" s="165">
        <f t="shared" ref="F161:P161" si="58">SUM(F158:F160)</f>
        <v>0.99999999999999989</v>
      </c>
      <c r="G161" s="165">
        <f t="shared" si="58"/>
        <v>1</v>
      </c>
      <c r="H161" s="165">
        <f t="shared" si="58"/>
        <v>1</v>
      </c>
      <c r="I161" s="165">
        <f t="shared" si="58"/>
        <v>1</v>
      </c>
      <c r="J161" s="165">
        <f t="shared" si="58"/>
        <v>1</v>
      </c>
      <c r="K161" s="165">
        <f t="shared" si="58"/>
        <v>0.99999999999999978</v>
      </c>
      <c r="L161" s="165">
        <f t="shared" si="58"/>
        <v>1</v>
      </c>
      <c r="M161" s="165">
        <f t="shared" si="58"/>
        <v>1</v>
      </c>
      <c r="N161" s="166">
        <f t="shared" si="58"/>
        <v>1</v>
      </c>
      <c r="P161" s="406">
        <f t="shared" si="58"/>
        <v>0.99999999999999978</v>
      </c>
    </row>
    <row r="162" spans="1:16" x14ac:dyDescent="0.3">
      <c r="A162" s="157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158"/>
    </row>
    <row r="163" spans="1:16" x14ac:dyDescent="0.3">
      <c r="A163" s="157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158"/>
    </row>
    <row r="164" spans="1:16" x14ac:dyDescent="0.3">
      <c r="A164" s="157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158"/>
    </row>
    <row r="165" spans="1:16" x14ac:dyDescent="0.3">
      <c r="A165" s="157"/>
      <c r="B165" s="35"/>
      <c r="C165" s="167" t="s">
        <v>1287</v>
      </c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158"/>
    </row>
    <row r="166" spans="1:16" x14ac:dyDescent="0.3">
      <c r="A166" s="157"/>
      <c r="B166" s="35"/>
      <c r="C166" s="408" t="s">
        <v>1284</v>
      </c>
      <c r="D166" s="35" t="s">
        <v>1288</v>
      </c>
      <c r="E166" s="35"/>
      <c r="F166" s="411">
        <f>F150/F175</f>
        <v>21.635319175704161</v>
      </c>
      <c r="G166" s="411">
        <f t="shared" ref="G166:N166" si="59">G150/G175</f>
        <v>21.430315642565784</v>
      </c>
      <c r="H166" s="411">
        <f t="shared" si="59"/>
        <v>39.849630188402728</v>
      </c>
      <c r="I166" s="411">
        <f t="shared" si="59"/>
        <v>284.97862702717015</v>
      </c>
      <c r="J166" s="411">
        <f t="shared" si="59"/>
        <v>849.62467115186234</v>
      </c>
      <c r="K166" s="411">
        <f t="shared" si="59"/>
        <v>6088.5817337272874</v>
      </c>
      <c r="L166" s="411">
        <f t="shared" si="59"/>
        <v>731.43954263135993</v>
      </c>
      <c r="M166" s="411">
        <f t="shared" si="59"/>
        <v>21.828469495471715</v>
      </c>
      <c r="N166" s="412">
        <f t="shared" si="59"/>
        <v>165.07055520942475</v>
      </c>
      <c r="P166" s="178">
        <f>P150/P175</f>
        <v>21.594478244365767</v>
      </c>
    </row>
    <row r="167" spans="1:16" x14ac:dyDescent="0.3">
      <c r="A167" s="157"/>
      <c r="B167" s="35"/>
      <c r="C167" s="408" t="s">
        <v>1284</v>
      </c>
      <c r="D167" s="35" t="s">
        <v>1289</v>
      </c>
      <c r="E167" s="35"/>
      <c r="F167" s="414">
        <f>F151/F176</f>
        <v>4.8087758198234937E-2</v>
      </c>
      <c r="G167" s="414">
        <f t="shared" ref="G167:N167" si="60">G151/G176</f>
        <v>5.2916106356306482E-2</v>
      </c>
      <c r="H167" s="414">
        <f t="shared" si="60"/>
        <v>3.7492969974197411E-2</v>
      </c>
      <c r="I167" s="416"/>
      <c r="J167" s="416"/>
      <c r="K167" s="416"/>
      <c r="L167" s="416"/>
      <c r="M167" s="414">
        <f t="shared" si="60"/>
        <v>2.1322887785543667E-2</v>
      </c>
      <c r="N167" s="415">
        <f t="shared" si="60"/>
        <v>3.8106865149310332E-2</v>
      </c>
      <c r="P167" s="178">
        <f>P151/P176</f>
        <v>4.9109280974487135E-2</v>
      </c>
    </row>
    <row r="168" spans="1:16" x14ac:dyDescent="0.3">
      <c r="A168" s="157"/>
      <c r="B168" s="35"/>
      <c r="C168" s="408" t="s">
        <v>1284</v>
      </c>
      <c r="D168" s="35" t="s">
        <v>1290</v>
      </c>
      <c r="E168" s="35"/>
      <c r="F168" s="411"/>
      <c r="G168" s="411"/>
      <c r="H168" s="411"/>
      <c r="I168" s="411">
        <f>I151/I177</f>
        <v>13.207775983886844</v>
      </c>
      <c r="J168" s="411">
        <f t="shared" ref="J168:L168" si="61">J151/J177</f>
        <v>14.055857463817533</v>
      </c>
      <c r="K168" s="411">
        <f t="shared" si="61"/>
        <v>13.974506560504775</v>
      </c>
      <c r="L168" s="411">
        <f t="shared" si="61"/>
        <v>15.391845452584983</v>
      </c>
      <c r="M168" s="411"/>
      <c r="N168" s="412"/>
    </row>
    <row r="169" spans="1:16" x14ac:dyDescent="0.3">
      <c r="A169" s="157"/>
      <c r="B169" s="35"/>
      <c r="C169" s="35" t="s">
        <v>1283</v>
      </c>
      <c r="D169" s="35" t="s">
        <v>1292</v>
      </c>
      <c r="E169" s="35"/>
      <c r="F169" s="414">
        <f>F152/F176</f>
        <v>2.1797389249104661E-2</v>
      </c>
      <c r="G169" s="414">
        <f t="shared" ref="G169:N169" si="62">G152/G176</f>
        <v>2.1797389249104664E-2</v>
      </c>
      <c r="H169" s="414">
        <f t="shared" si="62"/>
        <v>2.1797389249104664E-2</v>
      </c>
      <c r="I169" s="414">
        <f t="shared" si="62"/>
        <v>2.1793541255546146E-2</v>
      </c>
      <c r="J169" s="414">
        <f t="shared" si="62"/>
        <v>2.1775757454949758E-2</v>
      </c>
      <c r="K169" s="414">
        <f t="shared" si="62"/>
        <v>2.1667398754508987E-2</v>
      </c>
      <c r="L169" s="414">
        <f t="shared" si="62"/>
        <v>2.1557974198493476E-2</v>
      </c>
      <c r="M169" s="414">
        <f t="shared" si="62"/>
        <v>2.1797389249104668E-2</v>
      </c>
      <c r="N169" s="415">
        <f t="shared" si="62"/>
        <v>2.1797389249104664E-2</v>
      </c>
      <c r="P169" s="178">
        <f>P153/P176</f>
        <v>9.0029998629945929E-2</v>
      </c>
    </row>
    <row r="170" spans="1:16" x14ac:dyDescent="0.3">
      <c r="A170" s="157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158"/>
    </row>
    <row r="171" spans="1:16" x14ac:dyDescent="0.3">
      <c r="A171" s="157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158"/>
    </row>
    <row r="172" spans="1:16" x14ac:dyDescent="0.3">
      <c r="A172" s="157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158"/>
    </row>
    <row r="173" spans="1:16" x14ac:dyDescent="0.3">
      <c r="A173" s="157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158"/>
    </row>
    <row r="174" spans="1:16" x14ac:dyDescent="0.3">
      <c r="A174" s="157"/>
      <c r="B174" s="35"/>
      <c r="C174" s="413" t="s">
        <v>1291</v>
      </c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158"/>
    </row>
    <row r="175" spans="1:16" x14ac:dyDescent="0.3">
      <c r="A175" s="157"/>
      <c r="B175" s="35"/>
      <c r="C175" s="35"/>
      <c r="D175" s="35" t="s">
        <v>1341</v>
      </c>
      <c r="E175" s="35"/>
      <c r="F175" s="35">
        <v>6823357</v>
      </c>
      <c r="G175" s="35">
        <v>1697538</v>
      </c>
      <c r="H175" s="35">
        <v>941103</v>
      </c>
      <c r="I175" s="35">
        <v>24778</v>
      </c>
      <c r="J175" s="35">
        <v>2139</v>
      </c>
      <c r="K175" s="35">
        <v>470</v>
      </c>
      <c r="L175" s="35">
        <v>84</v>
      </c>
      <c r="M175" s="35">
        <v>20447</v>
      </c>
      <c r="N175" s="158">
        <v>112113</v>
      </c>
      <c r="P175" s="32">
        <f>F175+G175</f>
        <v>8520895</v>
      </c>
    </row>
    <row r="176" spans="1:16" x14ac:dyDescent="0.3">
      <c r="A176" s="157"/>
      <c r="B176" s="35"/>
      <c r="C176" s="35"/>
      <c r="D176" s="35" t="s">
        <v>13</v>
      </c>
      <c r="E176" s="35"/>
      <c r="F176" s="35">
        <v>7586279228</v>
      </c>
      <c r="G176" s="35">
        <v>2035700680</v>
      </c>
      <c r="H176" s="35">
        <v>4947975233</v>
      </c>
      <c r="I176" s="35">
        <v>3213077429.0000005</v>
      </c>
      <c r="J176" s="35">
        <v>1555051374</v>
      </c>
      <c r="K176" s="35">
        <v>2490036504</v>
      </c>
      <c r="L176" s="35">
        <v>466075060</v>
      </c>
      <c r="M176" s="35">
        <v>4364172</v>
      </c>
      <c r="N176" s="158">
        <v>91441892</v>
      </c>
      <c r="P176" s="32">
        <f>F176+G176</f>
        <v>9621979908</v>
      </c>
    </row>
    <row r="177" spans="1:14" x14ac:dyDescent="0.3">
      <c r="A177" s="157"/>
      <c r="B177" s="35"/>
      <c r="C177" s="35"/>
      <c r="D177" s="35" t="s">
        <v>1342</v>
      </c>
      <c r="E177" s="35"/>
      <c r="F177" s="35"/>
      <c r="G177" s="35"/>
      <c r="H177" s="35"/>
      <c r="I177" s="35">
        <v>8273812</v>
      </c>
      <c r="J177" s="35">
        <v>3218993</v>
      </c>
      <c r="K177" s="35">
        <v>4662747</v>
      </c>
      <c r="L177" s="35">
        <v>967191</v>
      </c>
      <c r="M177" s="35"/>
      <c r="N177" s="158"/>
    </row>
    <row r="178" spans="1:14" ht="13.5" thickBot="1" x14ac:dyDescent="0.35">
      <c r="A178" s="33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161"/>
    </row>
  </sheetData>
  <customSheetViews>
    <customSheetView guid="{121E4431-22F3-11D5-8242-00600818425F}" scale="75" showRuler="0">
      <pane xSplit="2" ySplit="7" topLeftCell="C8" activePane="bottomRight" state="frozen"/>
      <selection pane="bottomRight" activeCell="F11" sqref="F11"/>
      <pageMargins left="0" right="0" top="0.5" bottom="0.4" header="0.2" footer="0.2"/>
      <printOptions horizontalCentered="1" gridLines="1"/>
      <pageSetup scale="55" orientation="landscape" horizontalDpi="300" vertic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showRuler="0">
      <pane xSplit="2" ySplit="7" topLeftCell="C8" activePane="bottomRight" state="frozen"/>
      <selection pane="bottomRight" activeCell="F11" sqref="F11"/>
      <pageMargins left="0" right="0" top="0.5" bottom="0.4" header="0.2" footer="0.2"/>
      <printOptions horizontalCentered="1" gridLines="1"/>
      <pageSetup scale="55" orientation="landscape" horizontalDpi="300" vertic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showRuler="0">
      <pane xSplit="2" ySplit="7" topLeftCell="C8" activePane="bottomRight" state="frozen"/>
      <selection pane="bottomRight" activeCell="F11" sqref="F11"/>
      <pageMargins left="0" right="0" top="0.5" bottom="0.4" header="0.2" footer="0.2"/>
      <printOptions horizontalCentered="1" gridLines="1"/>
      <pageSetup scale="55" orientation="landscape" horizontalDpi="300" verticalDpi="30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50" orientation="landscape" horizontalDpi="300" verticalDpi="300" r:id="rId4"/>
  <headerFooter alignWithMargins="0">
    <oddFooter>&amp;L&amp;8&amp;F&amp;C&amp;8&amp;A
page &amp;P&amp;R&amp;8&amp;D
&amp;T</oddFooter>
  </headerFooter>
  <rowBreaks count="2" manualBreakCount="2">
    <brk id="74" max="16383" man="1"/>
    <brk id="139" max="1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V44"/>
  <sheetViews>
    <sheetView zoomScale="75" zoomScaleNormal="75" workbookViewId="0">
      <pane xSplit="5" ySplit="6" topLeftCell="F7" activePane="bottomRight" state="frozen"/>
      <selection activeCell="B56" sqref="A1:XFD1048576"/>
      <selection pane="topRight" activeCell="B56" sqref="A1:XFD1048576"/>
      <selection pane="bottomLeft" activeCell="B56" sqref="A1:XFD1048576"/>
      <selection pane="bottomRight" activeCell="D14" sqref="D14"/>
    </sheetView>
  </sheetViews>
  <sheetFormatPr defaultColWidth="9.1796875" defaultRowHeight="13" x14ac:dyDescent="0.3"/>
  <cols>
    <col min="1" max="2" width="2.81640625" style="137" customWidth="1"/>
    <col min="3" max="3" width="5" style="137" customWidth="1"/>
    <col min="4" max="4" width="40.81640625" style="137" bestFit="1" customWidth="1"/>
    <col min="5" max="5" width="24.54296875" style="137" bestFit="1" customWidth="1"/>
    <col min="6" max="6" width="6.453125" style="137" bestFit="1" customWidth="1"/>
    <col min="7" max="7" width="17" style="136" bestFit="1" customWidth="1"/>
    <col min="8" max="8" width="12.1796875" style="136" bestFit="1" customWidth="1"/>
    <col min="9" max="9" width="16.1796875" style="136" bestFit="1" customWidth="1"/>
    <col min="10" max="10" width="19.1796875" style="136" bestFit="1" customWidth="1"/>
    <col min="11" max="11" width="16.54296875" style="136" bestFit="1" customWidth="1"/>
    <col min="12" max="22" width="9.1796875" style="136"/>
    <col min="23" max="16384" width="9.1796875" style="137"/>
  </cols>
  <sheetData>
    <row r="1" spans="1:14" x14ac:dyDescent="0.3">
      <c r="A1" s="339" t="s">
        <v>328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M1" s="1"/>
      <c r="N1" s="1"/>
    </row>
    <row r="2" spans="1:14" x14ac:dyDescent="0.3">
      <c r="A2" s="335"/>
      <c r="B2" s="335"/>
      <c r="C2" s="335"/>
      <c r="D2" s="335"/>
      <c r="E2" s="335"/>
      <c r="F2" s="335"/>
      <c r="G2" s="335"/>
      <c r="H2" s="335"/>
      <c r="I2" s="335"/>
      <c r="J2" s="335"/>
      <c r="K2" s="335"/>
    </row>
    <row r="3" spans="1:14" x14ac:dyDescent="0.3">
      <c r="A3" s="336"/>
      <c r="B3" s="336"/>
      <c r="C3" s="336"/>
      <c r="D3" s="336"/>
      <c r="E3" s="336"/>
      <c r="F3" s="336"/>
      <c r="G3" s="337"/>
      <c r="H3" s="337"/>
      <c r="I3" s="337"/>
      <c r="J3" s="337"/>
      <c r="K3" s="337"/>
    </row>
    <row r="4" spans="1:14" x14ac:dyDescent="0.3">
      <c r="A4" s="336"/>
      <c r="B4" s="336"/>
      <c r="C4" s="336"/>
      <c r="D4" s="336"/>
      <c r="E4" s="336"/>
      <c r="F4" s="336"/>
      <c r="G4" s="338"/>
      <c r="H4" s="338"/>
      <c r="I4" s="338"/>
      <c r="J4" s="338" t="s">
        <v>331</v>
      </c>
      <c r="K4" s="338"/>
    </row>
    <row r="5" spans="1:14" x14ac:dyDescent="0.3">
      <c r="A5" s="336" t="s">
        <v>190</v>
      </c>
      <c r="B5" s="336" t="s">
        <v>308</v>
      </c>
      <c r="C5" s="336"/>
      <c r="D5" s="336"/>
      <c r="E5" s="336"/>
      <c r="F5" s="336"/>
      <c r="G5" s="337"/>
      <c r="H5" s="338" t="s">
        <v>302</v>
      </c>
      <c r="I5" s="337"/>
      <c r="J5" s="337"/>
      <c r="K5" s="337"/>
    </row>
    <row r="6" spans="1:14" x14ac:dyDescent="0.3">
      <c r="A6" s="336"/>
      <c r="B6" s="336"/>
      <c r="C6" s="336"/>
      <c r="D6" s="336"/>
      <c r="E6" s="338" t="s">
        <v>329</v>
      </c>
      <c r="F6" s="338" t="s">
        <v>330</v>
      </c>
      <c r="G6" s="338" t="s">
        <v>355</v>
      </c>
      <c r="H6" s="338" t="s">
        <v>300</v>
      </c>
      <c r="I6" s="338" t="s">
        <v>301</v>
      </c>
      <c r="J6" s="338" t="s">
        <v>947</v>
      </c>
      <c r="K6" s="338" t="s">
        <v>364</v>
      </c>
    </row>
    <row r="7" spans="1:14" x14ac:dyDescent="0.3">
      <c r="B7" s="137" t="s">
        <v>325</v>
      </c>
      <c r="C7" s="137" t="s">
        <v>326</v>
      </c>
    </row>
    <row r="9" spans="1:14" x14ac:dyDescent="0.3">
      <c r="D9" s="4" t="s">
        <v>953</v>
      </c>
      <c r="E9" s="136" t="s">
        <v>202</v>
      </c>
      <c r="F9" s="136" t="s">
        <v>1351</v>
      </c>
      <c r="G9" s="139">
        <f>'1. RB-i'!D465</f>
        <v>8315341179.6024952</v>
      </c>
      <c r="H9" s="139">
        <f>'1. RB-i'!E465</f>
        <v>0</v>
      </c>
      <c r="I9" s="139">
        <f>'1. RB-i'!F465</f>
        <v>8315341179.6024952</v>
      </c>
      <c r="J9" s="139">
        <f>'1. RB-i'!G465</f>
        <v>681174168.12636185</v>
      </c>
      <c r="K9" s="139">
        <f>'1. RB-i'!H465</f>
        <v>7634167011.4761333</v>
      </c>
    </row>
    <row r="10" spans="1:14" x14ac:dyDescent="0.3">
      <c r="C10" s="137" t="s">
        <v>303</v>
      </c>
      <c r="D10" s="136" t="s">
        <v>305</v>
      </c>
      <c r="E10" s="136" t="s">
        <v>202</v>
      </c>
      <c r="F10" s="136" t="s">
        <v>1352</v>
      </c>
      <c r="G10" s="38">
        <f>-'1. RB-i'!D418</f>
        <v>0</v>
      </c>
      <c r="H10" s="38">
        <f>-'1. RB-i'!E418</f>
        <v>0</v>
      </c>
      <c r="I10" s="38">
        <f>-'1. RB-i'!F418</f>
        <v>0</v>
      </c>
      <c r="J10" s="38">
        <f>-'1. RB-i'!G418</f>
        <v>0</v>
      </c>
      <c r="K10" s="38">
        <f>-'1. RB-i'!H418</f>
        <v>0</v>
      </c>
    </row>
    <row r="11" spans="1:14" x14ac:dyDescent="0.3">
      <c r="D11" s="137" t="s">
        <v>306</v>
      </c>
      <c r="G11" s="139">
        <f>SUM(G9:G10)</f>
        <v>8315341179.6024952</v>
      </c>
      <c r="H11" s="139">
        <f>SUM(H9:H10)</f>
        <v>0</v>
      </c>
      <c r="I11" s="139">
        <f>SUM(I9:I10)</f>
        <v>8315341179.6024952</v>
      </c>
      <c r="J11" s="139">
        <f>SUM(J9:J10)</f>
        <v>681174168.12636185</v>
      </c>
      <c r="K11" s="139">
        <f>SUM(K9:K10)</f>
        <v>7634167011.4761333</v>
      </c>
    </row>
    <row r="12" spans="1:14" x14ac:dyDescent="0.3">
      <c r="C12" s="137" t="s">
        <v>303</v>
      </c>
      <c r="D12" s="137" t="s">
        <v>304</v>
      </c>
      <c r="E12" s="136" t="s">
        <v>249</v>
      </c>
      <c r="F12" s="137" t="s">
        <v>316</v>
      </c>
      <c r="I12" s="140">
        <f>SUM(J12:K12)</f>
        <v>947572667.61717868</v>
      </c>
      <c r="J12" s="141"/>
      <c r="K12" s="142">
        <f>'9a. Summary Schedules'!G21</f>
        <v>947572667.61717868</v>
      </c>
    </row>
    <row r="13" spans="1:14" x14ac:dyDescent="0.3">
      <c r="D13" s="137" t="s">
        <v>307</v>
      </c>
      <c r="I13" s="139">
        <f>I11-I12</f>
        <v>7367768511.9853163</v>
      </c>
      <c r="J13" s="139">
        <f>J11-J12</f>
        <v>681174168.12636185</v>
      </c>
      <c r="K13" s="139">
        <f>K11-K12</f>
        <v>6686594343.8589544</v>
      </c>
    </row>
    <row r="15" spans="1:14" x14ac:dyDescent="0.3">
      <c r="B15" s="137" t="s">
        <v>192</v>
      </c>
      <c r="C15" s="137" t="s">
        <v>327</v>
      </c>
    </row>
    <row r="17" spans="1:11" x14ac:dyDescent="0.3">
      <c r="D17" s="137" t="s">
        <v>257</v>
      </c>
      <c r="E17" s="137" t="s">
        <v>291</v>
      </c>
      <c r="F17" s="137" t="s">
        <v>310</v>
      </c>
      <c r="I17" s="139">
        <f>SUM(J17:K17)</f>
        <v>7367768513.9151249</v>
      </c>
      <c r="J17" s="143">
        <v>681174168.18047595</v>
      </c>
      <c r="K17" s="139">
        <f>'10q. TY summary by class'!E9</f>
        <v>6686594345.7346487</v>
      </c>
    </row>
    <row r="19" spans="1:11" x14ac:dyDescent="0.3">
      <c r="B19" s="137" t="s">
        <v>193</v>
      </c>
      <c r="C19" s="137" t="s">
        <v>309</v>
      </c>
      <c r="I19" s="139">
        <f>I17-I13</f>
        <v>1.9298086166381836</v>
      </c>
      <c r="J19" s="139">
        <f>J17-J13</f>
        <v>5.4114103317260742E-2</v>
      </c>
      <c r="K19" s="139">
        <f>K17-K13</f>
        <v>1.8756942749023438</v>
      </c>
    </row>
    <row r="20" spans="1:11" x14ac:dyDescent="0.3">
      <c r="K20" s="139"/>
    </row>
    <row r="21" spans="1:11" x14ac:dyDescent="0.3">
      <c r="K21" s="139"/>
    </row>
    <row r="22" spans="1:11" x14ac:dyDescent="0.3">
      <c r="K22" s="139"/>
    </row>
    <row r="24" spans="1:11" x14ac:dyDescent="0.3">
      <c r="A24" s="137" t="s">
        <v>191</v>
      </c>
      <c r="B24" s="137" t="s">
        <v>164</v>
      </c>
      <c r="H24" s="138" t="s">
        <v>302</v>
      </c>
    </row>
    <row r="25" spans="1:11" x14ac:dyDescent="0.3">
      <c r="G25" s="138" t="s">
        <v>355</v>
      </c>
      <c r="H25" s="138" t="s">
        <v>300</v>
      </c>
      <c r="I25" s="138" t="s">
        <v>301</v>
      </c>
      <c r="J25" s="138" t="s">
        <v>947</v>
      </c>
      <c r="K25" s="138" t="s">
        <v>364</v>
      </c>
    </row>
    <row r="26" spans="1:11" x14ac:dyDescent="0.3">
      <c r="B26" s="137" t="s">
        <v>325</v>
      </c>
      <c r="C26" s="137" t="s">
        <v>326</v>
      </c>
      <c r="E26" s="138" t="s">
        <v>329</v>
      </c>
      <c r="F26" s="138" t="s">
        <v>330</v>
      </c>
    </row>
    <row r="28" spans="1:11" x14ac:dyDescent="0.3">
      <c r="D28" s="137" t="s">
        <v>215</v>
      </c>
      <c r="E28" s="136" t="s">
        <v>217</v>
      </c>
      <c r="F28" s="137" t="s">
        <v>1353</v>
      </c>
      <c r="G28" s="139">
        <f>'3a. OM_AG-i'!D279</f>
        <v>1342873675.53</v>
      </c>
      <c r="H28" s="139">
        <f>'3a. OM_AG-i'!E279</f>
        <v>3350004</v>
      </c>
      <c r="I28" s="139">
        <f>'3a. OM_AG-i'!F279</f>
        <v>1346223679.53</v>
      </c>
      <c r="J28" s="139">
        <f>'3a. OM_AG-i'!G279</f>
        <v>116572622.5551343</v>
      </c>
      <c r="K28" s="139">
        <f>'3a. OM_AG-i'!H279</f>
        <v>1229651056.9748657</v>
      </c>
    </row>
    <row r="29" spans="1:11" x14ac:dyDescent="0.3">
      <c r="D29" s="137" t="s">
        <v>311</v>
      </c>
      <c r="E29" s="136" t="s">
        <v>234</v>
      </c>
      <c r="F29" s="137" t="s">
        <v>312</v>
      </c>
      <c r="G29" s="144">
        <f>'6a. OE_OR-i'!D82</f>
        <v>119038.52</v>
      </c>
      <c r="H29" s="144">
        <f>'6a. OE_OR-i'!E82</f>
        <v>0</v>
      </c>
      <c r="I29" s="144">
        <f>'6a. OE_OR-i'!F82</f>
        <v>119038.52</v>
      </c>
      <c r="J29" s="144">
        <f>'6a. OE_OR-i'!G82</f>
        <v>8892.9070411804132</v>
      </c>
      <c r="K29" s="144">
        <f>'6a. OE_OR-i'!H82</f>
        <v>110145.61295881959</v>
      </c>
    </row>
    <row r="30" spans="1:11" x14ac:dyDescent="0.3">
      <c r="D30" s="137" t="s">
        <v>88</v>
      </c>
      <c r="E30" s="136" t="s">
        <v>234</v>
      </c>
      <c r="F30" s="137" t="s">
        <v>1354</v>
      </c>
      <c r="G30" s="144">
        <f>'6a. OE_OR-i'!D83</f>
        <v>26741243.059999999</v>
      </c>
      <c r="H30" s="144">
        <f>'6a. OE_OR-i'!E83</f>
        <v>0</v>
      </c>
      <c r="I30" s="144">
        <f>'6a. OE_OR-i'!F83</f>
        <v>26741243.059999999</v>
      </c>
      <c r="J30" s="144">
        <f>'6a. OE_OR-i'!G83</f>
        <v>0</v>
      </c>
      <c r="K30" s="144">
        <f>'6a. OE_OR-i'!H83</f>
        <v>26741243.059999999</v>
      </c>
    </row>
    <row r="31" spans="1:11" x14ac:dyDescent="0.3">
      <c r="D31" s="35" t="s">
        <v>89</v>
      </c>
      <c r="E31" s="136" t="s">
        <v>234</v>
      </c>
      <c r="F31" s="137" t="s">
        <v>313</v>
      </c>
      <c r="G31" s="38">
        <f>'6a. OE_OR-i'!D32</f>
        <v>6843089.2800000012</v>
      </c>
      <c r="H31" s="38">
        <f>'6a. OE_OR-i'!E32</f>
        <v>0</v>
      </c>
      <c r="I31" s="38">
        <f>'6a. OE_OR-i'!F32</f>
        <v>6843089.2800000012</v>
      </c>
      <c r="J31" s="38">
        <f>'6a. OE_OR-i'!G32</f>
        <v>0</v>
      </c>
      <c r="K31" s="38">
        <f>'6a. OE_OR-i'!H32</f>
        <v>6843089.2800000012</v>
      </c>
    </row>
    <row r="32" spans="1:11" x14ac:dyDescent="0.3">
      <c r="D32" s="137" t="s">
        <v>1021</v>
      </c>
      <c r="G32" s="139">
        <f>SUM(G28:G31)</f>
        <v>1376577046.3899999</v>
      </c>
      <c r="H32" s="139">
        <f>SUM(H28:H31)</f>
        <v>3350004</v>
      </c>
      <c r="I32" s="139">
        <f>SUM(I28:I31)</f>
        <v>1379927050.3899999</v>
      </c>
      <c r="J32" s="139">
        <f>SUM(J28:J31)</f>
        <v>116581515.46217547</v>
      </c>
      <c r="K32" s="139">
        <f>SUM(K28:K31)</f>
        <v>1263345534.9278245</v>
      </c>
    </row>
    <row r="33" spans="2:11" x14ac:dyDescent="0.3">
      <c r="C33" s="137" t="s">
        <v>303</v>
      </c>
      <c r="D33" s="137" t="s">
        <v>314</v>
      </c>
      <c r="E33" s="136" t="s">
        <v>249</v>
      </c>
      <c r="F33" s="137" t="s">
        <v>317</v>
      </c>
      <c r="I33" s="144">
        <f>SUM(J33:K33)</f>
        <v>-72749734.219999999</v>
      </c>
      <c r="J33" s="144">
        <f>-'9a. Summary Schedules'!D39</f>
        <v>-72749734.219999999</v>
      </c>
      <c r="K33" s="144">
        <f>-'9a. Summary Schedules'!E39</f>
        <v>0</v>
      </c>
    </row>
    <row r="34" spans="2:11" x14ac:dyDescent="0.3">
      <c r="C34" s="137" t="s">
        <v>303</v>
      </c>
      <c r="D34" s="137" t="s">
        <v>315</v>
      </c>
      <c r="E34" s="136" t="s">
        <v>249</v>
      </c>
      <c r="F34" s="137" t="s">
        <v>318</v>
      </c>
      <c r="I34" s="144">
        <f>SUM(J34:K34)</f>
        <v>-29814875.529483594</v>
      </c>
      <c r="K34" s="144">
        <f>-'9a. Summary Schedules'!G47</f>
        <v>-29814875.529483594</v>
      </c>
    </row>
    <row r="35" spans="2:11" x14ac:dyDescent="0.3">
      <c r="C35" s="16" t="s">
        <v>141</v>
      </c>
      <c r="E35" s="136" t="s">
        <v>249</v>
      </c>
      <c r="F35" s="137" t="s">
        <v>319</v>
      </c>
      <c r="I35" s="144">
        <f>SUM(J35:K35)</f>
        <v>317042422.25951999</v>
      </c>
      <c r="J35" s="144"/>
      <c r="K35" s="144">
        <f>'9a. Summary Schedules'!E77</f>
        <v>317042422.25951999</v>
      </c>
    </row>
    <row r="36" spans="2:11" x14ac:dyDescent="0.3">
      <c r="C36" s="16" t="s">
        <v>148</v>
      </c>
      <c r="E36" s="136" t="s">
        <v>249</v>
      </c>
      <c r="F36" s="137" t="s">
        <v>320</v>
      </c>
      <c r="I36" s="145">
        <f>SUM(J36:K36)</f>
        <v>53285048.960000008</v>
      </c>
      <c r="J36" s="145">
        <f>'9a. Summary Schedules'!D78</f>
        <v>53285048.960000008</v>
      </c>
      <c r="K36" s="146"/>
    </row>
    <row r="37" spans="2:11" x14ac:dyDescent="0.3">
      <c r="C37" s="137" t="s">
        <v>322</v>
      </c>
      <c r="D37" s="137" t="s">
        <v>323</v>
      </c>
      <c r="E37" s="136" t="s">
        <v>249</v>
      </c>
      <c r="F37" s="137" t="s">
        <v>1355</v>
      </c>
      <c r="I37" s="38">
        <f>SUM(J37:K37)</f>
        <v>60215752.567019694</v>
      </c>
      <c r="J37" s="38"/>
      <c r="K37" s="38">
        <f>'9a. Summary Schedules'!E149</f>
        <v>60215752.567019694</v>
      </c>
    </row>
    <row r="38" spans="2:11" x14ac:dyDescent="0.3">
      <c r="D38" s="137" t="s">
        <v>321</v>
      </c>
      <c r="I38" s="139">
        <f>SUM(I32:I37)</f>
        <v>1707905664.4270561</v>
      </c>
      <c r="J38" s="139">
        <f>SUM(J32:J37)</f>
        <v>97116830.202175483</v>
      </c>
      <c r="K38" s="139">
        <f>SUM(K32:K37)</f>
        <v>1610788834.2248807</v>
      </c>
    </row>
    <row r="40" spans="2:11" x14ac:dyDescent="0.3">
      <c r="B40" s="137" t="s">
        <v>192</v>
      </c>
      <c r="C40" s="137" t="s">
        <v>327</v>
      </c>
    </row>
    <row r="42" spans="2:11" x14ac:dyDescent="0.3">
      <c r="D42" s="137" t="s">
        <v>164</v>
      </c>
      <c r="E42" s="137" t="s">
        <v>291</v>
      </c>
      <c r="F42" s="137" t="s">
        <v>1083</v>
      </c>
      <c r="I42" s="139">
        <f>SUM(J42:K42)</f>
        <v>1029010011.9670631</v>
      </c>
      <c r="J42" s="143">
        <v>97116830.202182457</v>
      </c>
      <c r="K42" s="139">
        <f>'10q. TY summary by class'!E22</f>
        <v>931893181.76488066</v>
      </c>
    </row>
    <row r="44" spans="2:11" x14ac:dyDescent="0.3">
      <c r="B44" s="137" t="s">
        <v>193</v>
      </c>
      <c r="C44" s="137" t="s">
        <v>309</v>
      </c>
      <c r="I44" s="139">
        <f>I42-I38</f>
        <v>-678895652.459993</v>
      </c>
      <c r="J44" s="139">
        <f>J42-J38</f>
        <v>6.9737434387207031E-6</v>
      </c>
      <c r="K44" s="139">
        <f>K42-K38</f>
        <v>-678895652.46000004</v>
      </c>
    </row>
  </sheetData>
  <phoneticPr fontId="9" type="noConversion"/>
  <printOptions horizontalCentered="1"/>
  <pageMargins left="0.25" right="0.25" top="0.75" bottom="0.75" header="0.25" footer="0.25"/>
  <pageSetup scale="63" orientation="portrait" r:id="rId1"/>
  <headerFooter alignWithMargins="0">
    <oddFooter>&amp;LCPS Energy&amp;C&amp;P&amp;R&amp;D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321"/>
  <sheetViews>
    <sheetView zoomScale="75" zoomScaleNormal="75" workbookViewId="0">
      <pane xSplit="2" ySplit="7" topLeftCell="C8" activePane="bottomRight" state="frozen"/>
      <selection activeCell="C368" sqref="C368"/>
      <selection pane="topRight" activeCell="C368" sqref="C368"/>
      <selection pane="bottomLeft" activeCell="C368" sqref="C368"/>
      <selection pane="bottomRight" activeCell="C8" sqref="C8"/>
    </sheetView>
  </sheetViews>
  <sheetFormatPr defaultColWidth="8.81640625" defaultRowHeight="13" x14ac:dyDescent="0.3"/>
  <cols>
    <col min="1" max="1" width="9.453125" style="4" customWidth="1"/>
    <col min="2" max="2" width="34.453125" style="4" customWidth="1"/>
    <col min="3" max="3" width="10" style="4" customWidth="1"/>
    <col min="4" max="4" width="15.81640625" style="4" bestFit="1" customWidth="1"/>
    <col min="5" max="5" width="15.54296875" style="4" customWidth="1"/>
    <col min="6" max="6" width="16.54296875" style="4" customWidth="1"/>
    <col min="7" max="8" width="14.453125" style="4" customWidth="1"/>
    <col min="9" max="9" width="14.1796875" style="4" bestFit="1" customWidth="1"/>
    <col min="10" max="10" width="12" style="4" bestFit="1" customWidth="1"/>
    <col min="11" max="11" width="14.1796875" style="4" bestFit="1" customWidth="1"/>
    <col min="12" max="12" width="12.54296875" style="4" bestFit="1" customWidth="1"/>
    <col min="13" max="13" width="14.1796875" style="4" bestFit="1" customWidth="1"/>
    <col min="14" max="14" width="13.81640625" style="4" bestFit="1" customWidth="1"/>
    <col min="15" max="15" width="14.1796875" style="4" bestFit="1" customWidth="1"/>
    <col min="16" max="16" width="12.54296875" style="4" bestFit="1" customWidth="1"/>
    <col min="17" max="17" width="12.453125" style="4" customWidth="1"/>
    <col min="18" max="18" width="13.54296875" style="4" bestFit="1" customWidth="1"/>
    <col min="19" max="19" width="12.54296875" style="4" bestFit="1" customWidth="1"/>
    <col min="20" max="20" width="12.453125" style="4" bestFit="1" customWidth="1"/>
    <col min="21" max="21" width="12.54296875" style="4" bestFit="1" customWidth="1"/>
    <col min="22" max="22" width="12.1796875" style="4" bestFit="1" customWidth="1"/>
    <col min="23" max="23" width="11.453125" style="4" customWidth="1"/>
    <col min="24" max="25" width="12.81640625" style="4" bestFit="1" customWidth="1"/>
    <col min="26" max="26" width="11.453125" style="4" customWidth="1"/>
    <col min="27" max="28" width="11.81640625" style="4" bestFit="1" customWidth="1"/>
    <col min="29" max="31" width="11.54296875" style="4" customWidth="1"/>
    <col min="32" max="32" width="12.1796875" style="4" bestFit="1" customWidth="1"/>
    <col min="33" max="33" width="12" style="4" customWidth="1"/>
    <col min="34" max="34" width="12.453125" style="4" customWidth="1"/>
    <col min="35" max="35" width="8.81640625" style="4"/>
    <col min="36" max="36" width="15.81640625" style="4" bestFit="1" customWidth="1"/>
    <col min="37" max="37" width="15.453125" style="4" bestFit="1" customWidth="1"/>
    <col min="38" max="38" width="13.54296875" style="4" bestFit="1" customWidth="1"/>
    <col min="39" max="16384" width="8.81640625" style="4"/>
  </cols>
  <sheetData>
    <row r="1" spans="1:38" x14ac:dyDescent="0.3">
      <c r="A1" s="343" t="str">
        <f>'1. RB-i'!A1</f>
        <v>CPS Energy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345"/>
    </row>
    <row r="2" spans="1:38" x14ac:dyDescent="0.3">
      <c r="A2" s="346" t="s">
        <v>1308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347"/>
    </row>
    <row r="3" spans="1:38" x14ac:dyDescent="0.3">
      <c r="A3" s="346" t="str">
        <f>'1. RB-i'!A3</f>
        <v>FYE 2017</v>
      </c>
      <c r="B3" s="191"/>
      <c r="C3" s="191"/>
      <c r="D3" s="256"/>
      <c r="E3" s="445"/>
      <c r="F3" s="445"/>
      <c r="G3" s="445"/>
      <c r="H3" s="445"/>
      <c r="I3" s="445"/>
      <c r="J3" s="445"/>
      <c r="K3" s="445"/>
      <c r="L3" s="256"/>
      <c r="M3" s="257" t="s">
        <v>367</v>
      </c>
      <c r="N3" s="258"/>
      <c r="O3" s="258"/>
      <c r="P3" s="258"/>
      <c r="Q3" s="258"/>
      <c r="R3" s="258"/>
      <c r="S3" s="258"/>
      <c r="T3" s="258"/>
      <c r="U3" s="258"/>
      <c r="V3" s="259"/>
      <c r="W3" s="259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347"/>
      <c r="AJ3" s="31"/>
    </row>
    <row r="4" spans="1:38" x14ac:dyDescent="0.3">
      <c r="A4" s="261"/>
      <c r="B4" s="446"/>
      <c r="C4" s="262"/>
      <c r="D4" s="257" t="s">
        <v>544</v>
      </c>
      <c r="E4" s="258"/>
      <c r="F4" s="258"/>
      <c r="G4" s="258"/>
      <c r="H4" s="258"/>
      <c r="I4" s="258"/>
      <c r="J4" s="258"/>
      <c r="K4" s="259"/>
      <c r="L4" s="262"/>
      <c r="M4" s="191"/>
      <c r="N4" s="257" t="s">
        <v>922</v>
      </c>
      <c r="O4" s="258"/>
      <c r="P4" s="258"/>
      <c r="Q4" s="259"/>
      <c r="R4" s="264" t="s">
        <v>923</v>
      </c>
      <c r="S4" s="265"/>
      <c r="T4" s="265"/>
      <c r="U4" s="265"/>
      <c r="V4" s="266"/>
      <c r="W4" s="265"/>
      <c r="X4" s="257" t="s">
        <v>907</v>
      </c>
      <c r="Y4" s="258"/>
      <c r="Z4" s="259"/>
      <c r="AA4" s="191"/>
      <c r="AB4" s="257" t="s">
        <v>85</v>
      </c>
      <c r="AC4" s="258"/>
      <c r="AD4" s="258"/>
      <c r="AE4" s="258"/>
      <c r="AF4" s="257" t="s">
        <v>912</v>
      </c>
      <c r="AG4" s="259"/>
      <c r="AH4" s="347"/>
      <c r="AJ4" s="31"/>
    </row>
    <row r="5" spans="1:38" x14ac:dyDescent="0.3">
      <c r="A5" s="268"/>
      <c r="B5" s="447"/>
      <c r="C5" s="194"/>
      <c r="D5" s="419" t="s">
        <v>357</v>
      </c>
      <c r="E5" s="417" t="s">
        <v>924</v>
      </c>
      <c r="F5" s="417"/>
      <c r="G5" s="417"/>
      <c r="H5" s="417"/>
      <c r="I5" s="417" t="s">
        <v>924</v>
      </c>
      <c r="J5" s="269"/>
      <c r="K5" s="197" t="s">
        <v>79</v>
      </c>
      <c r="L5" s="198" t="s">
        <v>357</v>
      </c>
      <c r="M5" s="199" t="s">
        <v>357</v>
      </c>
      <c r="N5" s="270"/>
      <c r="O5" s="271" t="s">
        <v>925</v>
      </c>
      <c r="P5" s="271" t="s">
        <v>926</v>
      </c>
      <c r="Q5" s="271"/>
      <c r="R5" s="270" t="s">
        <v>925</v>
      </c>
      <c r="S5" s="271" t="s">
        <v>926</v>
      </c>
      <c r="T5" s="271"/>
      <c r="U5" s="263"/>
      <c r="V5" s="263"/>
      <c r="W5" s="216" t="s">
        <v>1010</v>
      </c>
      <c r="X5" s="271" t="s">
        <v>357</v>
      </c>
      <c r="Y5" s="270"/>
      <c r="Z5" s="270" t="s">
        <v>994</v>
      </c>
      <c r="AA5" s="215" t="s">
        <v>357</v>
      </c>
      <c r="AB5" s="215" t="s">
        <v>357</v>
      </c>
      <c r="AC5" s="215" t="s">
        <v>86</v>
      </c>
      <c r="AD5" s="215" t="s">
        <v>1003</v>
      </c>
      <c r="AE5" s="272"/>
      <c r="AF5" s="215" t="s">
        <v>911</v>
      </c>
      <c r="AG5" s="215"/>
      <c r="AH5" s="217" t="s">
        <v>357</v>
      </c>
      <c r="AJ5" s="5" t="s">
        <v>357</v>
      </c>
    </row>
    <row r="6" spans="1:38" x14ac:dyDescent="0.3">
      <c r="A6" s="268" t="s">
        <v>358</v>
      </c>
      <c r="B6" s="187" t="s">
        <v>359</v>
      </c>
      <c r="C6" s="194"/>
      <c r="D6" s="186" t="s">
        <v>544</v>
      </c>
      <c r="E6" s="417" t="s">
        <v>928</v>
      </c>
      <c r="F6" s="417" t="s">
        <v>1140</v>
      </c>
      <c r="G6" s="417" t="s">
        <v>1139</v>
      </c>
      <c r="H6" s="417" t="s">
        <v>947</v>
      </c>
      <c r="I6" s="417" t="s">
        <v>927</v>
      </c>
      <c r="J6" s="417" t="s">
        <v>617</v>
      </c>
      <c r="K6" s="187" t="s">
        <v>80</v>
      </c>
      <c r="L6" s="198" t="s">
        <v>366</v>
      </c>
      <c r="M6" s="199" t="s">
        <v>367</v>
      </c>
      <c r="N6" s="200" t="s">
        <v>929</v>
      </c>
      <c r="O6" s="417" t="s">
        <v>930</v>
      </c>
      <c r="P6" s="417" t="s">
        <v>930</v>
      </c>
      <c r="Q6" s="417" t="s">
        <v>931</v>
      </c>
      <c r="R6" s="200" t="s">
        <v>930</v>
      </c>
      <c r="S6" s="417" t="s">
        <v>930</v>
      </c>
      <c r="T6" s="417" t="s">
        <v>931</v>
      </c>
      <c r="U6" s="417" t="s">
        <v>456</v>
      </c>
      <c r="V6" s="417" t="s">
        <v>932</v>
      </c>
      <c r="W6" s="187" t="s">
        <v>1011</v>
      </c>
      <c r="X6" s="417" t="s">
        <v>907</v>
      </c>
      <c r="Y6" s="200" t="s">
        <v>907</v>
      </c>
      <c r="Z6" s="200" t="s">
        <v>995</v>
      </c>
      <c r="AA6" s="186" t="s">
        <v>84</v>
      </c>
      <c r="AB6" s="186" t="s">
        <v>82</v>
      </c>
      <c r="AC6" s="186" t="s">
        <v>87</v>
      </c>
      <c r="AD6" s="186" t="s">
        <v>1004</v>
      </c>
      <c r="AE6" s="186" t="s">
        <v>1005</v>
      </c>
      <c r="AF6" s="186" t="s">
        <v>912</v>
      </c>
      <c r="AG6" s="186" t="s">
        <v>1006</v>
      </c>
      <c r="AH6" s="219" t="s">
        <v>913</v>
      </c>
      <c r="AJ6" s="5" t="s">
        <v>365</v>
      </c>
      <c r="AK6" s="6" t="s">
        <v>933</v>
      </c>
      <c r="AL6" s="6" t="s">
        <v>824</v>
      </c>
    </row>
    <row r="7" spans="1:38" ht="13.5" thickBot="1" x14ac:dyDescent="0.35">
      <c r="A7" s="278" t="s">
        <v>368</v>
      </c>
      <c r="B7" s="448"/>
      <c r="C7" s="279"/>
      <c r="D7" s="234" t="s">
        <v>815</v>
      </c>
      <c r="E7" s="282" t="s">
        <v>816</v>
      </c>
      <c r="F7" s="282"/>
      <c r="G7" s="282"/>
      <c r="H7" s="282"/>
      <c r="I7" s="282" t="s">
        <v>817</v>
      </c>
      <c r="J7" s="282" t="s">
        <v>818</v>
      </c>
      <c r="K7" s="282" t="s">
        <v>819</v>
      </c>
      <c r="L7" s="234" t="s">
        <v>820</v>
      </c>
      <c r="M7" s="282" t="s">
        <v>821</v>
      </c>
      <c r="N7" s="281" t="s">
        <v>822</v>
      </c>
      <c r="O7" s="282" t="s">
        <v>823</v>
      </c>
      <c r="P7" s="282" t="s">
        <v>908</v>
      </c>
      <c r="Q7" s="282" t="s">
        <v>914</v>
      </c>
      <c r="R7" s="281" t="s">
        <v>915</v>
      </c>
      <c r="S7" s="282" t="s">
        <v>916</v>
      </c>
      <c r="T7" s="282" t="s">
        <v>917</v>
      </c>
      <c r="U7" s="282" t="s">
        <v>918</v>
      </c>
      <c r="V7" s="282" t="s">
        <v>934</v>
      </c>
      <c r="W7" s="283" t="s">
        <v>935</v>
      </c>
      <c r="X7" s="282" t="s">
        <v>936</v>
      </c>
      <c r="Y7" s="282" t="s">
        <v>937</v>
      </c>
      <c r="Z7" s="234" t="s">
        <v>938</v>
      </c>
      <c r="AA7" s="234" t="s">
        <v>939</v>
      </c>
      <c r="AB7" s="234" t="s">
        <v>985</v>
      </c>
      <c r="AC7" s="234" t="s">
        <v>986</v>
      </c>
      <c r="AD7" s="234" t="s">
        <v>987</v>
      </c>
      <c r="AE7" s="234" t="s">
        <v>988</v>
      </c>
      <c r="AF7" s="234" t="s">
        <v>989</v>
      </c>
      <c r="AG7" s="234" t="s">
        <v>990</v>
      </c>
      <c r="AH7" s="235" t="s">
        <v>991</v>
      </c>
      <c r="AJ7" s="45"/>
    </row>
    <row r="8" spans="1:38" x14ac:dyDescent="0.3">
      <c r="A8" s="12"/>
      <c r="D8" s="49"/>
      <c r="E8" s="49"/>
      <c r="F8" s="676"/>
      <c r="G8" s="676"/>
      <c r="H8" s="676"/>
      <c r="I8" s="49"/>
      <c r="J8" s="49"/>
      <c r="K8" s="49"/>
      <c r="L8" s="49"/>
      <c r="M8" s="49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J8" s="12"/>
    </row>
    <row r="9" spans="1:38" x14ac:dyDescent="0.3">
      <c r="A9" s="499" t="s">
        <v>811</v>
      </c>
      <c r="B9" s="62"/>
      <c r="C9" s="62"/>
      <c r="D9" s="62"/>
      <c r="E9" s="62"/>
      <c r="F9" s="677"/>
      <c r="G9" s="677"/>
      <c r="H9" s="677"/>
      <c r="I9" s="62"/>
      <c r="J9" s="62"/>
      <c r="K9" s="62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</row>
    <row r="10" spans="1:38" x14ac:dyDescent="0.3">
      <c r="A10" s="499"/>
      <c r="B10" s="62"/>
      <c r="C10" s="62"/>
      <c r="D10" s="62"/>
      <c r="E10" s="62"/>
      <c r="F10" s="677"/>
      <c r="G10" s="677"/>
      <c r="H10" s="677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</row>
    <row r="11" spans="1:38" x14ac:dyDescent="0.3">
      <c r="A11" s="499" t="s">
        <v>1142</v>
      </c>
      <c r="B11" s="62"/>
      <c r="C11" s="62"/>
      <c r="D11" s="171"/>
      <c r="E11" s="171"/>
      <c r="F11" s="678"/>
      <c r="G11" s="678"/>
      <c r="H11" s="678"/>
      <c r="I11" s="171"/>
      <c r="J11" s="171"/>
      <c r="K11" s="171"/>
      <c r="L11" s="171"/>
      <c r="M11" s="171"/>
      <c r="N11" s="519"/>
      <c r="O11" s="468"/>
      <c r="P11" s="468"/>
      <c r="Q11" s="468"/>
      <c r="R11" s="468"/>
      <c r="S11" s="468"/>
      <c r="T11" s="468"/>
      <c r="U11" s="62"/>
      <c r="V11" s="62"/>
      <c r="W11" s="62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62"/>
      <c r="AJ11" s="171"/>
      <c r="AK11" s="62"/>
      <c r="AL11" s="62"/>
    </row>
    <row r="12" spans="1:38" x14ac:dyDescent="0.3">
      <c r="A12" s="498" t="s">
        <v>1143</v>
      </c>
      <c r="B12" s="62" t="s">
        <v>1144</v>
      </c>
      <c r="C12" s="62"/>
      <c r="D12" s="678"/>
      <c r="E12" s="678"/>
      <c r="F12" s="678"/>
      <c r="G12" s="678"/>
      <c r="H12" s="678"/>
      <c r="I12" s="678"/>
      <c r="J12" s="678"/>
      <c r="K12" s="678"/>
      <c r="L12" s="678"/>
      <c r="M12" s="678"/>
      <c r="N12" s="686"/>
      <c r="O12" s="669"/>
      <c r="P12" s="669"/>
      <c r="Q12" s="669"/>
      <c r="R12" s="669"/>
      <c r="S12" s="669"/>
      <c r="T12" s="669"/>
      <c r="U12" s="677"/>
      <c r="V12" s="677"/>
      <c r="W12" s="677"/>
      <c r="X12" s="678"/>
      <c r="Y12" s="678"/>
      <c r="Z12" s="678"/>
      <c r="AA12" s="678"/>
      <c r="AB12" s="678"/>
      <c r="AC12" s="678"/>
      <c r="AD12" s="678"/>
      <c r="AE12" s="678"/>
      <c r="AF12" s="678"/>
      <c r="AG12" s="678"/>
      <c r="AH12" s="678"/>
      <c r="AI12" s="62"/>
      <c r="AJ12" s="171"/>
      <c r="AK12" s="62">
        <f t="shared" ref="AK12:AK14" si="0">SUM(F12:J12,L12,N12:W12,Y12:Z12,AA12,AC12:AE12,AG12:AH12)</f>
        <v>0</v>
      </c>
      <c r="AL12" s="62">
        <f t="shared" ref="AL12:AL14" si="1">AJ12-AK12</f>
        <v>0</v>
      </c>
    </row>
    <row r="13" spans="1:38" x14ac:dyDescent="0.3">
      <c r="A13" s="498" t="s">
        <v>1145</v>
      </c>
      <c r="B13" s="62" t="s">
        <v>1146</v>
      </c>
      <c r="C13" s="62"/>
      <c r="D13" s="678"/>
      <c r="E13" s="678"/>
      <c r="F13" s="678"/>
      <c r="G13" s="678"/>
      <c r="H13" s="678"/>
      <c r="I13" s="678"/>
      <c r="J13" s="678"/>
      <c r="K13" s="678"/>
      <c r="L13" s="678"/>
      <c r="M13" s="678"/>
      <c r="N13" s="686"/>
      <c r="O13" s="669"/>
      <c r="P13" s="669"/>
      <c r="Q13" s="669"/>
      <c r="R13" s="669"/>
      <c r="S13" s="669"/>
      <c r="T13" s="669"/>
      <c r="U13" s="677"/>
      <c r="V13" s="677"/>
      <c r="W13" s="677"/>
      <c r="X13" s="678"/>
      <c r="Y13" s="678"/>
      <c r="Z13" s="678"/>
      <c r="AA13" s="678"/>
      <c r="AB13" s="678"/>
      <c r="AC13" s="678"/>
      <c r="AD13" s="678"/>
      <c r="AE13" s="678"/>
      <c r="AF13" s="678"/>
      <c r="AG13" s="678"/>
      <c r="AH13" s="678"/>
      <c r="AI13" s="62"/>
      <c r="AJ13" s="171"/>
      <c r="AK13" s="62">
        <f t="shared" si="0"/>
        <v>0</v>
      </c>
      <c r="AL13" s="62">
        <f t="shared" si="1"/>
        <v>0</v>
      </c>
    </row>
    <row r="14" spans="1:38" x14ac:dyDescent="0.3">
      <c r="A14" s="498" t="s">
        <v>1147</v>
      </c>
      <c r="B14" s="62" t="s">
        <v>1148</v>
      </c>
      <c r="C14" s="62"/>
      <c r="D14" s="678"/>
      <c r="E14" s="678"/>
      <c r="F14" s="678"/>
      <c r="G14" s="678"/>
      <c r="H14" s="678"/>
      <c r="I14" s="678"/>
      <c r="J14" s="678"/>
      <c r="K14" s="678"/>
      <c r="L14" s="678"/>
      <c r="M14" s="678"/>
      <c r="N14" s="686"/>
      <c r="O14" s="669"/>
      <c r="P14" s="669"/>
      <c r="Q14" s="669"/>
      <c r="R14" s="669"/>
      <c r="S14" s="669"/>
      <c r="T14" s="669"/>
      <c r="U14" s="677"/>
      <c r="V14" s="677"/>
      <c r="W14" s="677"/>
      <c r="X14" s="678"/>
      <c r="Y14" s="678"/>
      <c r="Z14" s="678"/>
      <c r="AA14" s="678"/>
      <c r="AB14" s="678"/>
      <c r="AC14" s="678"/>
      <c r="AD14" s="678"/>
      <c r="AE14" s="678"/>
      <c r="AF14" s="678"/>
      <c r="AG14" s="678"/>
      <c r="AH14" s="678"/>
      <c r="AI14" s="62"/>
      <c r="AJ14" s="171"/>
      <c r="AK14" s="62">
        <f t="shared" si="0"/>
        <v>0</v>
      </c>
      <c r="AL14" s="62">
        <f t="shared" si="1"/>
        <v>0</v>
      </c>
    </row>
    <row r="15" spans="1:38" x14ac:dyDescent="0.3">
      <c r="A15" s="499"/>
      <c r="B15" s="62"/>
      <c r="C15" s="62"/>
      <c r="D15" s="677"/>
      <c r="E15" s="677"/>
      <c r="F15" s="677"/>
      <c r="G15" s="677"/>
      <c r="H15" s="677"/>
      <c r="I15" s="677"/>
      <c r="J15" s="677"/>
      <c r="K15" s="677"/>
      <c r="L15" s="677"/>
      <c r="M15" s="677"/>
      <c r="N15" s="677"/>
      <c r="O15" s="677"/>
      <c r="P15" s="677"/>
      <c r="Q15" s="677"/>
      <c r="R15" s="677"/>
      <c r="S15" s="677"/>
      <c r="T15" s="677"/>
      <c r="U15" s="677"/>
      <c r="V15" s="677"/>
      <c r="W15" s="677"/>
      <c r="X15" s="677"/>
      <c r="Y15" s="677"/>
      <c r="Z15" s="677"/>
      <c r="AA15" s="677"/>
      <c r="AB15" s="677"/>
      <c r="AC15" s="677"/>
      <c r="AD15" s="677"/>
      <c r="AE15" s="677"/>
      <c r="AF15" s="677"/>
      <c r="AG15" s="677"/>
      <c r="AH15" s="677"/>
      <c r="AI15" s="62"/>
      <c r="AJ15" s="62"/>
      <c r="AK15" s="62"/>
      <c r="AL15" s="62"/>
    </row>
    <row r="16" spans="1:38" x14ac:dyDescent="0.3">
      <c r="A16" s="498"/>
      <c r="B16" s="62" t="s">
        <v>1149</v>
      </c>
      <c r="C16" s="62"/>
      <c r="D16" s="677"/>
      <c r="E16" s="677"/>
      <c r="F16" s="678"/>
      <c r="G16" s="678"/>
      <c r="H16" s="678"/>
      <c r="I16" s="678"/>
      <c r="J16" s="678"/>
      <c r="K16" s="678"/>
      <c r="L16" s="678"/>
      <c r="M16" s="678"/>
      <c r="N16" s="678"/>
      <c r="O16" s="678"/>
      <c r="P16" s="678"/>
      <c r="Q16" s="678"/>
      <c r="R16" s="678"/>
      <c r="S16" s="678"/>
      <c r="T16" s="678"/>
      <c r="U16" s="678"/>
      <c r="V16" s="678"/>
      <c r="W16" s="678"/>
      <c r="X16" s="678"/>
      <c r="Y16" s="678"/>
      <c r="Z16" s="678"/>
      <c r="AA16" s="678"/>
      <c r="AB16" s="678"/>
      <c r="AC16" s="678"/>
      <c r="AD16" s="678"/>
      <c r="AE16" s="678"/>
      <c r="AF16" s="678"/>
      <c r="AG16" s="678"/>
      <c r="AH16" s="678"/>
      <c r="AI16" s="62"/>
      <c r="AJ16" s="171"/>
      <c r="AK16" s="62">
        <f t="shared" ref="AK16" si="2">SUM(F16:J16,L16,N16:W16,Y16:Z16,AA16,AC16:AE16,AG16:AH16)</f>
        <v>0</v>
      </c>
      <c r="AL16" s="62">
        <f t="shared" ref="AL16" si="3">AJ16-AK16</f>
        <v>0</v>
      </c>
    </row>
    <row r="17" spans="1:38" x14ac:dyDescent="0.3">
      <c r="A17" s="498"/>
      <c r="B17" s="62"/>
      <c r="C17" s="62"/>
      <c r="D17" s="677"/>
      <c r="E17" s="677"/>
      <c r="F17" s="677"/>
      <c r="G17" s="677"/>
      <c r="H17" s="677"/>
      <c r="I17" s="677"/>
      <c r="J17" s="677"/>
      <c r="K17" s="677"/>
      <c r="L17" s="677"/>
      <c r="M17" s="677"/>
      <c r="N17" s="677"/>
      <c r="O17" s="677"/>
      <c r="P17" s="677"/>
      <c r="Q17" s="677"/>
      <c r="R17" s="677"/>
      <c r="S17" s="677"/>
      <c r="T17" s="677"/>
      <c r="U17" s="677"/>
      <c r="V17" s="677"/>
      <c r="W17" s="677"/>
      <c r="X17" s="677"/>
      <c r="Y17" s="677"/>
      <c r="Z17" s="677"/>
      <c r="AA17" s="677"/>
      <c r="AB17" s="677"/>
      <c r="AC17" s="677"/>
      <c r="AD17" s="677"/>
      <c r="AE17" s="677"/>
      <c r="AF17" s="677"/>
      <c r="AG17" s="677"/>
      <c r="AH17" s="677"/>
      <c r="AI17" s="62"/>
      <c r="AJ17" s="62"/>
      <c r="AK17" s="62"/>
      <c r="AL17" s="62"/>
    </row>
    <row r="18" spans="1:38" x14ac:dyDescent="0.3">
      <c r="A18" s="463" t="s">
        <v>370</v>
      </c>
      <c r="B18" s="62"/>
      <c r="C18" s="62"/>
      <c r="D18" s="677"/>
      <c r="E18" s="677"/>
      <c r="F18" s="677"/>
      <c r="G18" s="677"/>
      <c r="H18" s="677"/>
      <c r="I18" s="677"/>
      <c r="J18" s="677"/>
      <c r="K18" s="677"/>
      <c r="L18" s="677"/>
      <c r="M18" s="677"/>
      <c r="N18" s="677"/>
      <c r="O18" s="677"/>
      <c r="P18" s="677"/>
      <c r="Q18" s="677"/>
      <c r="R18" s="677"/>
      <c r="S18" s="677"/>
      <c r="T18" s="677"/>
      <c r="U18" s="677"/>
      <c r="V18" s="677"/>
      <c r="W18" s="677"/>
      <c r="X18" s="677"/>
      <c r="Y18" s="677"/>
      <c r="Z18" s="677"/>
      <c r="AA18" s="677"/>
      <c r="AB18" s="677"/>
      <c r="AC18" s="677"/>
      <c r="AD18" s="677"/>
      <c r="AE18" s="677"/>
      <c r="AF18" s="677"/>
      <c r="AG18" s="677"/>
      <c r="AH18" s="677"/>
      <c r="AI18" s="62"/>
      <c r="AJ18" s="62"/>
      <c r="AK18" s="62"/>
      <c r="AL18" s="62"/>
    </row>
    <row r="19" spans="1:38" x14ac:dyDescent="0.3">
      <c r="A19" s="503" t="s">
        <v>371</v>
      </c>
      <c r="B19" s="504" t="s">
        <v>372</v>
      </c>
      <c r="C19" s="62"/>
      <c r="D19" s="678"/>
      <c r="E19" s="678"/>
      <c r="F19" s="678"/>
      <c r="G19" s="678"/>
      <c r="H19" s="678"/>
      <c r="I19" s="678"/>
      <c r="J19" s="678"/>
      <c r="K19" s="678"/>
      <c r="L19" s="678"/>
      <c r="M19" s="678"/>
      <c r="N19" s="686"/>
      <c r="O19" s="669"/>
      <c r="P19" s="669"/>
      <c r="Q19" s="669"/>
      <c r="R19" s="669"/>
      <c r="S19" s="669"/>
      <c r="T19" s="669"/>
      <c r="U19" s="677"/>
      <c r="V19" s="677"/>
      <c r="W19" s="677"/>
      <c r="X19" s="678"/>
      <c r="Y19" s="678"/>
      <c r="Z19" s="678"/>
      <c r="AA19" s="678"/>
      <c r="AB19" s="678"/>
      <c r="AC19" s="678"/>
      <c r="AD19" s="678"/>
      <c r="AE19" s="678"/>
      <c r="AF19" s="678"/>
      <c r="AG19" s="678"/>
      <c r="AH19" s="678"/>
      <c r="AI19" s="62"/>
      <c r="AJ19" s="171"/>
      <c r="AK19" s="62">
        <f>SUM(F19:J19,L19,N19:W19,Y19:Z19,AA19,AC19:AE19,AG19:AH19)</f>
        <v>0</v>
      </c>
      <c r="AL19" s="62">
        <f t="shared" ref="AL19:AL25" si="4">AJ19-AK19</f>
        <v>0</v>
      </c>
    </row>
    <row r="20" spans="1:38" x14ac:dyDescent="0.3">
      <c r="A20" s="503" t="s">
        <v>373</v>
      </c>
      <c r="B20" s="503" t="s">
        <v>374</v>
      </c>
      <c r="C20" s="62"/>
      <c r="D20" s="678"/>
      <c r="E20" s="678"/>
      <c r="F20" s="678"/>
      <c r="G20" s="678"/>
      <c r="H20" s="678"/>
      <c r="I20" s="678"/>
      <c r="J20" s="678"/>
      <c r="K20" s="678"/>
      <c r="L20" s="678"/>
      <c r="M20" s="678"/>
      <c r="N20" s="677"/>
      <c r="O20" s="677"/>
      <c r="P20" s="677"/>
      <c r="Q20" s="677"/>
      <c r="R20" s="677"/>
      <c r="S20" s="677"/>
      <c r="T20" s="677"/>
      <c r="U20" s="677"/>
      <c r="V20" s="677"/>
      <c r="W20" s="677"/>
      <c r="X20" s="678"/>
      <c r="Y20" s="678"/>
      <c r="Z20" s="678"/>
      <c r="AA20" s="678"/>
      <c r="AB20" s="678"/>
      <c r="AC20" s="678"/>
      <c r="AD20" s="678"/>
      <c r="AE20" s="678"/>
      <c r="AF20" s="678"/>
      <c r="AG20" s="678"/>
      <c r="AH20" s="678"/>
      <c r="AI20" s="62"/>
      <c r="AJ20" s="171"/>
      <c r="AK20" s="62">
        <f t="shared" ref="AK20:AK25" si="5">SUM(F20:J20,L20,N20:W20,Y20:Z20,AA20,AC20:AE20,AG20:AH20)</f>
        <v>0</v>
      </c>
      <c r="AL20" s="62">
        <f t="shared" si="4"/>
        <v>0</v>
      </c>
    </row>
    <row r="21" spans="1:38" x14ac:dyDescent="0.3">
      <c r="A21" s="503" t="s">
        <v>375</v>
      </c>
      <c r="B21" s="503" t="s">
        <v>376</v>
      </c>
      <c r="C21" s="62"/>
      <c r="D21" s="678"/>
      <c r="E21" s="678"/>
      <c r="F21" s="678"/>
      <c r="G21" s="678"/>
      <c r="H21" s="678"/>
      <c r="I21" s="678"/>
      <c r="J21" s="678"/>
      <c r="K21" s="678"/>
      <c r="L21" s="678"/>
      <c r="M21" s="678"/>
      <c r="N21" s="677"/>
      <c r="O21" s="677"/>
      <c r="P21" s="677"/>
      <c r="Q21" s="677"/>
      <c r="R21" s="677"/>
      <c r="S21" s="677"/>
      <c r="T21" s="677"/>
      <c r="U21" s="677"/>
      <c r="V21" s="677"/>
      <c r="W21" s="677"/>
      <c r="X21" s="678"/>
      <c r="Y21" s="678"/>
      <c r="Z21" s="678"/>
      <c r="AA21" s="678"/>
      <c r="AB21" s="678"/>
      <c r="AC21" s="678"/>
      <c r="AD21" s="678"/>
      <c r="AE21" s="678"/>
      <c r="AF21" s="678"/>
      <c r="AG21" s="678"/>
      <c r="AH21" s="678"/>
      <c r="AI21" s="62"/>
      <c r="AJ21" s="171"/>
      <c r="AK21" s="62">
        <f t="shared" si="5"/>
        <v>0</v>
      </c>
      <c r="AL21" s="62">
        <f t="shared" si="4"/>
        <v>0</v>
      </c>
    </row>
    <row r="22" spans="1:38" x14ac:dyDescent="0.3">
      <c r="A22" s="503" t="s">
        <v>377</v>
      </c>
      <c r="B22" s="504" t="s">
        <v>378</v>
      </c>
      <c r="C22" s="62"/>
      <c r="D22" s="678"/>
      <c r="E22" s="678"/>
      <c r="F22" s="678"/>
      <c r="G22" s="678"/>
      <c r="H22" s="678"/>
      <c r="I22" s="678"/>
      <c r="J22" s="678"/>
      <c r="K22" s="678"/>
      <c r="L22" s="678"/>
      <c r="M22" s="678"/>
      <c r="N22" s="677"/>
      <c r="O22" s="677"/>
      <c r="P22" s="677"/>
      <c r="Q22" s="677"/>
      <c r="R22" s="677"/>
      <c r="S22" s="677"/>
      <c r="T22" s="677"/>
      <c r="U22" s="677"/>
      <c r="V22" s="677"/>
      <c r="W22" s="677"/>
      <c r="X22" s="678"/>
      <c r="Y22" s="678"/>
      <c r="Z22" s="678"/>
      <c r="AA22" s="678"/>
      <c r="AB22" s="678"/>
      <c r="AC22" s="678"/>
      <c r="AD22" s="678"/>
      <c r="AE22" s="678"/>
      <c r="AF22" s="678"/>
      <c r="AG22" s="678"/>
      <c r="AH22" s="678"/>
      <c r="AI22" s="62"/>
      <c r="AJ22" s="171"/>
      <c r="AK22" s="62">
        <f t="shared" si="5"/>
        <v>0</v>
      </c>
      <c r="AL22" s="62">
        <f t="shared" si="4"/>
        <v>0</v>
      </c>
    </row>
    <row r="23" spans="1:38" x14ac:dyDescent="0.3">
      <c r="A23" s="503" t="s">
        <v>379</v>
      </c>
      <c r="B23" s="504" t="s">
        <v>380</v>
      </c>
      <c r="C23" s="62"/>
      <c r="D23" s="678"/>
      <c r="E23" s="678"/>
      <c r="F23" s="678"/>
      <c r="G23" s="678"/>
      <c r="H23" s="678"/>
      <c r="I23" s="678"/>
      <c r="J23" s="678"/>
      <c r="K23" s="678"/>
      <c r="L23" s="678"/>
      <c r="M23" s="678"/>
      <c r="N23" s="677"/>
      <c r="O23" s="677"/>
      <c r="P23" s="677"/>
      <c r="Q23" s="677"/>
      <c r="R23" s="677"/>
      <c r="S23" s="677"/>
      <c r="T23" s="677"/>
      <c r="U23" s="677"/>
      <c r="V23" s="677"/>
      <c r="W23" s="677"/>
      <c r="X23" s="678"/>
      <c r="Y23" s="678"/>
      <c r="Z23" s="678"/>
      <c r="AA23" s="678"/>
      <c r="AB23" s="678"/>
      <c r="AC23" s="678"/>
      <c r="AD23" s="678"/>
      <c r="AE23" s="678"/>
      <c r="AF23" s="678"/>
      <c r="AG23" s="678"/>
      <c r="AH23" s="678"/>
      <c r="AI23" s="62"/>
      <c r="AJ23" s="171"/>
      <c r="AK23" s="62">
        <f t="shared" si="5"/>
        <v>0</v>
      </c>
      <c r="AL23" s="62">
        <f t="shared" si="4"/>
        <v>0</v>
      </c>
    </row>
    <row r="24" spans="1:38" x14ac:dyDescent="0.3">
      <c r="A24" s="503" t="s">
        <v>381</v>
      </c>
      <c r="B24" s="504" t="s">
        <v>382</v>
      </c>
      <c r="C24" s="62"/>
      <c r="D24" s="678"/>
      <c r="E24" s="678"/>
      <c r="F24" s="678"/>
      <c r="G24" s="678"/>
      <c r="H24" s="678"/>
      <c r="I24" s="678"/>
      <c r="J24" s="678"/>
      <c r="K24" s="678"/>
      <c r="L24" s="678"/>
      <c r="M24" s="678"/>
      <c r="N24" s="677"/>
      <c r="O24" s="677"/>
      <c r="P24" s="677"/>
      <c r="Q24" s="677"/>
      <c r="R24" s="677"/>
      <c r="S24" s="677"/>
      <c r="T24" s="677"/>
      <c r="U24" s="677"/>
      <c r="V24" s="677"/>
      <c r="W24" s="677"/>
      <c r="X24" s="678"/>
      <c r="Y24" s="678"/>
      <c r="Z24" s="678"/>
      <c r="AA24" s="678"/>
      <c r="AB24" s="678"/>
      <c r="AC24" s="678"/>
      <c r="AD24" s="678"/>
      <c r="AE24" s="678"/>
      <c r="AF24" s="678"/>
      <c r="AG24" s="678"/>
      <c r="AH24" s="678"/>
      <c r="AI24" s="62"/>
      <c r="AJ24" s="171"/>
      <c r="AK24" s="62">
        <f t="shared" si="5"/>
        <v>0</v>
      </c>
      <c r="AL24" s="62">
        <f t="shared" si="4"/>
        <v>0</v>
      </c>
    </row>
    <row r="25" spans="1:38" x14ac:dyDescent="0.3">
      <c r="A25" s="503" t="s">
        <v>383</v>
      </c>
      <c r="B25" s="504" t="s">
        <v>384</v>
      </c>
      <c r="C25" s="62"/>
      <c r="D25" s="678"/>
      <c r="E25" s="678"/>
      <c r="F25" s="678"/>
      <c r="G25" s="678"/>
      <c r="H25" s="678"/>
      <c r="I25" s="678"/>
      <c r="J25" s="678"/>
      <c r="K25" s="678"/>
      <c r="L25" s="678"/>
      <c r="M25" s="678"/>
      <c r="N25" s="677"/>
      <c r="O25" s="677"/>
      <c r="P25" s="677"/>
      <c r="Q25" s="677"/>
      <c r="R25" s="677"/>
      <c r="S25" s="677"/>
      <c r="T25" s="677"/>
      <c r="U25" s="677"/>
      <c r="V25" s="677"/>
      <c r="W25" s="677"/>
      <c r="X25" s="678"/>
      <c r="Y25" s="678"/>
      <c r="Z25" s="678"/>
      <c r="AA25" s="678"/>
      <c r="AB25" s="678"/>
      <c r="AC25" s="678"/>
      <c r="AD25" s="678"/>
      <c r="AE25" s="678"/>
      <c r="AF25" s="678"/>
      <c r="AG25" s="678"/>
      <c r="AH25" s="678"/>
      <c r="AI25" s="62"/>
      <c r="AJ25" s="171"/>
      <c r="AK25" s="62">
        <f t="shared" si="5"/>
        <v>0</v>
      </c>
      <c r="AL25" s="62">
        <f t="shared" si="4"/>
        <v>0</v>
      </c>
    </row>
    <row r="26" spans="1:38" x14ac:dyDescent="0.3">
      <c r="A26" s="62"/>
      <c r="B26" s="62"/>
      <c r="C26" s="62"/>
      <c r="D26" s="677"/>
      <c r="E26" s="677"/>
      <c r="F26" s="677"/>
      <c r="G26" s="677"/>
      <c r="H26" s="677"/>
      <c r="I26" s="677"/>
      <c r="J26" s="677"/>
      <c r="K26" s="677"/>
      <c r="L26" s="677"/>
      <c r="M26" s="677"/>
      <c r="N26" s="677"/>
      <c r="O26" s="677"/>
      <c r="P26" s="677"/>
      <c r="Q26" s="677"/>
      <c r="R26" s="677"/>
      <c r="S26" s="677"/>
      <c r="T26" s="677"/>
      <c r="U26" s="677"/>
      <c r="V26" s="677"/>
      <c r="W26" s="677"/>
      <c r="X26" s="677"/>
      <c r="Y26" s="677"/>
      <c r="Z26" s="677"/>
      <c r="AA26" s="677"/>
      <c r="AB26" s="677"/>
      <c r="AC26" s="677"/>
      <c r="AD26" s="677"/>
      <c r="AE26" s="677"/>
      <c r="AF26" s="677"/>
      <c r="AG26" s="677"/>
      <c r="AH26" s="677"/>
      <c r="AI26" s="62"/>
      <c r="AJ26" s="62"/>
      <c r="AK26" s="62"/>
      <c r="AL26" s="62"/>
    </row>
    <row r="27" spans="1:38" x14ac:dyDescent="0.3">
      <c r="A27" s="62"/>
      <c r="B27" s="62" t="s">
        <v>385</v>
      </c>
      <c r="C27" s="62"/>
      <c r="D27" s="678"/>
      <c r="E27" s="678"/>
      <c r="F27" s="678"/>
      <c r="G27" s="678"/>
      <c r="H27" s="678"/>
      <c r="I27" s="678"/>
      <c r="J27" s="678"/>
      <c r="K27" s="678"/>
      <c r="L27" s="678"/>
      <c r="M27" s="678"/>
      <c r="N27" s="678"/>
      <c r="O27" s="678"/>
      <c r="P27" s="678"/>
      <c r="Q27" s="678"/>
      <c r="R27" s="678"/>
      <c r="S27" s="678"/>
      <c r="T27" s="678"/>
      <c r="U27" s="678"/>
      <c r="V27" s="678"/>
      <c r="W27" s="678"/>
      <c r="X27" s="678"/>
      <c r="Y27" s="678"/>
      <c r="Z27" s="678"/>
      <c r="AA27" s="678"/>
      <c r="AB27" s="678"/>
      <c r="AC27" s="678"/>
      <c r="AD27" s="678"/>
      <c r="AE27" s="678"/>
      <c r="AF27" s="678"/>
      <c r="AG27" s="678"/>
      <c r="AH27" s="678"/>
      <c r="AI27" s="62"/>
      <c r="AJ27" s="171"/>
      <c r="AK27" s="62">
        <f>SUM(F27:J27,L27,N27:W27,Y27:Z27,AA27,AC27:AE27,AG27:AH27)</f>
        <v>0</v>
      </c>
      <c r="AL27" s="62">
        <f>AJ27-AK27</f>
        <v>0</v>
      </c>
    </row>
    <row r="28" spans="1:38" x14ac:dyDescent="0.3">
      <c r="A28" s="62"/>
      <c r="B28" s="62"/>
      <c r="C28" s="62"/>
      <c r="D28" s="677"/>
      <c r="E28" s="677"/>
      <c r="F28" s="677"/>
      <c r="G28" s="677"/>
      <c r="H28" s="677"/>
      <c r="I28" s="677"/>
      <c r="J28" s="677"/>
      <c r="K28" s="677"/>
      <c r="L28" s="677"/>
      <c r="M28" s="677"/>
      <c r="N28" s="677"/>
      <c r="O28" s="677"/>
      <c r="P28" s="677"/>
      <c r="Q28" s="677"/>
      <c r="R28" s="677"/>
      <c r="S28" s="677"/>
      <c r="T28" s="677"/>
      <c r="U28" s="677"/>
      <c r="V28" s="677"/>
      <c r="W28" s="677"/>
      <c r="X28" s="677"/>
      <c r="Y28" s="677"/>
      <c r="Z28" s="677"/>
      <c r="AA28" s="677"/>
      <c r="AB28" s="677"/>
      <c r="AC28" s="677"/>
      <c r="AD28" s="677"/>
      <c r="AE28" s="677"/>
      <c r="AF28" s="677"/>
      <c r="AG28" s="677"/>
      <c r="AH28" s="677"/>
      <c r="AI28" s="62"/>
      <c r="AJ28" s="62"/>
      <c r="AK28" s="62">
        <f t="shared" ref="AK28:AK39" si="6">SUM(F28:J28,L28,N28:W28,Y28:Z28,AA28,AC28:AE28,AG28:AH28)</f>
        <v>0</v>
      </c>
      <c r="AL28" s="62"/>
    </row>
    <row r="29" spans="1:38" x14ac:dyDescent="0.3">
      <c r="A29" s="463" t="s">
        <v>386</v>
      </c>
      <c r="B29" s="62"/>
      <c r="C29" s="62"/>
      <c r="D29" s="677"/>
      <c r="E29" s="677"/>
      <c r="F29" s="677"/>
      <c r="G29" s="677"/>
      <c r="H29" s="677"/>
      <c r="I29" s="677"/>
      <c r="J29" s="677"/>
      <c r="K29" s="677"/>
      <c r="L29" s="677"/>
      <c r="M29" s="677"/>
      <c r="N29" s="677"/>
      <c r="O29" s="677"/>
      <c r="P29" s="677"/>
      <c r="Q29" s="677"/>
      <c r="R29" s="677"/>
      <c r="S29" s="677"/>
      <c r="T29" s="677"/>
      <c r="U29" s="677"/>
      <c r="V29" s="677"/>
      <c r="W29" s="677"/>
      <c r="X29" s="677"/>
      <c r="Y29" s="677"/>
      <c r="Z29" s="677"/>
      <c r="AA29" s="677"/>
      <c r="AB29" s="677"/>
      <c r="AC29" s="677"/>
      <c r="AD29" s="677"/>
      <c r="AE29" s="677"/>
      <c r="AF29" s="677"/>
      <c r="AG29" s="677"/>
      <c r="AH29" s="677"/>
      <c r="AI29" s="62"/>
      <c r="AJ29" s="62"/>
      <c r="AK29" s="62">
        <f t="shared" si="6"/>
        <v>0</v>
      </c>
      <c r="AL29" s="62"/>
    </row>
    <row r="30" spans="1:38" x14ac:dyDescent="0.3">
      <c r="A30" s="500" t="s">
        <v>387</v>
      </c>
      <c r="B30" s="501" t="s">
        <v>372</v>
      </c>
      <c r="C30" s="62"/>
      <c r="D30" s="678"/>
      <c r="E30" s="678"/>
      <c r="F30" s="678"/>
      <c r="G30" s="678"/>
      <c r="H30" s="678"/>
      <c r="I30" s="678"/>
      <c r="J30" s="678"/>
      <c r="K30" s="678"/>
      <c r="L30" s="678"/>
      <c r="M30" s="678"/>
      <c r="N30" s="677"/>
      <c r="O30" s="677"/>
      <c r="P30" s="677"/>
      <c r="Q30" s="677"/>
      <c r="R30" s="677"/>
      <c r="S30" s="677"/>
      <c r="T30" s="677"/>
      <c r="U30" s="677"/>
      <c r="V30" s="677"/>
      <c r="W30" s="677"/>
      <c r="X30" s="678"/>
      <c r="Y30" s="678"/>
      <c r="Z30" s="678"/>
      <c r="AA30" s="678"/>
      <c r="AB30" s="678"/>
      <c r="AC30" s="678"/>
      <c r="AD30" s="678"/>
      <c r="AE30" s="678"/>
      <c r="AF30" s="678"/>
      <c r="AG30" s="678"/>
      <c r="AH30" s="678"/>
      <c r="AI30" s="62"/>
      <c r="AJ30" s="171"/>
      <c r="AK30" s="62">
        <f t="shared" si="6"/>
        <v>0</v>
      </c>
      <c r="AL30" s="62">
        <f t="shared" ref="AL30:AL35" si="7">AJ30-AK30</f>
        <v>0</v>
      </c>
    </row>
    <row r="31" spans="1:38" x14ac:dyDescent="0.3">
      <c r="A31" s="500" t="s">
        <v>388</v>
      </c>
      <c r="B31" s="502" t="s">
        <v>374</v>
      </c>
      <c r="C31" s="62"/>
      <c r="D31" s="678"/>
      <c r="E31" s="678"/>
      <c r="F31" s="678"/>
      <c r="G31" s="678"/>
      <c r="H31" s="678"/>
      <c r="I31" s="678"/>
      <c r="J31" s="678"/>
      <c r="K31" s="678"/>
      <c r="L31" s="678"/>
      <c r="M31" s="678"/>
      <c r="N31" s="677"/>
      <c r="O31" s="677"/>
      <c r="P31" s="677"/>
      <c r="Q31" s="677"/>
      <c r="R31" s="677"/>
      <c r="S31" s="677"/>
      <c r="T31" s="677"/>
      <c r="U31" s="677"/>
      <c r="V31" s="677"/>
      <c r="W31" s="677"/>
      <c r="X31" s="678"/>
      <c r="Y31" s="678"/>
      <c r="Z31" s="678"/>
      <c r="AA31" s="678"/>
      <c r="AB31" s="678"/>
      <c r="AC31" s="678"/>
      <c r="AD31" s="678"/>
      <c r="AE31" s="678"/>
      <c r="AF31" s="678"/>
      <c r="AG31" s="678"/>
      <c r="AH31" s="678"/>
      <c r="AI31" s="62"/>
      <c r="AJ31" s="171"/>
      <c r="AK31" s="62">
        <f t="shared" si="6"/>
        <v>0</v>
      </c>
      <c r="AL31" s="62">
        <f t="shared" si="7"/>
        <v>0</v>
      </c>
    </row>
    <row r="32" spans="1:38" x14ac:dyDescent="0.3">
      <c r="A32" s="500" t="s">
        <v>389</v>
      </c>
      <c r="B32" s="502" t="s">
        <v>390</v>
      </c>
      <c r="C32" s="62"/>
      <c r="D32" s="678"/>
      <c r="E32" s="678"/>
      <c r="F32" s="678"/>
      <c r="G32" s="678"/>
      <c r="H32" s="678"/>
      <c r="I32" s="678"/>
      <c r="J32" s="678"/>
      <c r="K32" s="678"/>
      <c r="L32" s="678"/>
      <c r="M32" s="678"/>
      <c r="N32" s="677"/>
      <c r="O32" s="677"/>
      <c r="P32" s="677"/>
      <c r="Q32" s="677"/>
      <c r="R32" s="677"/>
      <c r="S32" s="677"/>
      <c r="T32" s="677"/>
      <c r="U32" s="677"/>
      <c r="V32" s="677"/>
      <c r="W32" s="677"/>
      <c r="X32" s="678"/>
      <c r="Y32" s="678"/>
      <c r="Z32" s="678"/>
      <c r="AA32" s="678"/>
      <c r="AB32" s="678"/>
      <c r="AC32" s="678"/>
      <c r="AD32" s="678"/>
      <c r="AE32" s="678"/>
      <c r="AF32" s="678"/>
      <c r="AG32" s="678"/>
      <c r="AH32" s="678"/>
      <c r="AI32" s="62"/>
      <c r="AJ32" s="171"/>
      <c r="AK32" s="62">
        <f t="shared" si="6"/>
        <v>0</v>
      </c>
      <c r="AL32" s="62">
        <f t="shared" si="7"/>
        <v>0</v>
      </c>
    </row>
    <row r="33" spans="1:38" x14ac:dyDescent="0.3">
      <c r="A33" s="500" t="s">
        <v>391</v>
      </c>
      <c r="B33" s="501" t="s">
        <v>378</v>
      </c>
      <c r="C33" s="62"/>
      <c r="D33" s="678"/>
      <c r="E33" s="678"/>
      <c r="F33" s="678"/>
      <c r="G33" s="678"/>
      <c r="H33" s="678"/>
      <c r="I33" s="678"/>
      <c r="J33" s="678"/>
      <c r="K33" s="678"/>
      <c r="L33" s="678"/>
      <c r="M33" s="678"/>
      <c r="N33" s="677"/>
      <c r="O33" s="677"/>
      <c r="P33" s="677"/>
      <c r="Q33" s="677"/>
      <c r="R33" s="677"/>
      <c r="S33" s="677"/>
      <c r="T33" s="677"/>
      <c r="U33" s="677"/>
      <c r="V33" s="677"/>
      <c r="W33" s="677"/>
      <c r="X33" s="678"/>
      <c r="Y33" s="678"/>
      <c r="Z33" s="678"/>
      <c r="AA33" s="678"/>
      <c r="AB33" s="678"/>
      <c r="AC33" s="678"/>
      <c r="AD33" s="678"/>
      <c r="AE33" s="678"/>
      <c r="AF33" s="678"/>
      <c r="AG33" s="678"/>
      <c r="AH33" s="678"/>
      <c r="AI33" s="62"/>
      <c r="AJ33" s="171"/>
      <c r="AK33" s="62">
        <f t="shared" si="6"/>
        <v>0</v>
      </c>
      <c r="AL33" s="62">
        <f t="shared" si="7"/>
        <v>0</v>
      </c>
    </row>
    <row r="34" spans="1:38" x14ac:dyDescent="0.3">
      <c r="A34" s="500" t="s">
        <v>392</v>
      </c>
      <c r="B34" s="501" t="s">
        <v>380</v>
      </c>
      <c r="C34" s="62"/>
      <c r="D34" s="678"/>
      <c r="E34" s="678"/>
      <c r="F34" s="678"/>
      <c r="G34" s="678"/>
      <c r="H34" s="678"/>
      <c r="I34" s="678"/>
      <c r="J34" s="678"/>
      <c r="K34" s="678"/>
      <c r="L34" s="678"/>
      <c r="M34" s="678"/>
      <c r="N34" s="677"/>
      <c r="O34" s="677"/>
      <c r="P34" s="677"/>
      <c r="Q34" s="677"/>
      <c r="R34" s="677"/>
      <c r="S34" s="677"/>
      <c r="T34" s="677"/>
      <c r="U34" s="677"/>
      <c r="V34" s="677"/>
      <c r="W34" s="677"/>
      <c r="X34" s="678"/>
      <c r="Y34" s="678"/>
      <c r="Z34" s="678"/>
      <c r="AA34" s="678"/>
      <c r="AB34" s="678"/>
      <c r="AC34" s="678"/>
      <c r="AD34" s="678"/>
      <c r="AE34" s="678"/>
      <c r="AF34" s="678"/>
      <c r="AG34" s="678"/>
      <c r="AH34" s="678"/>
      <c r="AI34" s="62"/>
      <c r="AJ34" s="171"/>
      <c r="AK34" s="62">
        <f t="shared" si="6"/>
        <v>0</v>
      </c>
      <c r="AL34" s="62">
        <f t="shared" si="7"/>
        <v>0</v>
      </c>
    </row>
    <row r="35" spans="1:38" x14ac:dyDescent="0.3">
      <c r="A35" s="500" t="s">
        <v>393</v>
      </c>
      <c r="B35" s="501" t="s">
        <v>382</v>
      </c>
      <c r="C35" s="62"/>
      <c r="D35" s="678"/>
      <c r="E35" s="678"/>
      <c r="F35" s="678"/>
      <c r="G35" s="678"/>
      <c r="H35" s="678"/>
      <c r="I35" s="678"/>
      <c r="J35" s="678"/>
      <c r="K35" s="678"/>
      <c r="L35" s="678"/>
      <c r="M35" s="678"/>
      <c r="N35" s="686"/>
      <c r="O35" s="677"/>
      <c r="P35" s="677"/>
      <c r="Q35" s="677"/>
      <c r="R35" s="677"/>
      <c r="S35" s="677"/>
      <c r="T35" s="677"/>
      <c r="U35" s="677"/>
      <c r="V35" s="677"/>
      <c r="W35" s="677"/>
      <c r="X35" s="678"/>
      <c r="Y35" s="678"/>
      <c r="Z35" s="678"/>
      <c r="AA35" s="678"/>
      <c r="AB35" s="678"/>
      <c r="AC35" s="678"/>
      <c r="AD35" s="678"/>
      <c r="AE35" s="678"/>
      <c r="AF35" s="678"/>
      <c r="AG35" s="678"/>
      <c r="AH35" s="678"/>
      <c r="AI35" s="62"/>
      <c r="AJ35" s="171"/>
      <c r="AK35" s="62">
        <f t="shared" si="6"/>
        <v>0</v>
      </c>
      <c r="AL35" s="62">
        <f t="shared" si="7"/>
        <v>0</v>
      </c>
    </row>
    <row r="36" spans="1:38" x14ac:dyDescent="0.3">
      <c r="A36" s="500" t="s">
        <v>1150</v>
      </c>
      <c r="B36" s="501" t="s">
        <v>384</v>
      </c>
      <c r="C36" s="62"/>
      <c r="D36" s="678"/>
      <c r="E36" s="678"/>
      <c r="F36" s="678"/>
      <c r="G36" s="678"/>
      <c r="H36" s="678"/>
      <c r="I36" s="678"/>
      <c r="J36" s="678"/>
      <c r="K36" s="678"/>
      <c r="L36" s="678"/>
      <c r="M36" s="678"/>
      <c r="N36" s="686"/>
      <c r="O36" s="677"/>
      <c r="P36" s="677"/>
      <c r="Q36" s="677"/>
      <c r="R36" s="677"/>
      <c r="S36" s="677"/>
      <c r="T36" s="677"/>
      <c r="U36" s="677"/>
      <c r="V36" s="677"/>
      <c r="W36" s="677"/>
      <c r="X36" s="678"/>
      <c r="Y36" s="678"/>
      <c r="Z36" s="678"/>
      <c r="AA36" s="678"/>
      <c r="AB36" s="678"/>
      <c r="AC36" s="678"/>
      <c r="AD36" s="678"/>
      <c r="AE36" s="678"/>
      <c r="AF36" s="678"/>
      <c r="AG36" s="678"/>
      <c r="AH36" s="678"/>
      <c r="AI36" s="62"/>
      <c r="AJ36" s="171"/>
      <c r="AK36" s="62"/>
      <c r="AL36" s="62"/>
    </row>
    <row r="37" spans="1:38" x14ac:dyDescent="0.3">
      <c r="A37" s="500"/>
      <c r="B37" s="501" t="s">
        <v>91</v>
      </c>
      <c r="C37" s="62"/>
      <c r="D37" s="678"/>
      <c r="E37" s="678"/>
      <c r="F37" s="678"/>
      <c r="G37" s="678"/>
      <c r="H37" s="678"/>
      <c r="I37" s="678"/>
      <c r="J37" s="678"/>
      <c r="K37" s="678"/>
      <c r="L37" s="678"/>
      <c r="M37" s="678"/>
      <c r="N37" s="677"/>
      <c r="O37" s="677"/>
      <c r="P37" s="677"/>
      <c r="Q37" s="677"/>
      <c r="R37" s="677"/>
      <c r="S37" s="677"/>
      <c r="T37" s="677"/>
      <c r="U37" s="677"/>
      <c r="V37" s="677"/>
      <c r="W37" s="677"/>
      <c r="X37" s="678"/>
      <c r="Y37" s="678"/>
      <c r="Z37" s="678"/>
      <c r="AA37" s="678"/>
      <c r="AB37" s="678"/>
      <c r="AC37" s="678"/>
      <c r="AD37" s="678"/>
      <c r="AE37" s="678"/>
      <c r="AF37" s="678"/>
      <c r="AG37" s="678"/>
      <c r="AH37" s="678"/>
      <c r="AI37" s="62"/>
      <c r="AJ37" s="171"/>
      <c r="AK37" s="62">
        <f t="shared" si="6"/>
        <v>0</v>
      </c>
      <c r="AL37" s="62">
        <f>AJ37-AK37</f>
        <v>0</v>
      </c>
    </row>
    <row r="38" spans="1:38" x14ac:dyDescent="0.3">
      <c r="A38" s="62"/>
      <c r="B38" s="62"/>
      <c r="C38" s="62"/>
      <c r="D38" s="677"/>
      <c r="E38" s="677"/>
      <c r="F38" s="677"/>
      <c r="G38" s="677"/>
      <c r="H38" s="677"/>
      <c r="I38" s="677"/>
      <c r="J38" s="677"/>
      <c r="K38" s="677"/>
      <c r="L38" s="677"/>
      <c r="M38" s="677"/>
      <c r="N38" s="677"/>
      <c r="O38" s="677"/>
      <c r="P38" s="677"/>
      <c r="Q38" s="677"/>
      <c r="R38" s="677"/>
      <c r="S38" s="677"/>
      <c r="T38" s="677"/>
      <c r="U38" s="677"/>
      <c r="V38" s="677"/>
      <c r="W38" s="677"/>
      <c r="X38" s="677"/>
      <c r="Y38" s="677"/>
      <c r="Z38" s="677"/>
      <c r="AA38" s="677"/>
      <c r="AB38" s="677"/>
      <c r="AC38" s="677"/>
      <c r="AD38" s="677"/>
      <c r="AE38" s="677"/>
      <c r="AF38" s="677"/>
      <c r="AG38" s="677"/>
      <c r="AH38" s="677"/>
      <c r="AI38" s="62"/>
      <c r="AJ38" s="62"/>
      <c r="AK38" s="62"/>
      <c r="AL38" s="62"/>
    </row>
    <row r="39" spans="1:38" x14ac:dyDescent="0.3">
      <c r="A39" s="62"/>
      <c r="B39" s="62" t="s">
        <v>394</v>
      </c>
      <c r="C39" s="62"/>
      <c r="D39" s="678"/>
      <c r="E39" s="678"/>
      <c r="F39" s="678"/>
      <c r="G39" s="678"/>
      <c r="H39" s="678"/>
      <c r="I39" s="678"/>
      <c r="J39" s="678"/>
      <c r="K39" s="678"/>
      <c r="L39" s="678"/>
      <c r="M39" s="678"/>
      <c r="N39" s="678"/>
      <c r="O39" s="678"/>
      <c r="P39" s="678"/>
      <c r="Q39" s="678"/>
      <c r="R39" s="678"/>
      <c r="S39" s="678"/>
      <c r="T39" s="678"/>
      <c r="U39" s="678"/>
      <c r="V39" s="678"/>
      <c r="W39" s="678"/>
      <c r="X39" s="678"/>
      <c r="Y39" s="678"/>
      <c r="Z39" s="678"/>
      <c r="AA39" s="678"/>
      <c r="AB39" s="678"/>
      <c r="AC39" s="678"/>
      <c r="AD39" s="678"/>
      <c r="AE39" s="678"/>
      <c r="AF39" s="678"/>
      <c r="AG39" s="678"/>
      <c r="AH39" s="678"/>
      <c r="AI39" s="62"/>
      <c r="AJ39" s="171"/>
      <c r="AK39" s="62">
        <f t="shared" si="6"/>
        <v>0</v>
      </c>
      <c r="AL39" s="62">
        <f>AJ39-AK39</f>
        <v>0</v>
      </c>
    </row>
    <row r="40" spans="1:38" x14ac:dyDescent="0.3">
      <c r="A40" s="62"/>
      <c r="B40" s="62"/>
      <c r="C40" s="62"/>
      <c r="D40" s="677"/>
      <c r="E40" s="677"/>
      <c r="F40" s="677"/>
      <c r="G40" s="677"/>
      <c r="H40" s="677"/>
      <c r="I40" s="677"/>
      <c r="J40" s="677"/>
      <c r="K40" s="677"/>
      <c r="L40" s="677"/>
      <c r="M40" s="677"/>
      <c r="N40" s="677"/>
      <c r="O40" s="677"/>
      <c r="P40" s="677"/>
      <c r="Q40" s="677"/>
      <c r="R40" s="677"/>
      <c r="S40" s="677"/>
      <c r="T40" s="677"/>
      <c r="U40" s="677"/>
      <c r="V40" s="677"/>
      <c r="W40" s="677"/>
      <c r="X40" s="677"/>
      <c r="Y40" s="677"/>
      <c r="Z40" s="677"/>
      <c r="AA40" s="677"/>
      <c r="AB40" s="677"/>
      <c r="AC40" s="677"/>
      <c r="AD40" s="677"/>
      <c r="AE40" s="677"/>
      <c r="AF40" s="677"/>
      <c r="AG40" s="677"/>
      <c r="AH40" s="677"/>
      <c r="AI40" s="62"/>
      <c r="AJ40" s="62"/>
      <c r="AK40" s="62"/>
      <c r="AL40" s="62"/>
    </row>
    <row r="41" spans="1:38" x14ac:dyDescent="0.3">
      <c r="A41" s="463" t="s">
        <v>395</v>
      </c>
      <c r="B41" s="62"/>
      <c r="C41" s="62"/>
      <c r="D41" s="677"/>
      <c r="E41" s="677"/>
      <c r="F41" s="677"/>
      <c r="G41" s="677"/>
      <c r="H41" s="677"/>
      <c r="I41" s="677"/>
      <c r="J41" s="677"/>
      <c r="K41" s="677"/>
      <c r="L41" s="677"/>
      <c r="M41" s="677"/>
      <c r="N41" s="677"/>
      <c r="O41" s="677"/>
      <c r="P41" s="677"/>
      <c r="Q41" s="677"/>
      <c r="R41" s="677"/>
      <c r="S41" s="677"/>
      <c r="T41" s="677"/>
      <c r="U41" s="677"/>
      <c r="V41" s="677"/>
      <c r="W41" s="677"/>
      <c r="X41" s="677"/>
      <c r="Y41" s="677"/>
      <c r="Z41" s="677"/>
      <c r="AA41" s="677"/>
      <c r="AB41" s="677"/>
      <c r="AC41" s="677"/>
      <c r="AD41" s="677"/>
      <c r="AE41" s="677"/>
      <c r="AF41" s="677"/>
      <c r="AG41" s="677"/>
      <c r="AH41" s="677"/>
      <c r="AI41" s="62"/>
      <c r="AJ41" s="62"/>
      <c r="AK41" s="62"/>
      <c r="AL41" s="62"/>
    </row>
    <row r="42" spans="1:38" x14ac:dyDescent="0.3">
      <c r="A42" s="503" t="s">
        <v>396</v>
      </c>
      <c r="B42" s="504" t="s">
        <v>372</v>
      </c>
      <c r="C42" s="62"/>
      <c r="D42" s="678"/>
      <c r="E42" s="678"/>
      <c r="F42" s="678"/>
      <c r="G42" s="678"/>
      <c r="H42" s="678"/>
      <c r="I42" s="678"/>
      <c r="J42" s="678"/>
      <c r="K42" s="678"/>
      <c r="L42" s="678"/>
      <c r="M42" s="678"/>
      <c r="N42" s="678"/>
      <c r="O42" s="677"/>
      <c r="P42" s="677"/>
      <c r="Q42" s="677"/>
      <c r="R42" s="677"/>
      <c r="S42" s="677"/>
      <c r="T42" s="677"/>
      <c r="U42" s="677"/>
      <c r="V42" s="677"/>
      <c r="W42" s="677"/>
      <c r="X42" s="678"/>
      <c r="Y42" s="678"/>
      <c r="Z42" s="678"/>
      <c r="AA42" s="678"/>
      <c r="AB42" s="678"/>
      <c r="AC42" s="678"/>
      <c r="AD42" s="678"/>
      <c r="AE42" s="678"/>
      <c r="AF42" s="678"/>
      <c r="AG42" s="678"/>
      <c r="AH42" s="678"/>
      <c r="AI42" s="62"/>
      <c r="AJ42" s="171"/>
      <c r="AK42" s="62">
        <f t="shared" ref="AK42:AK48" si="8">SUM(F42:J42,L42,N42:W42,Y42:Z42,AA42,AC42:AE42,AG42:AH42)</f>
        <v>0</v>
      </c>
      <c r="AL42" s="62">
        <f t="shared" ref="AL42:AL48" si="9">AJ42-AK42</f>
        <v>0</v>
      </c>
    </row>
    <row r="43" spans="1:38" x14ac:dyDescent="0.3">
      <c r="A43" s="503" t="s">
        <v>397</v>
      </c>
      <c r="B43" s="503" t="s">
        <v>374</v>
      </c>
      <c r="C43" s="62"/>
      <c r="D43" s="678"/>
      <c r="E43" s="678"/>
      <c r="F43" s="678"/>
      <c r="G43" s="678"/>
      <c r="H43" s="678"/>
      <c r="I43" s="678"/>
      <c r="J43" s="678"/>
      <c r="K43" s="678"/>
      <c r="L43" s="678"/>
      <c r="M43" s="678"/>
      <c r="N43" s="677"/>
      <c r="O43" s="677"/>
      <c r="P43" s="677"/>
      <c r="Q43" s="677"/>
      <c r="R43" s="677"/>
      <c r="S43" s="677"/>
      <c r="T43" s="677"/>
      <c r="U43" s="677"/>
      <c r="V43" s="677"/>
      <c r="W43" s="677"/>
      <c r="X43" s="678"/>
      <c r="Y43" s="678"/>
      <c r="Z43" s="678"/>
      <c r="AA43" s="678"/>
      <c r="AB43" s="678"/>
      <c r="AC43" s="678"/>
      <c r="AD43" s="678"/>
      <c r="AE43" s="678"/>
      <c r="AF43" s="678"/>
      <c r="AG43" s="678"/>
      <c r="AH43" s="678"/>
      <c r="AI43" s="62"/>
      <c r="AJ43" s="171"/>
      <c r="AK43" s="62">
        <f t="shared" si="8"/>
        <v>0</v>
      </c>
      <c r="AL43" s="62">
        <f t="shared" si="9"/>
        <v>0</v>
      </c>
    </row>
    <row r="44" spans="1:38" x14ac:dyDescent="0.3">
      <c r="A44" s="503" t="s">
        <v>398</v>
      </c>
      <c r="B44" s="504" t="s">
        <v>1321</v>
      </c>
      <c r="C44" s="62"/>
      <c r="D44" s="678"/>
      <c r="E44" s="678"/>
      <c r="F44" s="678"/>
      <c r="G44" s="678"/>
      <c r="H44" s="678"/>
      <c r="I44" s="678"/>
      <c r="J44" s="678"/>
      <c r="K44" s="678"/>
      <c r="L44" s="678"/>
      <c r="M44" s="678"/>
      <c r="N44" s="677"/>
      <c r="O44" s="677"/>
      <c r="P44" s="677"/>
      <c r="Q44" s="677"/>
      <c r="R44" s="677"/>
      <c r="S44" s="677"/>
      <c r="T44" s="677"/>
      <c r="U44" s="677"/>
      <c r="V44" s="677"/>
      <c r="W44" s="677"/>
      <c r="X44" s="678"/>
      <c r="Y44" s="678"/>
      <c r="Z44" s="678"/>
      <c r="AA44" s="678"/>
      <c r="AB44" s="678"/>
      <c r="AC44" s="678"/>
      <c r="AD44" s="678"/>
      <c r="AE44" s="678"/>
      <c r="AF44" s="678"/>
      <c r="AG44" s="678"/>
      <c r="AH44" s="678"/>
      <c r="AI44" s="62"/>
      <c r="AJ44" s="171"/>
      <c r="AK44" s="62">
        <f t="shared" si="8"/>
        <v>0</v>
      </c>
      <c r="AL44" s="62">
        <f t="shared" si="9"/>
        <v>0</v>
      </c>
    </row>
    <row r="45" spans="1:38" x14ac:dyDescent="0.3">
      <c r="A45" s="503" t="s">
        <v>399</v>
      </c>
      <c r="B45" s="504" t="s">
        <v>497</v>
      </c>
      <c r="C45" s="62"/>
      <c r="D45" s="678"/>
      <c r="E45" s="678"/>
      <c r="F45" s="678"/>
      <c r="G45" s="678"/>
      <c r="H45" s="678"/>
      <c r="I45" s="678"/>
      <c r="J45" s="678"/>
      <c r="K45" s="678"/>
      <c r="L45" s="678"/>
      <c r="M45" s="678"/>
      <c r="N45" s="677"/>
      <c r="O45" s="677"/>
      <c r="P45" s="677"/>
      <c r="Q45" s="677"/>
      <c r="R45" s="677"/>
      <c r="S45" s="677"/>
      <c r="T45" s="677"/>
      <c r="U45" s="677"/>
      <c r="V45" s="677"/>
      <c r="W45" s="677"/>
      <c r="X45" s="678"/>
      <c r="Y45" s="678"/>
      <c r="Z45" s="678"/>
      <c r="AA45" s="678"/>
      <c r="AB45" s="678"/>
      <c r="AC45" s="678"/>
      <c r="AD45" s="678"/>
      <c r="AE45" s="678"/>
      <c r="AF45" s="678"/>
      <c r="AG45" s="678"/>
      <c r="AH45" s="678"/>
      <c r="AI45" s="62"/>
      <c r="AJ45" s="171"/>
      <c r="AK45" s="62">
        <f t="shared" si="8"/>
        <v>0</v>
      </c>
      <c r="AL45" s="62">
        <f t="shared" si="9"/>
        <v>0</v>
      </c>
    </row>
    <row r="46" spans="1:38" x14ac:dyDescent="0.3">
      <c r="A46" s="503" t="s">
        <v>401</v>
      </c>
      <c r="B46" s="504" t="s">
        <v>402</v>
      </c>
      <c r="C46" s="62"/>
      <c r="D46" s="678"/>
      <c r="E46" s="678"/>
      <c r="F46" s="678"/>
      <c r="G46" s="678"/>
      <c r="H46" s="678"/>
      <c r="I46" s="678"/>
      <c r="J46" s="678"/>
      <c r="K46" s="678"/>
      <c r="L46" s="678"/>
      <c r="M46" s="678"/>
      <c r="N46" s="677"/>
      <c r="O46" s="677"/>
      <c r="P46" s="677"/>
      <c r="Q46" s="677"/>
      <c r="R46" s="677"/>
      <c r="S46" s="677"/>
      <c r="T46" s="677"/>
      <c r="U46" s="677"/>
      <c r="V46" s="677"/>
      <c r="W46" s="677"/>
      <c r="X46" s="678"/>
      <c r="Y46" s="678"/>
      <c r="Z46" s="678"/>
      <c r="AA46" s="678"/>
      <c r="AB46" s="678"/>
      <c r="AC46" s="678"/>
      <c r="AD46" s="678"/>
      <c r="AE46" s="678"/>
      <c r="AF46" s="678"/>
      <c r="AG46" s="678"/>
      <c r="AH46" s="678"/>
      <c r="AI46" s="62"/>
      <c r="AJ46" s="171"/>
      <c r="AK46" s="62">
        <f t="shared" si="8"/>
        <v>0</v>
      </c>
      <c r="AL46" s="62">
        <f t="shared" si="9"/>
        <v>0</v>
      </c>
    </row>
    <row r="47" spans="1:38" x14ac:dyDescent="0.3">
      <c r="A47" s="503" t="s">
        <v>403</v>
      </c>
      <c r="B47" s="504" t="s">
        <v>404</v>
      </c>
      <c r="C47" s="62"/>
      <c r="D47" s="678"/>
      <c r="E47" s="678"/>
      <c r="F47" s="678"/>
      <c r="G47" s="678"/>
      <c r="H47" s="678"/>
      <c r="I47" s="678"/>
      <c r="J47" s="678"/>
      <c r="K47" s="678"/>
      <c r="L47" s="678"/>
      <c r="M47" s="678"/>
      <c r="N47" s="677"/>
      <c r="O47" s="677"/>
      <c r="P47" s="677"/>
      <c r="Q47" s="677"/>
      <c r="R47" s="677"/>
      <c r="S47" s="677"/>
      <c r="T47" s="677"/>
      <c r="U47" s="677"/>
      <c r="V47" s="677"/>
      <c r="W47" s="677"/>
      <c r="X47" s="678"/>
      <c r="Y47" s="678"/>
      <c r="Z47" s="678"/>
      <c r="AA47" s="678"/>
      <c r="AB47" s="678"/>
      <c r="AC47" s="678"/>
      <c r="AD47" s="678"/>
      <c r="AE47" s="678"/>
      <c r="AF47" s="678"/>
      <c r="AG47" s="678"/>
      <c r="AH47" s="678"/>
      <c r="AI47" s="62"/>
      <c r="AJ47" s="171"/>
      <c r="AK47" s="62">
        <f t="shared" si="8"/>
        <v>0</v>
      </c>
      <c r="AL47" s="62">
        <f t="shared" si="9"/>
        <v>0</v>
      </c>
    </row>
    <row r="48" spans="1:38" x14ac:dyDescent="0.3">
      <c r="A48" s="503" t="s">
        <v>405</v>
      </c>
      <c r="B48" s="504" t="s">
        <v>406</v>
      </c>
      <c r="C48" s="62"/>
      <c r="D48" s="678"/>
      <c r="E48" s="678"/>
      <c r="F48" s="678"/>
      <c r="G48" s="678"/>
      <c r="H48" s="678"/>
      <c r="I48" s="678"/>
      <c r="J48" s="678"/>
      <c r="K48" s="678"/>
      <c r="L48" s="678"/>
      <c r="M48" s="678"/>
      <c r="N48" s="677"/>
      <c r="O48" s="677"/>
      <c r="P48" s="677"/>
      <c r="Q48" s="677"/>
      <c r="R48" s="677"/>
      <c r="S48" s="677"/>
      <c r="T48" s="677"/>
      <c r="U48" s="677"/>
      <c r="V48" s="677"/>
      <c r="W48" s="677"/>
      <c r="X48" s="678"/>
      <c r="Y48" s="678"/>
      <c r="Z48" s="678"/>
      <c r="AA48" s="678"/>
      <c r="AB48" s="678"/>
      <c r="AC48" s="678"/>
      <c r="AD48" s="678"/>
      <c r="AE48" s="678"/>
      <c r="AF48" s="678"/>
      <c r="AG48" s="678"/>
      <c r="AH48" s="678"/>
      <c r="AI48" s="62"/>
      <c r="AJ48" s="171"/>
      <c r="AK48" s="62">
        <f t="shared" si="8"/>
        <v>0</v>
      </c>
      <c r="AL48" s="62">
        <f t="shared" si="9"/>
        <v>0</v>
      </c>
    </row>
    <row r="49" spans="1:38" x14ac:dyDescent="0.3">
      <c r="A49" s="62"/>
      <c r="B49" s="62"/>
      <c r="C49" s="62"/>
      <c r="D49" s="677"/>
      <c r="E49" s="677"/>
      <c r="F49" s="677"/>
      <c r="G49" s="677"/>
      <c r="H49" s="677"/>
      <c r="I49" s="677"/>
      <c r="J49" s="677"/>
      <c r="K49" s="677"/>
      <c r="L49" s="677"/>
      <c r="M49" s="677"/>
      <c r="N49" s="677"/>
      <c r="O49" s="677"/>
      <c r="P49" s="677"/>
      <c r="Q49" s="677"/>
      <c r="R49" s="677"/>
      <c r="S49" s="677"/>
      <c r="T49" s="677"/>
      <c r="U49" s="677"/>
      <c r="V49" s="677"/>
      <c r="W49" s="677"/>
      <c r="X49" s="677"/>
      <c r="Y49" s="677"/>
      <c r="Z49" s="677"/>
      <c r="AA49" s="677"/>
      <c r="AB49" s="677"/>
      <c r="AC49" s="677"/>
      <c r="AD49" s="677"/>
      <c r="AE49" s="677"/>
      <c r="AF49" s="677"/>
      <c r="AG49" s="677"/>
      <c r="AH49" s="677"/>
      <c r="AI49" s="62"/>
      <c r="AJ49" s="62"/>
      <c r="AK49" s="62"/>
      <c r="AL49" s="62"/>
    </row>
    <row r="50" spans="1:38" x14ac:dyDescent="0.3">
      <c r="A50" s="62"/>
      <c r="B50" s="62" t="s">
        <v>407</v>
      </c>
      <c r="C50" s="62"/>
      <c r="D50" s="678"/>
      <c r="E50" s="678"/>
      <c r="F50" s="678"/>
      <c r="G50" s="678"/>
      <c r="H50" s="678"/>
      <c r="I50" s="678"/>
      <c r="J50" s="678"/>
      <c r="K50" s="678"/>
      <c r="L50" s="678"/>
      <c r="M50" s="678"/>
      <c r="N50" s="678"/>
      <c r="O50" s="678"/>
      <c r="P50" s="678"/>
      <c r="Q50" s="678"/>
      <c r="R50" s="678"/>
      <c r="S50" s="678"/>
      <c r="T50" s="678"/>
      <c r="U50" s="678"/>
      <c r="V50" s="678"/>
      <c r="W50" s="678"/>
      <c r="X50" s="678"/>
      <c r="Y50" s="678"/>
      <c r="Z50" s="678"/>
      <c r="AA50" s="678"/>
      <c r="AB50" s="678"/>
      <c r="AC50" s="678"/>
      <c r="AD50" s="678"/>
      <c r="AE50" s="678"/>
      <c r="AF50" s="678"/>
      <c r="AG50" s="678"/>
      <c r="AH50" s="678"/>
      <c r="AI50" s="62"/>
      <c r="AJ50" s="171"/>
      <c r="AK50" s="62">
        <f t="shared" ref="AK50" si="10">SUM(F50:J50,L50,N50:W50,Y50:Z50,AA50,AC50:AE50,AG50:AH50)</f>
        <v>0</v>
      </c>
      <c r="AL50" s="62">
        <f>AJ50-AK50</f>
        <v>0</v>
      </c>
    </row>
    <row r="51" spans="1:38" x14ac:dyDescent="0.3">
      <c r="A51" s="62"/>
      <c r="B51" s="62"/>
      <c r="C51" s="62"/>
      <c r="D51" s="677"/>
      <c r="E51" s="677"/>
      <c r="F51" s="677"/>
      <c r="G51" s="677"/>
      <c r="H51" s="677"/>
      <c r="I51" s="677"/>
      <c r="J51" s="677"/>
      <c r="K51" s="677"/>
      <c r="L51" s="677"/>
      <c r="M51" s="677"/>
      <c r="N51" s="677"/>
      <c r="O51" s="677"/>
      <c r="P51" s="677"/>
      <c r="Q51" s="677"/>
      <c r="R51" s="677"/>
      <c r="S51" s="677"/>
      <c r="T51" s="677"/>
      <c r="U51" s="677"/>
      <c r="V51" s="677"/>
      <c r="W51" s="677"/>
      <c r="X51" s="677"/>
      <c r="Y51" s="677"/>
      <c r="Z51" s="677"/>
      <c r="AA51" s="677"/>
      <c r="AB51" s="677"/>
      <c r="AC51" s="677"/>
      <c r="AD51" s="677"/>
      <c r="AE51" s="677"/>
      <c r="AF51" s="677"/>
      <c r="AG51" s="677"/>
      <c r="AH51" s="677"/>
      <c r="AI51" s="62"/>
      <c r="AJ51" s="62"/>
      <c r="AK51" s="62"/>
      <c r="AL51" s="62"/>
    </row>
    <row r="52" spans="1:38" x14ac:dyDescent="0.3">
      <c r="A52" s="463" t="s">
        <v>408</v>
      </c>
      <c r="B52" s="62"/>
      <c r="C52" s="62"/>
      <c r="D52" s="677"/>
      <c r="E52" s="677"/>
      <c r="F52" s="677"/>
      <c r="G52" s="677"/>
      <c r="H52" s="677"/>
      <c r="I52" s="677"/>
      <c r="J52" s="677"/>
      <c r="K52" s="677"/>
      <c r="L52" s="677"/>
      <c r="M52" s="677"/>
      <c r="N52" s="677"/>
      <c r="O52" s="677"/>
      <c r="P52" s="677"/>
      <c r="Q52" s="677"/>
      <c r="R52" s="677"/>
      <c r="S52" s="677"/>
      <c r="T52" s="677"/>
      <c r="U52" s="677"/>
      <c r="V52" s="677"/>
      <c r="W52" s="677"/>
      <c r="X52" s="677"/>
      <c r="Y52" s="677"/>
      <c r="Z52" s="677"/>
      <c r="AA52" s="677"/>
      <c r="AB52" s="677"/>
      <c r="AC52" s="677"/>
      <c r="AD52" s="677"/>
      <c r="AE52" s="677"/>
      <c r="AF52" s="677"/>
      <c r="AG52" s="677"/>
      <c r="AH52" s="677"/>
      <c r="AI52" s="62"/>
      <c r="AJ52" s="62"/>
      <c r="AK52" s="62"/>
      <c r="AL52" s="62"/>
    </row>
    <row r="53" spans="1:38" x14ac:dyDescent="0.3">
      <c r="A53" s="504" t="s">
        <v>409</v>
      </c>
      <c r="B53" s="504" t="s">
        <v>372</v>
      </c>
      <c r="C53" s="62"/>
      <c r="D53" s="678"/>
      <c r="E53" s="678"/>
      <c r="F53" s="678"/>
      <c r="G53" s="678"/>
      <c r="H53" s="678"/>
      <c r="I53" s="678"/>
      <c r="J53" s="678"/>
      <c r="K53" s="678"/>
      <c r="L53" s="678"/>
      <c r="M53" s="678"/>
      <c r="N53" s="677"/>
      <c r="O53" s="677"/>
      <c r="P53" s="677"/>
      <c r="Q53" s="677"/>
      <c r="R53" s="677"/>
      <c r="S53" s="677"/>
      <c r="T53" s="677"/>
      <c r="U53" s="677"/>
      <c r="V53" s="677"/>
      <c r="W53" s="677"/>
      <c r="X53" s="678"/>
      <c r="Y53" s="678"/>
      <c r="Z53" s="678"/>
      <c r="AA53" s="678"/>
      <c r="AB53" s="678"/>
      <c r="AC53" s="678"/>
      <c r="AD53" s="678"/>
      <c r="AE53" s="678"/>
      <c r="AF53" s="678"/>
      <c r="AG53" s="678"/>
      <c r="AH53" s="678"/>
      <c r="AI53" s="62"/>
      <c r="AJ53" s="171"/>
      <c r="AK53" s="62">
        <f t="shared" ref="AK53:AK59" si="11">SUM(F53:J53,L53,N53:W53,Y53:Z53,AA53,AC53:AE53,AG53:AH53)</f>
        <v>0</v>
      </c>
      <c r="AL53" s="62">
        <f t="shared" ref="AL53:AL59" si="12">AJ53-AK53</f>
        <v>0</v>
      </c>
    </row>
    <row r="54" spans="1:38" x14ac:dyDescent="0.3">
      <c r="A54" s="504" t="s">
        <v>410</v>
      </c>
      <c r="B54" s="503" t="s">
        <v>374</v>
      </c>
      <c r="C54" s="62"/>
      <c r="D54" s="678"/>
      <c r="E54" s="678"/>
      <c r="F54" s="678"/>
      <c r="G54" s="678"/>
      <c r="H54" s="678"/>
      <c r="I54" s="678"/>
      <c r="J54" s="678"/>
      <c r="K54" s="678"/>
      <c r="L54" s="678"/>
      <c r="M54" s="678"/>
      <c r="N54" s="677"/>
      <c r="O54" s="677"/>
      <c r="P54" s="677"/>
      <c r="Q54" s="677"/>
      <c r="R54" s="677"/>
      <c r="S54" s="677"/>
      <c r="T54" s="677"/>
      <c r="U54" s="677"/>
      <c r="V54" s="677"/>
      <c r="W54" s="677"/>
      <c r="X54" s="678"/>
      <c r="Y54" s="678"/>
      <c r="Z54" s="678"/>
      <c r="AA54" s="678"/>
      <c r="AB54" s="678"/>
      <c r="AC54" s="678"/>
      <c r="AD54" s="678"/>
      <c r="AE54" s="678"/>
      <c r="AF54" s="678"/>
      <c r="AG54" s="678"/>
      <c r="AH54" s="678"/>
      <c r="AI54" s="62"/>
      <c r="AJ54" s="171"/>
      <c r="AK54" s="62">
        <f t="shared" si="11"/>
        <v>0</v>
      </c>
      <c r="AL54" s="62">
        <f t="shared" si="12"/>
        <v>0</v>
      </c>
    </row>
    <row r="55" spans="1:38" x14ac:dyDescent="0.3">
      <c r="A55" s="504" t="s">
        <v>411</v>
      </c>
      <c r="B55" s="504" t="s">
        <v>412</v>
      </c>
      <c r="C55" s="62"/>
      <c r="D55" s="678"/>
      <c r="E55" s="678"/>
      <c r="F55" s="678"/>
      <c r="G55" s="678"/>
      <c r="H55" s="678"/>
      <c r="I55" s="678"/>
      <c r="J55" s="678"/>
      <c r="K55" s="678"/>
      <c r="L55" s="678"/>
      <c r="M55" s="678"/>
      <c r="N55" s="677"/>
      <c r="O55" s="677"/>
      <c r="P55" s="677"/>
      <c r="Q55" s="677"/>
      <c r="R55" s="677"/>
      <c r="S55" s="677"/>
      <c r="T55" s="677"/>
      <c r="U55" s="677"/>
      <c r="V55" s="677"/>
      <c r="W55" s="677"/>
      <c r="X55" s="678"/>
      <c r="Y55" s="678"/>
      <c r="Z55" s="678"/>
      <c r="AA55" s="678"/>
      <c r="AB55" s="678"/>
      <c r="AC55" s="678"/>
      <c r="AD55" s="678"/>
      <c r="AE55" s="678"/>
      <c r="AF55" s="678"/>
      <c r="AG55" s="678"/>
      <c r="AH55" s="678"/>
      <c r="AI55" s="62"/>
      <c r="AJ55" s="171"/>
      <c r="AK55" s="62">
        <f t="shared" si="11"/>
        <v>0</v>
      </c>
      <c r="AL55" s="62">
        <f t="shared" si="12"/>
        <v>0</v>
      </c>
    </row>
    <row r="56" spans="1:38" x14ac:dyDescent="0.3">
      <c r="A56" s="504" t="s">
        <v>413</v>
      </c>
      <c r="B56" s="504" t="s">
        <v>414</v>
      </c>
      <c r="C56" s="62"/>
      <c r="D56" s="678"/>
      <c r="E56" s="678"/>
      <c r="F56" s="678"/>
      <c r="G56" s="678"/>
      <c r="H56" s="678"/>
      <c r="I56" s="678"/>
      <c r="J56" s="678"/>
      <c r="K56" s="678"/>
      <c r="L56" s="678"/>
      <c r="M56" s="678"/>
      <c r="N56" s="677"/>
      <c r="O56" s="677"/>
      <c r="P56" s="677"/>
      <c r="Q56" s="677"/>
      <c r="R56" s="677"/>
      <c r="S56" s="677"/>
      <c r="T56" s="677"/>
      <c r="U56" s="677"/>
      <c r="V56" s="677"/>
      <c r="W56" s="677"/>
      <c r="X56" s="678"/>
      <c r="Y56" s="678"/>
      <c r="Z56" s="678"/>
      <c r="AA56" s="678"/>
      <c r="AB56" s="678"/>
      <c r="AC56" s="678"/>
      <c r="AD56" s="678"/>
      <c r="AE56" s="678"/>
      <c r="AF56" s="678"/>
      <c r="AG56" s="678"/>
      <c r="AH56" s="678"/>
      <c r="AI56" s="62"/>
      <c r="AJ56" s="171"/>
      <c r="AK56" s="62">
        <f t="shared" si="11"/>
        <v>0</v>
      </c>
      <c r="AL56" s="62">
        <f t="shared" si="12"/>
        <v>0</v>
      </c>
    </row>
    <row r="57" spans="1:38" x14ac:dyDescent="0.3">
      <c r="A57" s="504" t="s">
        <v>415</v>
      </c>
      <c r="B57" s="503" t="s">
        <v>416</v>
      </c>
      <c r="C57" s="62"/>
      <c r="D57" s="678"/>
      <c r="E57" s="678"/>
      <c r="F57" s="678"/>
      <c r="G57" s="678"/>
      <c r="H57" s="678"/>
      <c r="I57" s="678"/>
      <c r="J57" s="678"/>
      <c r="K57" s="678"/>
      <c r="L57" s="678"/>
      <c r="M57" s="678"/>
      <c r="N57" s="677"/>
      <c r="O57" s="677"/>
      <c r="P57" s="677"/>
      <c r="Q57" s="677"/>
      <c r="R57" s="677"/>
      <c r="S57" s="677"/>
      <c r="T57" s="677"/>
      <c r="U57" s="677"/>
      <c r="V57" s="677"/>
      <c r="W57" s="677"/>
      <c r="X57" s="678"/>
      <c r="Y57" s="678"/>
      <c r="Z57" s="678"/>
      <c r="AA57" s="678"/>
      <c r="AB57" s="678"/>
      <c r="AC57" s="678"/>
      <c r="AD57" s="678"/>
      <c r="AE57" s="678"/>
      <c r="AF57" s="678"/>
      <c r="AG57" s="678"/>
      <c r="AH57" s="678"/>
      <c r="AI57" s="62"/>
      <c r="AJ57" s="171"/>
      <c r="AK57" s="62">
        <f t="shared" si="11"/>
        <v>0</v>
      </c>
      <c r="AL57" s="62">
        <f t="shared" si="12"/>
        <v>0</v>
      </c>
    </row>
    <row r="58" spans="1:38" x14ac:dyDescent="0.3">
      <c r="A58" s="504" t="s">
        <v>417</v>
      </c>
      <c r="B58" s="504" t="s">
        <v>418</v>
      </c>
      <c r="C58" s="62"/>
      <c r="D58" s="678"/>
      <c r="E58" s="678"/>
      <c r="F58" s="678"/>
      <c r="G58" s="678"/>
      <c r="H58" s="678"/>
      <c r="I58" s="678"/>
      <c r="J58" s="678"/>
      <c r="K58" s="678"/>
      <c r="L58" s="678"/>
      <c r="M58" s="678"/>
      <c r="N58" s="677"/>
      <c r="O58" s="677"/>
      <c r="P58" s="677"/>
      <c r="Q58" s="677"/>
      <c r="R58" s="677"/>
      <c r="S58" s="677"/>
      <c r="T58" s="677"/>
      <c r="U58" s="677"/>
      <c r="V58" s="677"/>
      <c r="W58" s="677"/>
      <c r="X58" s="678"/>
      <c r="Y58" s="678"/>
      <c r="Z58" s="678"/>
      <c r="AA58" s="678"/>
      <c r="AB58" s="678"/>
      <c r="AC58" s="678"/>
      <c r="AD58" s="678"/>
      <c r="AE58" s="678"/>
      <c r="AF58" s="678"/>
      <c r="AG58" s="678"/>
      <c r="AH58" s="678"/>
      <c r="AI58" s="62"/>
      <c r="AJ58" s="171"/>
      <c r="AK58" s="62">
        <f t="shared" si="11"/>
        <v>0</v>
      </c>
      <c r="AL58" s="62">
        <f t="shared" si="12"/>
        <v>0</v>
      </c>
    </row>
    <row r="59" spans="1:38" x14ac:dyDescent="0.3">
      <c r="A59" s="504" t="s">
        <v>419</v>
      </c>
      <c r="B59" s="504" t="s">
        <v>420</v>
      </c>
      <c r="C59" s="62"/>
      <c r="D59" s="678"/>
      <c r="E59" s="678"/>
      <c r="F59" s="678"/>
      <c r="G59" s="678"/>
      <c r="H59" s="678"/>
      <c r="I59" s="678"/>
      <c r="J59" s="678"/>
      <c r="K59" s="678"/>
      <c r="L59" s="678"/>
      <c r="M59" s="678"/>
      <c r="N59" s="677"/>
      <c r="O59" s="677"/>
      <c r="P59" s="677"/>
      <c r="Q59" s="677"/>
      <c r="R59" s="677"/>
      <c r="S59" s="677"/>
      <c r="T59" s="677"/>
      <c r="U59" s="677"/>
      <c r="V59" s="677"/>
      <c r="W59" s="677"/>
      <c r="X59" s="678"/>
      <c r="Y59" s="678"/>
      <c r="Z59" s="678"/>
      <c r="AA59" s="678"/>
      <c r="AB59" s="678"/>
      <c r="AC59" s="678"/>
      <c r="AD59" s="678"/>
      <c r="AE59" s="678"/>
      <c r="AF59" s="678"/>
      <c r="AG59" s="678"/>
      <c r="AH59" s="678"/>
      <c r="AI59" s="62"/>
      <c r="AJ59" s="171"/>
      <c r="AK59" s="62">
        <f t="shared" si="11"/>
        <v>0</v>
      </c>
      <c r="AL59" s="62">
        <f t="shared" si="12"/>
        <v>0</v>
      </c>
    </row>
    <row r="60" spans="1:38" x14ac:dyDescent="0.3">
      <c r="A60" s="504"/>
      <c r="B60" s="504"/>
      <c r="C60" s="62"/>
      <c r="D60" s="677"/>
      <c r="E60" s="677"/>
      <c r="F60" s="677"/>
      <c r="G60" s="677"/>
      <c r="H60" s="677"/>
      <c r="I60" s="677"/>
      <c r="J60" s="677"/>
      <c r="K60" s="677"/>
      <c r="L60" s="677"/>
      <c r="M60" s="677"/>
      <c r="N60" s="677"/>
      <c r="O60" s="677"/>
      <c r="P60" s="677"/>
      <c r="Q60" s="677"/>
      <c r="R60" s="677"/>
      <c r="S60" s="677"/>
      <c r="T60" s="677"/>
      <c r="U60" s="677"/>
      <c r="V60" s="677"/>
      <c r="W60" s="677"/>
      <c r="X60" s="677"/>
      <c r="Y60" s="677"/>
      <c r="Z60" s="677"/>
      <c r="AA60" s="677"/>
      <c r="AB60" s="677"/>
      <c r="AC60" s="677"/>
      <c r="AD60" s="677"/>
      <c r="AE60" s="677"/>
      <c r="AF60" s="677"/>
      <c r="AG60" s="677"/>
      <c r="AH60" s="677"/>
      <c r="AI60" s="62"/>
      <c r="AJ60" s="62"/>
      <c r="AK60" s="62"/>
      <c r="AL60" s="62"/>
    </row>
    <row r="61" spans="1:38" x14ac:dyDescent="0.3">
      <c r="A61" s="62"/>
      <c r="B61" s="62" t="s">
        <v>421</v>
      </c>
      <c r="C61" s="62"/>
      <c r="D61" s="678"/>
      <c r="E61" s="678"/>
      <c r="F61" s="678"/>
      <c r="G61" s="678"/>
      <c r="H61" s="678"/>
      <c r="I61" s="678"/>
      <c r="J61" s="678"/>
      <c r="K61" s="678"/>
      <c r="L61" s="678"/>
      <c r="M61" s="678"/>
      <c r="N61" s="678"/>
      <c r="O61" s="678"/>
      <c r="P61" s="678"/>
      <c r="Q61" s="678"/>
      <c r="R61" s="678"/>
      <c r="S61" s="678"/>
      <c r="T61" s="678"/>
      <c r="U61" s="678"/>
      <c r="V61" s="678"/>
      <c r="W61" s="678"/>
      <c r="X61" s="678"/>
      <c r="Y61" s="678"/>
      <c r="Z61" s="678"/>
      <c r="AA61" s="678"/>
      <c r="AB61" s="678"/>
      <c r="AC61" s="678"/>
      <c r="AD61" s="678"/>
      <c r="AE61" s="678"/>
      <c r="AF61" s="678"/>
      <c r="AG61" s="678"/>
      <c r="AH61" s="678"/>
      <c r="AI61" s="171"/>
      <c r="AJ61" s="171"/>
      <c r="AK61" s="62">
        <f t="shared" ref="AK61" si="13">SUM(F61:J61,L61,N61:W61,Y61:Z61,AA61,AC61:AE61,AG61:AH61)</f>
        <v>0</v>
      </c>
      <c r="AL61" s="62">
        <f>AJ61-AK61</f>
        <v>0</v>
      </c>
    </row>
    <row r="62" spans="1:38" x14ac:dyDescent="0.3">
      <c r="A62" s="62"/>
      <c r="B62" s="62"/>
      <c r="C62" s="62"/>
      <c r="D62" s="62"/>
      <c r="E62" s="62"/>
      <c r="F62" s="677"/>
      <c r="G62" s="677"/>
      <c r="H62" s="677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</row>
    <row r="63" spans="1:38" x14ac:dyDescent="0.3">
      <c r="A63" s="62"/>
      <c r="B63" s="498" t="s">
        <v>422</v>
      </c>
      <c r="C63" s="62"/>
      <c r="D63" s="680">
        <v>3255274580.5500002</v>
      </c>
      <c r="E63" s="680">
        <v>3255274580.5500002</v>
      </c>
      <c r="F63" s="680"/>
      <c r="G63" s="680"/>
      <c r="H63" s="680"/>
      <c r="I63" s="680">
        <v>0</v>
      </c>
      <c r="J63" s="680">
        <v>0</v>
      </c>
      <c r="K63" s="680">
        <v>0</v>
      </c>
      <c r="L63" s="680">
        <v>401920</v>
      </c>
      <c r="M63" s="680">
        <v>0</v>
      </c>
      <c r="N63" s="680">
        <v>0</v>
      </c>
      <c r="O63" s="680">
        <v>0</v>
      </c>
      <c r="P63" s="680">
        <v>0</v>
      </c>
      <c r="Q63" s="680">
        <v>0</v>
      </c>
      <c r="R63" s="680">
        <v>0</v>
      </c>
      <c r="S63" s="680">
        <v>0</v>
      </c>
      <c r="T63" s="680">
        <v>0</v>
      </c>
      <c r="U63" s="680">
        <v>0</v>
      </c>
      <c r="V63" s="680">
        <v>0</v>
      </c>
      <c r="W63" s="680">
        <v>0</v>
      </c>
      <c r="X63" s="680">
        <v>0</v>
      </c>
      <c r="Y63" s="680">
        <v>0</v>
      </c>
      <c r="Z63" s="680">
        <v>0</v>
      </c>
      <c r="AA63" s="680">
        <v>0</v>
      </c>
      <c r="AB63" s="680">
        <v>0</v>
      </c>
      <c r="AC63" s="680">
        <v>0</v>
      </c>
      <c r="AD63" s="680">
        <v>0</v>
      </c>
      <c r="AE63" s="680">
        <v>0</v>
      </c>
      <c r="AF63" s="680">
        <v>0</v>
      </c>
      <c r="AG63" s="680">
        <v>0</v>
      </c>
      <c r="AH63" s="680">
        <v>0</v>
      </c>
      <c r="AI63" s="62"/>
      <c r="AJ63" s="171">
        <f>'1. RB-i'!I335</f>
        <v>3255676500.5500002</v>
      </c>
      <c r="AK63" s="62">
        <f>SUM(E63,I63:J63,L63,N63:W63,Y63:Z63,AA63,AC63:AE63,AG63:AH63)</f>
        <v>3255676500.5500002</v>
      </c>
      <c r="AL63" s="62">
        <f>AJ63-AK63</f>
        <v>0</v>
      </c>
    </row>
    <row r="64" spans="1:38" x14ac:dyDescent="0.3">
      <c r="A64" s="62"/>
      <c r="B64" s="62"/>
      <c r="C64" s="62"/>
      <c r="D64" s="62"/>
      <c r="E64" s="62"/>
      <c r="F64" s="677"/>
      <c r="G64" s="677"/>
      <c r="H64" s="677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</row>
    <row r="65" spans="1:38" x14ac:dyDescent="0.3">
      <c r="A65" s="499" t="s">
        <v>423</v>
      </c>
      <c r="B65" s="62"/>
      <c r="C65" s="62"/>
      <c r="D65" s="62"/>
      <c r="E65" s="62"/>
      <c r="F65" s="677"/>
      <c r="G65" s="677"/>
      <c r="H65" s="677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</row>
    <row r="66" spans="1:38" x14ac:dyDescent="0.3">
      <c r="A66" s="503" t="s">
        <v>424</v>
      </c>
      <c r="B66" s="504" t="s">
        <v>425</v>
      </c>
      <c r="C66" s="62"/>
      <c r="D66" s="171">
        <f>'1. RB-i'!J338</f>
        <v>262521.31399974052</v>
      </c>
      <c r="E66" s="171">
        <f>$D66*'2c. RB-sfaf'!G66/'2c. RB-sfaf'!$F66</f>
        <v>262521.31399974052</v>
      </c>
      <c r="F66" s="678"/>
      <c r="G66" s="678"/>
      <c r="H66" s="678"/>
      <c r="I66" s="171">
        <f>$D66*'2c. RB-sfaf'!K66/'2c. RB-sfaf'!$F66</f>
        <v>0</v>
      </c>
      <c r="J66" s="171"/>
      <c r="K66" s="171"/>
      <c r="L66" s="171">
        <f>'1. RB-i'!K338</f>
        <v>93251091.795797452</v>
      </c>
      <c r="M66" s="171">
        <f>'1. RB-i'!L338</f>
        <v>2061156.3502027788</v>
      </c>
      <c r="N66" s="171">
        <f>$M66*'2c. RB-sfaf'!P66/'2c. RB-sfaf'!$O66</f>
        <v>2061156.3502027788</v>
      </c>
      <c r="O66" s="171">
        <f>$M66*'2c. RB-sfaf'!Q66/'2c. RB-sfaf'!$O66</f>
        <v>0</v>
      </c>
      <c r="P66" s="171">
        <f>$M66*'2c. RB-sfaf'!R66/'2c. RB-sfaf'!$O66</f>
        <v>0</v>
      </c>
      <c r="Q66" s="171">
        <f>$M66*'2c. RB-sfaf'!S66/'2c. RB-sfaf'!$O66</f>
        <v>0</v>
      </c>
      <c r="R66" s="171">
        <f>$M66*'2c. RB-sfaf'!T66/'2c. RB-sfaf'!$O66</f>
        <v>0</v>
      </c>
      <c r="S66" s="171">
        <f>$M66*'2c. RB-sfaf'!U66/'2c. RB-sfaf'!$O66</f>
        <v>0</v>
      </c>
      <c r="T66" s="171">
        <f>$M66*'2c. RB-sfaf'!V66/'2c. RB-sfaf'!$O66</f>
        <v>0</v>
      </c>
      <c r="U66" s="171">
        <f>$M66*'2c. RB-sfaf'!W66/'2c. RB-sfaf'!$O66</f>
        <v>0</v>
      </c>
      <c r="V66" s="171">
        <f>$M66*'2c. RB-sfaf'!X66/'2c. RB-sfaf'!$O66</f>
        <v>0</v>
      </c>
      <c r="W66" s="171">
        <f>$M66*'2c. RB-sfaf'!Y66/'2c. RB-sfaf'!$O66</f>
        <v>0</v>
      </c>
      <c r="X66" s="171">
        <f>'1. RB-i'!M338</f>
        <v>0</v>
      </c>
      <c r="Y66" s="171"/>
      <c r="Z66" s="171"/>
      <c r="AA66" s="171">
        <f>'1. RB-i'!N338</f>
        <v>0</v>
      </c>
      <c r="AB66" s="171"/>
      <c r="AC66" s="171"/>
      <c r="AD66" s="171"/>
      <c r="AE66" s="171"/>
      <c r="AF66" s="171"/>
      <c r="AG66" s="171"/>
      <c r="AH66" s="171"/>
      <c r="AI66" s="62"/>
      <c r="AJ66" s="171">
        <f>'1. RB-i'!I338</f>
        <v>95574769.460000008</v>
      </c>
      <c r="AK66" s="62">
        <f t="shared" ref="AK66:AK74" si="14">SUM(E66,I66:J66,L66,N66:W66,Y66:Z66,AA66,AC66:AE66,AG66:AH66)</f>
        <v>95574769.459999979</v>
      </c>
      <c r="AL66" s="62">
        <f t="shared" ref="AL66:AL74" si="15">AJ66-AK66</f>
        <v>0</v>
      </c>
    </row>
    <row r="67" spans="1:38" x14ac:dyDescent="0.3">
      <c r="A67" s="503" t="s">
        <v>426</v>
      </c>
      <c r="B67" s="504" t="s">
        <v>374</v>
      </c>
      <c r="C67" s="62"/>
      <c r="D67" s="171">
        <f>'1. RB-i'!J339</f>
        <v>0</v>
      </c>
      <c r="E67" s="171"/>
      <c r="F67" s="678"/>
      <c r="G67" s="678"/>
      <c r="H67" s="678"/>
      <c r="I67" s="171"/>
      <c r="J67" s="171"/>
      <c r="K67" s="171"/>
      <c r="L67" s="171">
        <f>'1. RB-i'!K339</f>
        <v>0</v>
      </c>
      <c r="M67" s="171">
        <f>'1. RB-i'!L339</f>
        <v>0</v>
      </c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171">
        <f>'1. RB-i'!M339</f>
        <v>0</v>
      </c>
      <c r="Y67" s="171"/>
      <c r="Z67" s="171"/>
      <c r="AA67" s="171">
        <f>'1. RB-i'!N339</f>
        <v>0</v>
      </c>
      <c r="AB67" s="171"/>
      <c r="AC67" s="171"/>
      <c r="AD67" s="171"/>
      <c r="AE67" s="171"/>
      <c r="AF67" s="171"/>
      <c r="AG67" s="171"/>
      <c r="AH67" s="171"/>
      <c r="AI67" s="62"/>
      <c r="AJ67" s="171">
        <f>'1. RB-i'!I339</f>
        <v>0</v>
      </c>
      <c r="AK67" s="62">
        <f t="shared" si="14"/>
        <v>0</v>
      </c>
      <c r="AL67" s="62">
        <f t="shared" si="15"/>
        <v>0</v>
      </c>
    </row>
    <row r="68" spans="1:38" x14ac:dyDescent="0.3">
      <c r="A68" s="503" t="s">
        <v>427</v>
      </c>
      <c r="B68" s="504" t="s">
        <v>428</v>
      </c>
      <c r="C68" s="62"/>
      <c r="D68" s="171">
        <f>'1. RB-i'!J340</f>
        <v>2448431.6217596279</v>
      </c>
      <c r="E68" s="171">
        <f>$D68*'2c. RB-sfaf'!G68/'2c. RB-sfaf'!$F68</f>
        <v>2448431.6217596279</v>
      </c>
      <c r="F68" s="678"/>
      <c r="G68" s="678"/>
      <c r="H68" s="678"/>
      <c r="I68" s="171">
        <f>$D68*'2c. RB-sfaf'!K68/'2c. RB-sfaf'!$F68</f>
        <v>0</v>
      </c>
      <c r="J68" s="171"/>
      <c r="K68" s="171"/>
      <c r="L68" s="171">
        <f>'1. RB-i'!K340</f>
        <v>290310434.14615697</v>
      </c>
      <c r="M68" s="171">
        <f>'1. RB-i'!L340</f>
        <v>7233398.1520831864</v>
      </c>
      <c r="N68" s="171">
        <f>$M68*'2c. RB-sfaf'!P68/'2c. RB-sfaf'!$O68</f>
        <v>7233398.1520831864</v>
      </c>
      <c r="O68" s="171">
        <f>$M68*'2c. RB-sfaf'!Q68/'2c. RB-sfaf'!$O68</f>
        <v>0</v>
      </c>
      <c r="P68" s="171">
        <f>$M68*'2c. RB-sfaf'!R68/'2c. RB-sfaf'!$O68</f>
        <v>0</v>
      </c>
      <c r="Q68" s="171">
        <f>$M68*'2c. RB-sfaf'!S68/'2c. RB-sfaf'!$O68</f>
        <v>0</v>
      </c>
      <c r="R68" s="171">
        <f>$M68*'2c. RB-sfaf'!T68/'2c. RB-sfaf'!$O68</f>
        <v>0</v>
      </c>
      <c r="S68" s="171">
        <f>$M68*'2c. RB-sfaf'!U68/'2c. RB-sfaf'!$O68</f>
        <v>0</v>
      </c>
      <c r="T68" s="171">
        <f>$M68*'2c. RB-sfaf'!V68/'2c. RB-sfaf'!$O68</f>
        <v>0</v>
      </c>
      <c r="U68" s="171">
        <f>$M68*'2c. RB-sfaf'!W68/'2c. RB-sfaf'!$O68</f>
        <v>0</v>
      </c>
      <c r="V68" s="171">
        <f>$M68*'2c. RB-sfaf'!X68/'2c. RB-sfaf'!$O68</f>
        <v>0</v>
      </c>
      <c r="W68" s="171">
        <f>$M68*'2c. RB-sfaf'!Y68/'2c. RB-sfaf'!$O68</f>
        <v>0</v>
      </c>
      <c r="X68" s="171">
        <f>'1. RB-i'!M340</f>
        <v>0</v>
      </c>
      <c r="Y68" s="171"/>
      <c r="Z68" s="171"/>
      <c r="AA68" s="171">
        <f>'1. RB-i'!N340</f>
        <v>0</v>
      </c>
      <c r="AB68" s="171"/>
      <c r="AC68" s="171"/>
      <c r="AD68" s="171"/>
      <c r="AE68" s="171"/>
      <c r="AF68" s="171"/>
      <c r="AG68" s="171"/>
      <c r="AH68" s="171"/>
      <c r="AI68" s="62"/>
      <c r="AJ68" s="171">
        <f>'1. RB-i'!I340</f>
        <v>299992263.92000008</v>
      </c>
      <c r="AK68" s="62">
        <f t="shared" si="14"/>
        <v>299992263.91999978</v>
      </c>
      <c r="AL68" s="62">
        <f t="shared" si="15"/>
        <v>0</v>
      </c>
    </row>
    <row r="69" spans="1:38" x14ac:dyDescent="0.3">
      <c r="A69" s="503" t="s">
        <v>429</v>
      </c>
      <c r="B69" s="504" t="s">
        <v>430</v>
      </c>
      <c r="C69" s="62"/>
      <c r="D69" s="171">
        <f>'1. RB-i'!J341</f>
        <v>0</v>
      </c>
      <c r="E69" s="171"/>
      <c r="F69" s="678"/>
      <c r="G69" s="678"/>
      <c r="H69" s="678"/>
      <c r="I69" s="171"/>
      <c r="J69" s="171"/>
      <c r="K69" s="171"/>
      <c r="L69" s="171">
        <f>'1. RB-i'!K341</f>
        <v>0</v>
      </c>
      <c r="M69" s="171">
        <f>'1. RB-i'!L341</f>
        <v>0</v>
      </c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171">
        <f>'1. RB-i'!M341</f>
        <v>0</v>
      </c>
      <c r="Y69" s="171"/>
      <c r="Z69" s="171"/>
      <c r="AA69" s="171">
        <f>'1. RB-i'!N341</f>
        <v>0</v>
      </c>
      <c r="AB69" s="171"/>
      <c r="AC69" s="171"/>
      <c r="AD69" s="171"/>
      <c r="AE69" s="171"/>
      <c r="AF69" s="171"/>
      <c r="AG69" s="171"/>
      <c r="AH69" s="171"/>
      <c r="AI69" s="62"/>
      <c r="AJ69" s="171">
        <f>'1. RB-i'!I341</f>
        <v>0</v>
      </c>
      <c r="AK69" s="62">
        <f t="shared" si="14"/>
        <v>0</v>
      </c>
      <c r="AL69" s="62">
        <f t="shared" si="15"/>
        <v>0</v>
      </c>
    </row>
    <row r="70" spans="1:38" x14ac:dyDescent="0.3">
      <c r="A70" s="503" t="s">
        <v>431</v>
      </c>
      <c r="B70" s="504" t="s">
        <v>432</v>
      </c>
      <c r="C70" s="62"/>
      <c r="D70" s="171">
        <f>'1. RB-i'!J342</f>
        <v>0</v>
      </c>
      <c r="E70" s="171"/>
      <c r="F70" s="678"/>
      <c r="G70" s="678"/>
      <c r="H70" s="678"/>
      <c r="I70" s="171"/>
      <c r="J70" s="171"/>
      <c r="K70" s="171"/>
      <c r="L70" s="171">
        <f>'1. RB-i'!K342</f>
        <v>269358922.00999993</v>
      </c>
      <c r="M70" s="171">
        <f>'1. RB-i'!L342</f>
        <v>0</v>
      </c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171">
        <f>'1. RB-i'!M342</f>
        <v>0</v>
      </c>
      <c r="Y70" s="171"/>
      <c r="Z70" s="171"/>
      <c r="AA70" s="171">
        <f>'1. RB-i'!N342</f>
        <v>0</v>
      </c>
      <c r="AB70" s="171"/>
      <c r="AC70" s="171"/>
      <c r="AD70" s="171"/>
      <c r="AE70" s="171"/>
      <c r="AF70" s="171"/>
      <c r="AG70" s="171"/>
      <c r="AH70" s="171"/>
      <c r="AI70" s="62"/>
      <c r="AJ70" s="171">
        <f>'1. RB-i'!I342</f>
        <v>269358922.00999999</v>
      </c>
      <c r="AK70" s="62">
        <f t="shared" si="14"/>
        <v>269358922.00999993</v>
      </c>
      <c r="AL70" s="62">
        <f t="shared" si="15"/>
        <v>0</v>
      </c>
    </row>
    <row r="71" spans="1:38" x14ac:dyDescent="0.3">
      <c r="A71" s="503" t="s">
        <v>433</v>
      </c>
      <c r="B71" s="504" t="s">
        <v>434</v>
      </c>
      <c r="C71" s="62"/>
      <c r="D71" s="171">
        <f>'1. RB-i'!J343</f>
        <v>0</v>
      </c>
      <c r="E71" s="171"/>
      <c r="F71" s="678"/>
      <c r="G71" s="678"/>
      <c r="H71" s="678"/>
      <c r="I71" s="171"/>
      <c r="J71" s="171"/>
      <c r="K71" s="171"/>
      <c r="L71" s="171">
        <f>'1. RB-i'!K343</f>
        <v>46825397.390000008</v>
      </c>
      <c r="M71" s="171">
        <f>'1. RB-i'!L343</f>
        <v>0</v>
      </c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171">
        <f>'1. RB-i'!M343</f>
        <v>0</v>
      </c>
      <c r="Y71" s="171"/>
      <c r="Z71" s="171"/>
      <c r="AA71" s="171">
        <f>'1. RB-i'!N343</f>
        <v>0</v>
      </c>
      <c r="AB71" s="171"/>
      <c r="AC71" s="171"/>
      <c r="AD71" s="171"/>
      <c r="AE71" s="171"/>
      <c r="AF71" s="171"/>
      <c r="AG71" s="171"/>
      <c r="AH71" s="171"/>
      <c r="AI71" s="62"/>
      <c r="AJ71" s="171">
        <f>'1. RB-i'!I343</f>
        <v>46825397.390000008</v>
      </c>
      <c r="AK71" s="62">
        <f t="shared" si="14"/>
        <v>46825397.390000008</v>
      </c>
      <c r="AL71" s="62">
        <f t="shared" si="15"/>
        <v>0</v>
      </c>
    </row>
    <row r="72" spans="1:38" x14ac:dyDescent="0.3">
      <c r="A72" s="503" t="s">
        <v>435</v>
      </c>
      <c r="B72" s="504" t="s">
        <v>1322</v>
      </c>
      <c r="C72" s="62"/>
      <c r="D72" s="171">
        <f>'1. RB-i'!J344</f>
        <v>0</v>
      </c>
      <c r="E72" s="171"/>
      <c r="F72" s="678"/>
      <c r="G72" s="678"/>
      <c r="H72" s="678"/>
      <c r="I72" s="171"/>
      <c r="J72" s="171"/>
      <c r="K72" s="171"/>
      <c r="L72" s="171">
        <f>'1. RB-i'!K344</f>
        <v>0</v>
      </c>
      <c r="M72" s="171">
        <f>'1. RB-i'!L344</f>
        <v>0</v>
      </c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171">
        <f>'1. RB-i'!M344</f>
        <v>0</v>
      </c>
      <c r="Y72" s="171"/>
      <c r="Z72" s="171"/>
      <c r="AA72" s="171">
        <f>'1. RB-i'!N344</f>
        <v>0</v>
      </c>
      <c r="AB72" s="171"/>
      <c r="AC72" s="171"/>
      <c r="AD72" s="171"/>
      <c r="AE72" s="171"/>
      <c r="AF72" s="171"/>
      <c r="AG72" s="171"/>
      <c r="AH72" s="171"/>
      <c r="AI72" s="62"/>
      <c r="AJ72" s="171">
        <f>'1. RB-i'!I344</f>
        <v>0</v>
      </c>
      <c r="AK72" s="62">
        <f t="shared" si="14"/>
        <v>0</v>
      </c>
      <c r="AL72" s="62">
        <f t="shared" si="15"/>
        <v>0</v>
      </c>
    </row>
    <row r="73" spans="1:38" x14ac:dyDescent="0.3">
      <c r="A73" s="503" t="s">
        <v>894</v>
      </c>
      <c r="B73" s="503" t="s">
        <v>437</v>
      </c>
      <c r="C73" s="62"/>
      <c r="D73" s="171">
        <f>'1. RB-i'!J345</f>
        <v>0</v>
      </c>
      <c r="E73" s="171"/>
      <c r="F73" s="678"/>
      <c r="G73" s="678"/>
      <c r="H73" s="678"/>
      <c r="I73" s="171"/>
      <c r="J73" s="171"/>
      <c r="K73" s="171"/>
      <c r="L73" s="171">
        <f>'1. RB-i'!K345</f>
        <v>1047236.0899999996</v>
      </c>
      <c r="M73" s="171">
        <f>'1. RB-i'!L345</f>
        <v>0</v>
      </c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171">
        <f>'1. RB-i'!M345</f>
        <v>0</v>
      </c>
      <c r="Y73" s="171"/>
      <c r="Z73" s="171"/>
      <c r="AA73" s="171">
        <f>'1. RB-i'!N345</f>
        <v>0</v>
      </c>
      <c r="AB73" s="171"/>
      <c r="AC73" s="171"/>
      <c r="AD73" s="171"/>
      <c r="AE73" s="171"/>
      <c r="AF73" s="171"/>
      <c r="AG73" s="171"/>
      <c r="AH73" s="171"/>
      <c r="AI73" s="62"/>
      <c r="AJ73" s="171">
        <f>'1. RB-i'!I345</f>
        <v>1047236.0899999996</v>
      </c>
      <c r="AK73" s="62">
        <f t="shared" si="14"/>
        <v>1047236.0899999996</v>
      </c>
      <c r="AL73" s="62">
        <f t="shared" si="15"/>
        <v>0</v>
      </c>
    </row>
    <row r="74" spans="1:38" x14ac:dyDescent="0.3">
      <c r="A74" s="503" t="s">
        <v>438</v>
      </c>
      <c r="B74" s="504" t="s">
        <v>439</v>
      </c>
      <c r="C74" s="62"/>
      <c r="D74" s="171">
        <f>'1. RB-i'!J346</f>
        <v>0</v>
      </c>
      <c r="E74" s="171"/>
      <c r="F74" s="678"/>
      <c r="G74" s="678"/>
      <c r="H74" s="678"/>
      <c r="I74" s="171"/>
      <c r="J74" s="171"/>
      <c r="K74" s="171"/>
      <c r="L74" s="171">
        <f>'1. RB-i'!K346</f>
        <v>0</v>
      </c>
      <c r="M74" s="171">
        <f>'1. RB-i'!L346</f>
        <v>0</v>
      </c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171">
        <f>'1. RB-i'!M346</f>
        <v>0</v>
      </c>
      <c r="Y74" s="171"/>
      <c r="Z74" s="171"/>
      <c r="AA74" s="171">
        <f>'1. RB-i'!N346</f>
        <v>0</v>
      </c>
      <c r="AB74" s="171"/>
      <c r="AC74" s="171"/>
      <c r="AD74" s="171"/>
      <c r="AE74" s="171"/>
      <c r="AF74" s="171"/>
      <c r="AG74" s="171"/>
      <c r="AH74" s="171"/>
      <c r="AI74" s="62"/>
      <c r="AJ74" s="171">
        <f>'1. RB-i'!I346</f>
        <v>0</v>
      </c>
      <c r="AK74" s="62">
        <f t="shared" si="14"/>
        <v>0</v>
      </c>
      <c r="AL74" s="62">
        <f t="shared" si="15"/>
        <v>0</v>
      </c>
    </row>
    <row r="75" spans="1:38" x14ac:dyDescent="0.3">
      <c r="A75" s="498"/>
      <c r="B75" s="62"/>
      <c r="C75" s="62"/>
      <c r="D75" s="62"/>
      <c r="E75" s="62"/>
      <c r="F75" s="677"/>
      <c r="G75" s="677"/>
      <c r="H75" s="677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</row>
    <row r="76" spans="1:38" x14ac:dyDescent="0.3">
      <c r="A76" s="62"/>
      <c r="B76" s="498" t="s">
        <v>440</v>
      </c>
      <c r="C76" s="498"/>
      <c r="D76" s="171">
        <f t="shared" ref="D76:AA76" si="16">SUM(D66:D74)</f>
        <v>2710952.9357593684</v>
      </c>
      <c r="E76" s="171">
        <f t="shared" si="16"/>
        <v>2710952.9357593684</v>
      </c>
      <c r="F76" s="678"/>
      <c r="G76" s="678"/>
      <c r="H76" s="678"/>
      <c r="I76" s="171">
        <f t="shared" si="16"/>
        <v>0</v>
      </c>
      <c r="J76" s="171">
        <f t="shared" si="16"/>
        <v>0</v>
      </c>
      <c r="K76" s="171"/>
      <c r="L76" s="171">
        <f t="shared" si="16"/>
        <v>700793081.43195438</v>
      </c>
      <c r="M76" s="171">
        <f t="shared" si="16"/>
        <v>9294554.5022859648</v>
      </c>
      <c r="N76" s="171">
        <f t="shared" si="16"/>
        <v>9294554.5022859648</v>
      </c>
      <c r="O76" s="171">
        <f t="shared" si="16"/>
        <v>0</v>
      </c>
      <c r="P76" s="171">
        <f t="shared" si="16"/>
        <v>0</v>
      </c>
      <c r="Q76" s="171">
        <f t="shared" si="16"/>
        <v>0</v>
      </c>
      <c r="R76" s="171">
        <f t="shared" si="16"/>
        <v>0</v>
      </c>
      <c r="S76" s="171">
        <f t="shared" si="16"/>
        <v>0</v>
      </c>
      <c r="T76" s="171">
        <f t="shared" si="16"/>
        <v>0</v>
      </c>
      <c r="U76" s="171">
        <f t="shared" si="16"/>
        <v>0</v>
      </c>
      <c r="V76" s="171">
        <f t="shared" si="16"/>
        <v>0</v>
      </c>
      <c r="W76" s="171">
        <f t="shared" si="16"/>
        <v>0</v>
      </c>
      <c r="X76" s="171">
        <f t="shared" si="16"/>
        <v>0</v>
      </c>
      <c r="Y76" s="171"/>
      <c r="Z76" s="171"/>
      <c r="AA76" s="171">
        <f t="shared" si="16"/>
        <v>0</v>
      </c>
      <c r="AB76" s="171"/>
      <c r="AC76" s="171"/>
      <c r="AD76" s="171"/>
      <c r="AE76" s="171"/>
      <c r="AF76" s="171"/>
      <c r="AG76" s="171"/>
      <c r="AH76" s="171"/>
      <c r="AI76" s="62"/>
      <c r="AJ76" s="171">
        <f>SUM(AJ66:AJ74)</f>
        <v>712798588.87000012</v>
      </c>
      <c r="AK76" s="62">
        <f>SUM(E76,I76:J76,L76,N76:W76,Y76:Z76,AA76,AC76:AE76,AG76:AH76)</f>
        <v>712798588.86999977</v>
      </c>
      <c r="AL76" s="62">
        <f>AJ76-AK76</f>
        <v>0</v>
      </c>
    </row>
    <row r="77" spans="1:38" x14ac:dyDescent="0.3">
      <c r="A77" s="62"/>
      <c r="B77" s="62"/>
      <c r="C77" s="62"/>
      <c r="D77" s="62"/>
      <c r="E77" s="62"/>
      <c r="F77" s="677"/>
      <c r="G77" s="677"/>
      <c r="H77" s="677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</row>
    <row r="78" spans="1:38" x14ac:dyDescent="0.3">
      <c r="A78" s="499" t="s">
        <v>441</v>
      </c>
      <c r="B78" s="62"/>
      <c r="C78" s="62"/>
      <c r="D78" s="62"/>
      <c r="E78" s="62"/>
      <c r="F78" s="677"/>
      <c r="G78" s="677"/>
      <c r="H78" s="677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</row>
    <row r="79" spans="1:38" x14ac:dyDescent="0.3">
      <c r="A79" s="503" t="s">
        <v>442</v>
      </c>
      <c r="B79" s="504" t="s">
        <v>425</v>
      </c>
      <c r="C79" s="62"/>
      <c r="D79" s="171">
        <f>'1. RB-i'!J351</f>
        <v>0</v>
      </c>
      <c r="E79" s="171"/>
      <c r="F79" s="678"/>
      <c r="G79" s="678"/>
      <c r="H79" s="678"/>
      <c r="I79" s="171"/>
      <c r="J79" s="171"/>
      <c r="K79" s="171"/>
      <c r="L79" s="171">
        <f>'1. RB-i'!K351</f>
        <v>7893628.7998948516</v>
      </c>
      <c r="M79" s="171">
        <f>'1. RB-i'!L351</f>
        <v>13035480.750105148</v>
      </c>
      <c r="N79" s="171">
        <f>$M79*'2c. RB-sfaf'!P79/'2c. RB-sfaf'!$O79</f>
        <v>13035480.750105148</v>
      </c>
      <c r="O79" s="171">
        <f>$M79*'2c. RB-sfaf'!Q79/'2c. RB-sfaf'!$O79</f>
        <v>0</v>
      </c>
      <c r="P79" s="171">
        <f>$M79*'2c. RB-sfaf'!R79/'2c. RB-sfaf'!$O79</f>
        <v>0</v>
      </c>
      <c r="Q79" s="171">
        <f>$M79*'2c. RB-sfaf'!S79/'2c. RB-sfaf'!$O79</f>
        <v>0</v>
      </c>
      <c r="R79" s="171">
        <f>$M79*'2c. RB-sfaf'!T79/'2c. RB-sfaf'!$O79</f>
        <v>0</v>
      </c>
      <c r="S79" s="171">
        <f>$M79*'2c. RB-sfaf'!U79/'2c. RB-sfaf'!$O79</f>
        <v>0</v>
      </c>
      <c r="T79" s="171">
        <f>$M79*'2c. RB-sfaf'!V79/'2c. RB-sfaf'!$O79</f>
        <v>0</v>
      </c>
      <c r="U79" s="171">
        <f>$M79*'2c. RB-sfaf'!W79/'2c. RB-sfaf'!$O79</f>
        <v>0</v>
      </c>
      <c r="V79" s="171">
        <f>$M79*'2c. RB-sfaf'!X79/'2c. RB-sfaf'!$O79</f>
        <v>0</v>
      </c>
      <c r="W79" s="171">
        <f>$M79*'2c. RB-sfaf'!Y79/'2c. RB-sfaf'!$O79</f>
        <v>0</v>
      </c>
      <c r="X79" s="171">
        <f>'1. RB-i'!M351</f>
        <v>0</v>
      </c>
      <c r="Y79" s="171"/>
      <c r="Z79" s="171"/>
      <c r="AA79" s="171">
        <f>'1. RB-i'!N351</f>
        <v>0</v>
      </c>
      <c r="AB79" s="171">
        <f>'1. RB-i'!O351</f>
        <v>0</v>
      </c>
      <c r="AC79" s="171"/>
      <c r="AD79" s="171"/>
      <c r="AE79" s="171"/>
      <c r="AF79" s="171">
        <f>'1. RB-i'!P351</f>
        <v>0</v>
      </c>
      <c r="AG79" s="171"/>
      <c r="AH79" s="171">
        <f>'1. RB-i'!Q351</f>
        <v>0</v>
      </c>
      <c r="AI79" s="62"/>
      <c r="AJ79" s="171">
        <f>'1. RB-i'!I351</f>
        <v>20929109.550000004</v>
      </c>
      <c r="AK79" s="62">
        <f t="shared" ref="AK79:AK92" si="17">SUM(F79:J79,L79,N79:W79,Y79:Z79,AA79,AC79:AE79,AG79:AH79)</f>
        <v>20929109.550000001</v>
      </c>
      <c r="AL79" s="62">
        <f t="shared" ref="AL79:AL92" si="18">AJ79-AK79</f>
        <v>0</v>
      </c>
    </row>
    <row r="80" spans="1:38" x14ac:dyDescent="0.3">
      <c r="A80" s="503" t="s">
        <v>443</v>
      </c>
      <c r="B80" s="503" t="s">
        <v>374</v>
      </c>
      <c r="C80" s="498"/>
      <c r="D80" s="171">
        <f>'1. RB-i'!J352</f>
        <v>0</v>
      </c>
      <c r="E80" s="171"/>
      <c r="F80" s="678"/>
      <c r="G80" s="678"/>
      <c r="H80" s="678"/>
      <c r="I80" s="171"/>
      <c r="J80" s="171"/>
      <c r="K80" s="171"/>
      <c r="L80" s="171">
        <f>'1. RB-i'!K352</f>
        <v>0</v>
      </c>
      <c r="M80" s="171">
        <f>'1. RB-i'!L352</f>
        <v>2899831.99</v>
      </c>
      <c r="N80" s="171">
        <f>$M80*'2c. RB-sfaf'!P80/'2c. RB-sfaf'!$O80</f>
        <v>2899831.99</v>
      </c>
      <c r="O80" s="171">
        <f>$M80*'2c. RB-sfaf'!Q80/'2c. RB-sfaf'!$O80</f>
        <v>0</v>
      </c>
      <c r="P80" s="171">
        <f>$M80*'2c. RB-sfaf'!R80/'2c. RB-sfaf'!$O80</f>
        <v>0</v>
      </c>
      <c r="Q80" s="171">
        <f>$M80*'2c. RB-sfaf'!S80/'2c. RB-sfaf'!$O80</f>
        <v>0</v>
      </c>
      <c r="R80" s="171">
        <f>$M80*'2c. RB-sfaf'!T80/'2c. RB-sfaf'!$O80</f>
        <v>0</v>
      </c>
      <c r="S80" s="171">
        <f>$M80*'2c. RB-sfaf'!U80/'2c. RB-sfaf'!$O80</f>
        <v>0</v>
      </c>
      <c r="T80" s="171">
        <f>$M80*'2c. RB-sfaf'!V80/'2c. RB-sfaf'!$O80</f>
        <v>0</v>
      </c>
      <c r="U80" s="171">
        <f>$M80*'2c. RB-sfaf'!W80/'2c. RB-sfaf'!$O80</f>
        <v>0</v>
      </c>
      <c r="V80" s="171">
        <f>$M80*'2c. RB-sfaf'!X80/'2c. RB-sfaf'!$O80</f>
        <v>0</v>
      </c>
      <c r="W80" s="171">
        <f>$M80*'2c. RB-sfaf'!Y80/'2c. RB-sfaf'!$O80</f>
        <v>0</v>
      </c>
      <c r="X80" s="171">
        <f>'1. RB-i'!M352</f>
        <v>0</v>
      </c>
      <c r="Y80" s="171"/>
      <c r="Z80" s="171"/>
      <c r="AA80" s="171">
        <f>'1. RB-i'!N352</f>
        <v>0</v>
      </c>
      <c r="AB80" s="171">
        <f>'1. RB-i'!O352</f>
        <v>0</v>
      </c>
      <c r="AC80" s="171"/>
      <c r="AD80" s="171"/>
      <c r="AE80" s="171"/>
      <c r="AF80" s="171">
        <f>'1. RB-i'!P352</f>
        <v>0</v>
      </c>
      <c r="AG80" s="171"/>
      <c r="AH80" s="171">
        <f>'1. RB-i'!Q352</f>
        <v>0</v>
      </c>
      <c r="AI80" s="62"/>
      <c r="AJ80" s="171">
        <f>'1. RB-i'!I352</f>
        <v>2899831.99</v>
      </c>
      <c r="AK80" s="62">
        <f t="shared" si="17"/>
        <v>2899831.99</v>
      </c>
      <c r="AL80" s="62">
        <f t="shared" si="18"/>
        <v>0</v>
      </c>
    </row>
    <row r="81" spans="1:38" x14ac:dyDescent="0.3">
      <c r="A81" s="503" t="s">
        <v>444</v>
      </c>
      <c r="B81" s="504" t="s">
        <v>428</v>
      </c>
      <c r="C81" s="62"/>
      <c r="D81" s="171">
        <f>'1. RB-i'!J353</f>
        <v>0</v>
      </c>
      <c r="E81" s="171"/>
      <c r="F81" s="678"/>
      <c r="G81" s="678"/>
      <c r="H81" s="678"/>
      <c r="I81" s="171"/>
      <c r="J81" s="171"/>
      <c r="K81" s="171"/>
      <c r="L81" s="171">
        <f>'1. RB-i'!K353</f>
        <v>65416875.032057099</v>
      </c>
      <c r="M81" s="171">
        <f>'1. RB-i'!L353</f>
        <v>316615355.28794265</v>
      </c>
      <c r="N81" s="171">
        <f>$M81*'2c. RB-sfaf'!P81/'2c. RB-sfaf'!$O81</f>
        <v>316615355.28794265</v>
      </c>
      <c r="O81" s="171">
        <f>$M81*'2c. RB-sfaf'!Q81/'2c. RB-sfaf'!$O81</f>
        <v>0</v>
      </c>
      <c r="P81" s="171">
        <f>$M81*'2c. RB-sfaf'!R81/'2c. RB-sfaf'!$O81</f>
        <v>0</v>
      </c>
      <c r="Q81" s="171">
        <f>$M81*'2c. RB-sfaf'!S81/'2c. RB-sfaf'!$O81</f>
        <v>0</v>
      </c>
      <c r="R81" s="171">
        <f>$M81*'2c. RB-sfaf'!T81/'2c. RB-sfaf'!$O81</f>
        <v>0</v>
      </c>
      <c r="S81" s="171">
        <f>$M81*'2c. RB-sfaf'!U81/'2c. RB-sfaf'!$O81</f>
        <v>0</v>
      </c>
      <c r="T81" s="171">
        <f>$M81*'2c. RB-sfaf'!V81/'2c. RB-sfaf'!$O81</f>
        <v>0</v>
      </c>
      <c r="U81" s="171">
        <f>$M81*'2c. RB-sfaf'!W81/'2c. RB-sfaf'!$O81</f>
        <v>0</v>
      </c>
      <c r="V81" s="171">
        <f>$M81*'2c. RB-sfaf'!X81/'2c. RB-sfaf'!$O81</f>
        <v>0</v>
      </c>
      <c r="W81" s="171">
        <f>$M81*'2c. RB-sfaf'!Y81/'2c. RB-sfaf'!$O81</f>
        <v>0</v>
      </c>
      <c r="X81" s="171">
        <f>'1. RB-i'!M353</f>
        <v>0</v>
      </c>
      <c r="Y81" s="171"/>
      <c r="Z81" s="171"/>
      <c r="AA81" s="171">
        <f>'1. RB-i'!N353</f>
        <v>0</v>
      </c>
      <c r="AB81" s="171">
        <f>'1. RB-i'!O353</f>
        <v>0</v>
      </c>
      <c r="AC81" s="171"/>
      <c r="AD81" s="171"/>
      <c r="AE81" s="171"/>
      <c r="AF81" s="171">
        <f>'1. RB-i'!P353</f>
        <v>0</v>
      </c>
      <c r="AG81" s="171"/>
      <c r="AH81" s="171">
        <f>'1. RB-i'!Q353</f>
        <v>0</v>
      </c>
      <c r="AI81" s="62"/>
      <c r="AJ81" s="171">
        <f>'1. RB-i'!I353</f>
        <v>382032230.31999999</v>
      </c>
      <c r="AK81" s="62">
        <f t="shared" si="17"/>
        <v>382032230.31999975</v>
      </c>
      <c r="AL81" s="62">
        <f t="shared" si="18"/>
        <v>0</v>
      </c>
    </row>
    <row r="82" spans="1:38" x14ac:dyDescent="0.3">
      <c r="A82" s="504" t="s">
        <v>445</v>
      </c>
      <c r="B82" s="504" t="s">
        <v>446</v>
      </c>
      <c r="C82" s="62"/>
      <c r="D82" s="171">
        <f>'1. RB-i'!J354</f>
        <v>0</v>
      </c>
      <c r="E82" s="171"/>
      <c r="F82" s="678"/>
      <c r="G82" s="678"/>
      <c r="H82" s="678"/>
      <c r="I82" s="171"/>
      <c r="J82" s="171"/>
      <c r="K82" s="171"/>
      <c r="L82" s="171">
        <f>'1. RB-i'!K354</f>
        <v>0</v>
      </c>
      <c r="M82" s="171">
        <f>'1. RB-i'!L354</f>
        <v>0</v>
      </c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>
        <f>'1. RB-i'!M354</f>
        <v>0</v>
      </c>
      <c r="Y82" s="171"/>
      <c r="Z82" s="171"/>
      <c r="AA82" s="171">
        <f>'1. RB-i'!N354</f>
        <v>0</v>
      </c>
      <c r="AB82" s="171">
        <f>'1. RB-i'!O354</f>
        <v>0</v>
      </c>
      <c r="AC82" s="171"/>
      <c r="AD82" s="171"/>
      <c r="AE82" s="171"/>
      <c r="AF82" s="171">
        <f>'1. RB-i'!P354</f>
        <v>0</v>
      </c>
      <c r="AG82" s="171"/>
      <c r="AH82" s="171">
        <f>'1. RB-i'!Q354</f>
        <v>0</v>
      </c>
      <c r="AI82" s="62"/>
      <c r="AJ82" s="171">
        <f>'1. RB-i'!I354</f>
        <v>0</v>
      </c>
      <c r="AK82" s="62">
        <f t="shared" si="17"/>
        <v>0</v>
      </c>
      <c r="AL82" s="62">
        <f t="shared" si="18"/>
        <v>0</v>
      </c>
    </row>
    <row r="83" spans="1:38" x14ac:dyDescent="0.3">
      <c r="A83" s="503" t="s">
        <v>447</v>
      </c>
      <c r="B83" s="503" t="s">
        <v>1323</v>
      </c>
      <c r="C83" s="498"/>
      <c r="D83" s="171">
        <f>'1. RB-i'!J355</f>
        <v>0</v>
      </c>
      <c r="E83" s="171"/>
      <c r="F83" s="678"/>
      <c r="G83" s="678"/>
      <c r="H83" s="678"/>
      <c r="I83" s="171"/>
      <c r="J83" s="171"/>
      <c r="K83" s="171"/>
      <c r="L83" s="171">
        <f>'1. RB-i'!K355</f>
        <v>0</v>
      </c>
      <c r="M83" s="171">
        <f>'1. RB-i'!L355</f>
        <v>323514496.19</v>
      </c>
      <c r="N83" s="171">
        <f>$M83*'2c. RB-sfaf'!P83/'2c. RB-sfaf'!$O83</f>
        <v>0</v>
      </c>
      <c r="O83" s="171">
        <f>$M83*'2c. RB-sfaf'!Q83/'2c. RB-sfaf'!$O83</f>
        <v>113779638.13101302</v>
      </c>
      <c r="P83" s="171">
        <f>$M83*'2c. RB-sfaf'!R83/'2c. RB-sfaf'!$O83</f>
        <v>40762139.914214276</v>
      </c>
      <c r="Q83" s="171">
        <f>$M83*'2c. RB-sfaf'!S83/'2c. RB-sfaf'!$O83</f>
        <v>0</v>
      </c>
      <c r="R83" s="171">
        <f>$M83*'2c. RB-sfaf'!T83/'2c. RB-sfaf'!$O83</f>
        <v>113285824.2091397</v>
      </c>
      <c r="S83" s="171">
        <f>$M83*'2c. RB-sfaf'!U83/'2c. RB-sfaf'!$O83</f>
        <v>30205297.965223052</v>
      </c>
      <c r="T83" s="171">
        <f>$M83*'2c. RB-sfaf'!V83/'2c. RB-sfaf'!$O83</f>
        <v>0</v>
      </c>
      <c r="U83" s="171">
        <f>$M83*'2c. RB-sfaf'!W83/'2c. RB-sfaf'!$O83</f>
        <v>0</v>
      </c>
      <c r="V83" s="171">
        <f>$M83*'2c. RB-sfaf'!X83/'2c. RB-sfaf'!$O83</f>
        <v>25481595.970409941</v>
      </c>
      <c r="W83" s="171">
        <f>$M83*'2c. RB-sfaf'!Y83/'2c. RB-sfaf'!$O83</f>
        <v>0</v>
      </c>
      <c r="X83" s="171">
        <f>'1. RB-i'!M355</f>
        <v>0</v>
      </c>
      <c r="Y83" s="171"/>
      <c r="Z83" s="171"/>
      <c r="AA83" s="171">
        <f>'1. RB-i'!N355</f>
        <v>0</v>
      </c>
      <c r="AB83" s="171">
        <f>'1. RB-i'!O355</f>
        <v>0</v>
      </c>
      <c r="AC83" s="171"/>
      <c r="AD83" s="171"/>
      <c r="AE83" s="171"/>
      <c r="AF83" s="171">
        <f>'1. RB-i'!P355</f>
        <v>0</v>
      </c>
      <c r="AG83" s="171"/>
      <c r="AH83" s="171">
        <f>'1. RB-i'!Q355</f>
        <v>0</v>
      </c>
      <c r="AI83" s="62"/>
      <c r="AJ83" s="171">
        <f>'1. RB-i'!I355</f>
        <v>323514496.19</v>
      </c>
      <c r="AK83" s="62">
        <f t="shared" si="17"/>
        <v>323514496.19</v>
      </c>
      <c r="AL83" s="62">
        <f t="shared" si="18"/>
        <v>0</v>
      </c>
    </row>
    <row r="84" spans="1:38" x14ac:dyDescent="0.3">
      <c r="A84" s="503" t="s">
        <v>448</v>
      </c>
      <c r="B84" s="504" t="s">
        <v>434</v>
      </c>
      <c r="C84" s="62"/>
      <c r="D84" s="171">
        <f>'1. RB-i'!J356</f>
        <v>0</v>
      </c>
      <c r="E84" s="171"/>
      <c r="F84" s="678"/>
      <c r="G84" s="678"/>
      <c r="H84" s="678"/>
      <c r="I84" s="171"/>
      <c r="J84" s="171"/>
      <c r="K84" s="171"/>
      <c r="L84" s="171">
        <f>'1. RB-i'!K356</f>
        <v>0</v>
      </c>
      <c r="M84" s="171">
        <f>'1. RB-i'!L356</f>
        <v>207949966.80999997</v>
      </c>
      <c r="N84" s="171">
        <f>$M84*'2c. RB-sfaf'!P84/'2c. RB-sfaf'!$O84</f>
        <v>0</v>
      </c>
      <c r="O84" s="171">
        <f>$M84*'2c. RB-sfaf'!Q84/'2c. RB-sfaf'!$O84</f>
        <v>80016925.9564282</v>
      </c>
      <c r="P84" s="171">
        <f>$M84*'2c. RB-sfaf'!R84/'2c. RB-sfaf'!$O84</f>
        <v>15661453.594674272</v>
      </c>
      <c r="Q84" s="171">
        <f>$M84*'2c. RB-sfaf'!S84/'2c. RB-sfaf'!$O84</f>
        <v>0</v>
      </c>
      <c r="R84" s="171">
        <f>$M84*'2c. RB-sfaf'!T84/'2c. RB-sfaf'!$O84</f>
        <v>85484922.803251505</v>
      </c>
      <c r="S84" s="171">
        <f>$M84*'2c. RB-sfaf'!U84/'2c. RB-sfaf'!$O84</f>
        <v>26786664.455646005</v>
      </c>
      <c r="T84" s="171">
        <f>$M84*'2c. RB-sfaf'!V84/'2c. RB-sfaf'!$O84</f>
        <v>0</v>
      </c>
      <c r="U84" s="171">
        <f>$M84*'2c. RB-sfaf'!W84/'2c. RB-sfaf'!$O84</f>
        <v>0</v>
      </c>
      <c r="V84" s="171">
        <f>$M84*'2c. RB-sfaf'!X84/'2c. RB-sfaf'!$O84</f>
        <v>0</v>
      </c>
      <c r="W84" s="171">
        <f>$M84*'2c. RB-sfaf'!Y84/'2c. RB-sfaf'!$O84</f>
        <v>0</v>
      </c>
      <c r="X84" s="171">
        <f>'1. RB-i'!M356</f>
        <v>0</v>
      </c>
      <c r="Y84" s="171"/>
      <c r="Z84" s="171"/>
      <c r="AA84" s="171">
        <f>'1. RB-i'!N356</f>
        <v>0</v>
      </c>
      <c r="AB84" s="171">
        <f>'1. RB-i'!O356</f>
        <v>0</v>
      </c>
      <c r="AC84" s="171"/>
      <c r="AD84" s="171"/>
      <c r="AE84" s="171"/>
      <c r="AF84" s="171">
        <f>'1. RB-i'!P356</f>
        <v>0</v>
      </c>
      <c r="AG84" s="171"/>
      <c r="AH84" s="171">
        <f>'1. RB-i'!Q356</f>
        <v>0</v>
      </c>
      <c r="AI84" s="62"/>
      <c r="AJ84" s="171">
        <f>'1. RB-i'!I356</f>
        <v>207949966.80999997</v>
      </c>
      <c r="AK84" s="62">
        <f t="shared" si="17"/>
        <v>207949966.80999997</v>
      </c>
      <c r="AL84" s="62">
        <f t="shared" si="18"/>
        <v>0</v>
      </c>
    </row>
    <row r="85" spans="1:38" x14ac:dyDescent="0.3">
      <c r="A85" s="503" t="s">
        <v>449</v>
      </c>
      <c r="B85" s="504" t="s">
        <v>450</v>
      </c>
      <c r="C85" s="62"/>
      <c r="D85" s="171">
        <f>'1. RB-i'!J357</f>
        <v>0</v>
      </c>
      <c r="E85" s="171"/>
      <c r="F85" s="678"/>
      <c r="G85" s="678"/>
      <c r="H85" s="678"/>
      <c r="I85" s="171"/>
      <c r="J85" s="171"/>
      <c r="K85" s="171"/>
      <c r="L85" s="171">
        <f>'1. RB-i'!K357</f>
        <v>0</v>
      </c>
      <c r="M85" s="171">
        <f>'1. RB-i'!L357</f>
        <v>288257347.02000004</v>
      </c>
      <c r="N85" s="171">
        <f>$M85*'2c. RB-sfaf'!P85/'2c. RB-sfaf'!$O85</f>
        <v>0</v>
      </c>
      <c r="O85" s="171">
        <f>$M85*'2c. RB-sfaf'!Q85/'2c. RB-sfaf'!$O85</f>
        <v>176537241.13245627</v>
      </c>
      <c r="P85" s="171">
        <f>$M85*'2c. RB-sfaf'!R85/'2c. RB-sfaf'!$O85</f>
        <v>45098580.901357688</v>
      </c>
      <c r="Q85" s="171">
        <f>$M85*'2c. RB-sfaf'!S85/'2c. RB-sfaf'!$O85</f>
        <v>0</v>
      </c>
      <c r="R85" s="171">
        <f>$M85*'2c. RB-sfaf'!T85/'2c. RB-sfaf'!$O85</f>
        <v>56279815.097973838</v>
      </c>
      <c r="S85" s="171">
        <f>$M85*'2c. RB-sfaf'!U85/'2c. RB-sfaf'!$O85</f>
        <v>10341709.888212252</v>
      </c>
      <c r="T85" s="171">
        <f>$M85*'2c. RB-sfaf'!V85/'2c. RB-sfaf'!$O85</f>
        <v>0</v>
      </c>
      <c r="U85" s="171">
        <f>$M85*'2c. RB-sfaf'!W85/'2c. RB-sfaf'!$O85</f>
        <v>0</v>
      </c>
      <c r="V85" s="171">
        <f>$M85*'2c. RB-sfaf'!X85/'2c. RB-sfaf'!$O85</f>
        <v>0</v>
      </c>
      <c r="W85" s="171">
        <f>$M85*'2c. RB-sfaf'!Y85/'2c. RB-sfaf'!$O85</f>
        <v>0</v>
      </c>
      <c r="X85" s="171">
        <f>'1. RB-i'!M357</f>
        <v>0</v>
      </c>
      <c r="Y85" s="171"/>
      <c r="Z85" s="171"/>
      <c r="AA85" s="171">
        <f>'1. RB-i'!N357</f>
        <v>0</v>
      </c>
      <c r="AB85" s="171">
        <f>'1. RB-i'!O357</f>
        <v>0</v>
      </c>
      <c r="AC85" s="171"/>
      <c r="AD85" s="171"/>
      <c r="AE85" s="171"/>
      <c r="AF85" s="171">
        <f>'1. RB-i'!P357</f>
        <v>0</v>
      </c>
      <c r="AG85" s="171"/>
      <c r="AH85" s="171">
        <f>'1. RB-i'!Q357</f>
        <v>0</v>
      </c>
      <c r="AI85" s="62"/>
      <c r="AJ85" s="171">
        <f>'1. RB-i'!I357</f>
        <v>288257347.02000004</v>
      </c>
      <c r="AK85" s="62">
        <f t="shared" si="17"/>
        <v>288257347.02000004</v>
      </c>
      <c r="AL85" s="62">
        <f t="shared" si="18"/>
        <v>0</v>
      </c>
    </row>
    <row r="86" spans="1:38" x14ac:dyDescent="0.3">
      <c r="A86" s="503" t="s">
        <v>451</v>
      </c>
      <c r="B86" s="503" t="s">
        <v>452</v>
      </c>
      <c r="C86" s="498"/>
      <c r="D86" s="171">
        <f>'1. RB-i'!J358</f>
        <v>0</v>
      </c>
      <c r="E86" s="171"/>
      <c r="F86" s="678"/>
      <c r="G86" s="678"/>
      <c r="H86" s="678"/>
      <c r="I86" s="171"/>
      <c r="J86" s="171"/>
      <c r="K86" s="171"/>
      <c r="L86" s="171">
        <f>'1. RB-i'!K358</f>
        <v>0</v>
      </c>
      <c r="M86" s="171">
        <f>'1. RB-i'!L358</f>
        <v>370964305.84999996</v>
      </c>
      <c r="N86" s="171">
        <f>$M86*'2c. RB-sfaf'!P86/'2c. RB-sfaf'!$O86</f>
        <v>0</v>
      </c>
      <c r="O86" s="171">
        <f>$M86*'2c. RB-sfaf'!Q86/'2c. RB-sfaf'!$O86</f>
        <v>227189404.85090882</v>
      </c>
      <c r="P86" s="171">
        <f>$M86*'2c. RB-sfaf'!R86/'2c. RB-sfaf'!$O86</f>
        <v>58038290.894738063</v>
      </c>
      <c r="Q86" s="171">
        <f>$M86*'2c. RB-sfaf'!S86/'2c. RB-sfaf'!$O86</f>
        <v>0</v>
      </c>
      <c r="R86" s="171">
        <f>$M86*'2c. RB-sfaf'!T86/'2c. RB-sfaf'!$O86</f>
        <v>72427651.04522264</v>
      </c>
      <c r="S86" s="171">
        <f>$M86*'2c. RB-sfaf'!U86/'2c. RB-sfaf'!$O86</f>
        <v>13308959.059130449</v>
      </c>
      <c r="T86" s="171">
        <f>$M86*'2c. RB-sfaf'!V86/'2c. RB-sfaf'!$O86</f>
        <v>0</v>
      </c>
      <c r="U86" s="171">
        <f>$M86*'2c. RB-sfaf'!W86/'2c. RB-sfaf'!$O86</f>
        <v>0</v>
      </c>
      <c r="V86" s="171">
        <f>$M86*'2c. RB-sfaf'!X86/'2c. RB-sfaf'!$O86</f>
        <v>0</v>
      </c>
      <c r="W86" s="171">
        <f>$M86*'2c. RB-sfaf'!Y86/'2c. RB-sfaf'!$O86</f>
        <v>0</v>
      </c>
      <c r="X86" s="171">
        <f>'1. RB-i'!M358</f>
        <v>0</v>
      </c>
      <c r="Y86" s="171"/>
      <c r="Z86" s="171"/>
      <c r="AA86" s="171">
        <f>'1. RB-i'!N358</f>
        <v>0</v>
      </c>
      <c r="AB86" s="171">
        <f>'1. RB-i'!O358</f>
        <v>0</v>
      </c>
      <c r="AC86" s="171"/>
      <c r="AD86" s="171"/>
      <c r="AE86" s="171"/>
      <c r="AF86" s="171">
        <f>'1. RB-i'!P358</f>
        <v>0</v>
      </c>
      <c r="AG86" s="171"/>
      <c r="AH86" s="171">
        <f>'1. RB-i'!Q358</f>
        <v>0</v>
      </c>
      <c r="AI86" s="62"/>
      <c r="AJ86" s="171">
        <f>'1. RB-i'!I358</f>
        <v>370964305.84999996</v>
      </c>
      <c r="AK86" s="62">
        <f t="shared" si="17"/>
        <v>370964305.84999996</v>
      </c>
      <c r="AL86" s="62">
        <f t="shared" si="18"/>
        <v>0</v>
      </c>
    </row>
    <row r="87" spans="1:38" x14ac:dyDescent="0.3">
      <c r="A87" s="503" t="s">
        <v>453</v>
      </c>
      <c r="B87" s="504" t="s">
        <v>454</v>
      </c>
      <c r="C87" s="62"/>
      <c r="D87" s="171">
        <f>'1. RB-i'!J359</f>
        <v>0</v>
      </c>
      <c r="E87" s="171"/>
      <c r="F87" s="678"/>
      <c r="G87" s="678"/>
      <c r="H87" s="678"/>
      <c r="I87" s="171"/>
      <c r="J87" s="171"/>
      <c r="K87" s="171"/>
      <c r="L87" s="171">
        <f>'1. RB-i'!K359</f>
        <v>0</v>
      </c>
      <c r="M87" s="171">
        <f>'1. RB-i'!L359</f>
        <v>365157456.28000003</v>
      </c>
      <c r="N87" s="171">
        <f>$M87*'2c. RB-sfaf'!P87/'2c. RB-sfaf'!$O87</f>
        <v>0</v>
      </c>
      <c r="O87" s="171">
        <f>$M87*'2c. RB-sfaf'!Q87/'2c. RB-sfaf'!$O87</f>
        <v>0</v>
      </c>
      <c r="P87" s="171">
        <f>$M87*'2c. RB-sfaf'!R87/'2c. RB-sfaf'!$O87</f>
        <v>0</v>
      </c>
      <c r="Q87" s="171">
        <f>$M87*'2c. RB-sfaf'!S87/'2c. RB-sfaf'!$O87</f>
        <v>174453717.5478189</v>
      </c>
      <c r="R87" s="171">
        <f>$M87*'2c. RB-sfaf'!T87/'2c. RB-sfaf'!$O87</f>
        <v>0</v>
      </c>
      <c r="S87" s="171">
        <f>$M87*'2c. RB-sfaf'!U87/'2c. RB-sfaf'!$O87</f>
        <v>0</v>
      </c>
      <c r="T87" s="171">
        <f>$M87*'2c. RB-sfaf'!V87/'2c. RB-sfaf'!$O87</f>
        <v>190703738.73218107</v>
      </c>
      <c r="U87" s="171">
        <f>$M87*'2c. RB-sfaf'!W87/'2c. RB-sfaf'!$O87</f>
        <v>0</v>
      </c>
      <c r="V87" s="171">
        <f>$M87*'2c. RB-sfaf'!X87/'2c. RB-sfaf'!$O87</f>
        <v>0</v>
      </c>
      <c r="W87" s="171">
        <f>$M87*'2c. RB-sfaf'!Y87/'2c. RB-sfaf'!$O87</f>
        <v>0</v>
      </c>
      <c r="X87" s="171">
        <f>'1. RB-i'!M359</f>
        <v>0</v>
      </c>
      <c r="Y87" s="171"/>
      <c r="Z87" s="171"/>
      <c r="AA87" s="171">
        <f>'1. RB-i'!N359</f>
        <v>0</v>
      </c>
      <c r="AB87" s="171">
        <f>'1. RB-i'!O359</f>
        <v>0</v>
      </c>
      <c r="AC87" s="171"/>
      <c r="AD87" s="171"/>
      <c r="AE87" s="171"/>
      <c r="AF87" s="171">
        <f>'1. RB-i'!P359</f>
        <v>0</v>
      </c>
      <c r="AG87" s="171"/>
      <c r="AH87" s="171">
        <f>'1. RB-i'!Q359</f>
        <v>0</v>
      </c>
      <c r="AI87" s="62"/>
      <c r="AJ87" s="171">
        <f>'1. RB-i'!I359</f>
        <v>365157456.28000003</v>
      </c>
      <c r="AK87" s="62">
        <f t="shared" si="17"/>
        <v>365157456.27999997</v>
      </c>
      <c r="AL87" s="62">
        <f t="shared" si="18"/>
        <v>0</v>
      </c>
    </row>
    <row r="88" spans="1:38" x14ac:dyDescent="0.3">
      <c r="A88" s="503" t="s">
        <v>455</v>
      </c>
      <c r="B88" s="503" t="s">
        <v>456</v>
      </c>
      <c r="C88" s="498"/>
      <c r="D88" s="171">
        <f>'1. RB-i'!J360</f>
        <v>0</v>
      </c>
      <c r="E88" s="171"/>
      <c r="F88" s="678"/>
      <c r="G88" s="678"/>
      <c r="H88" s="678"/>
      <c r="I88" s="171"/>
      <c r="J88" s="171"/>
      <c r="K88" s="171"/>
      <c r="L88" s="171">
        <f>'1. RB-i'!K360</f>
        <v>0</v>
      </c>
      <c r="M88" s="171">
        <f>'1. RB-i'!L360</f>
        <v>128955756.09999993</v>
      </c>
      <c r="N88" s="171">
        <f>$M88*'2c. RB-sfaf'!P88/'2c. RB-sfaf'!$O88</f>
        <v>0</v>
      </c>
      <c r="O88" s="171">
        <f>$M88*'2c. RB-sfaf'!Q88/'2c. RB-sfaf'!$O88</f>
        <v>0</v>
      </c>
      <c r="P88" s="171">
        <f>$M88*'2c. RB-sfaf'!R88/'2c. RB-sfaf'!$O88</f>
        <v>0</v>
      </c>
      <c r="Q88" s="171">
        <f>$M88*'2c. RB-sfaf'!S88/'2c. RB-sfaf'!$O88</f>
        <v>0</v>
      </c>
      <c r="R88" s="171">
        <f>$M88*'2c. RB-sfaf'!T88/'2c. RB-sfaf'!$O88</f>
        <v>0</v>
      </c>
      <c r="S88" s="171">
        <f>$M88*'2c. RB-sfaf'!U88/'2c. RB-sfaf'!$O88</f>
        <v>0</v>
      </c>
      <c r="T88" s="171">
        <f>$M88*'2c. RB-sfaf'!V88/'2c. RB-sfaf'!$O88</f>
        <v>0</v>
      </c>
      <c r="U88" s="171">
        <f>$M88*'2c. RB-sfaf'!W88/'2c. RB-sfaf'!$O88</f>
        <v>128955756.09999993</v>
      </c>
      <c r="V88" s="171">
        <f>$M88*'2c. RB-sfaf'!X88/'2c. RB-sfaf'!$O88</f>
        <v>0</v>
      </c>
      <c r="W88" s="171">
        <f>$M88*'2c. RB-sfaf'!Y88/'2c. RB-sfaf'!$O88</f>
        <v>0</v>
      </c>
      <c r="X88" s="171">
        <f>'1. RB-i'!M360</f>
        <v>0</v>
      </c>
      <c r="Y88" s="171"/>
      <c r="Z88" s="171"/>
      <c r="AA88" s="171">
        <f>'1. RB-i'!N360</f>
        <v>0</v>
      </c>
      <c r="AB88" s="171">
        <f>'1. RB-i'!O360</f>
        <v>0</v>
      </c>
      <c r="AC88" s="171"/>
      <c r="AD88" s="171"/>
      <c r="AE88" s="171"/>
      <c r="AF88" s="171">
        <f>'1. RB-i'!P360</f>
        <v>0</v>
      </c>
      <c r="AG88" s="171"/>
      <c r="AH88" s="171">
        <f>'1. RB-i'!Q360</f>
        <v>0</v>
      </c>
      <c r="AI88" s="62"/>
      <c r="AJ88" s="171">
        <f>'1. RB-i'!I360</f>
        <v>128955756.09999993</v>
      </c>
      <c r="AK88" s="62">
        <f t="shared" si="17"/>
        <v>128955756.09999993</v>
      </c>
      <c r="AL88" s="62">
        <f t="shared" si="18"/>
        <v>0</v>
      </c>
    </row>
    <row r="89" spans="1:38" x14ac:dyDescent="0.3">
      <c r="A89" s="503" t="s">
        <v>457</v>
      </c>
      <c r="B89" s="504" t="s">
        <v>458</v>
      </c>
      <c r="C89" s="62"/>
      <c r="D89" s="171">
        <f>'1. RB-i'!J361</f>
        <v>0</v>
      </c>
      <c r="E89" s="171"/>
      <c r="F89" s="678"/>
      <c r="G89" s="678"/>
      <c r="H89" s="678"/>
      <c r="I89" s="171"/>
      <c r="J89" s="171"/>
      <c r="K89" s="171"/>
      <c r="L89" s="171">
        <f>'1. RB-i'!K361</f>
        <v>0</v>
      </c>
      <c r="M89" s="171">
        <f>'1. RB-i'!L361</f>
        <v>0</v>
      </c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>
        <f>'1. RB-i'!M361</f>
        <v>141514308.95999998</v>
      </c>
      <c r="Y89" s="171">
        <f>$X89*'2c. RB-sfaf'!AA89/'2c. RB-sfaf'!$Z89</f>
        <v>141514308.95999998</v>
      </c>
      <c r="Z89" s="171">
        <f>$X89*'2c. RB-sfaf'!AB89/'2c. RB-sfaf'!$Z89</f>
        <v>0</v>
      </c>
      <c r="AA89" s="171">
        <f>'1. RB-i'!N361</f>
        <v>0</v>
      </c>
      <c r="AB89" s="171">
        <f>'1. RB-i'!O361</f>
        <v>0</v>
      </c>
      <c r="AC89" s="171"/>
      <c r="AD89" s="171"/>
      <c r="AE89" s="171"/>
      <c r="AF89" s="171">
        <f>'1. RB-i'!P361</f>
        <v>0</v>
      </c>
      <c r="AG89" s="171"/>
      <c r="AH89" s="171">
        <f>'1. RB-i'!Q361</f>
        <v>0</v>
      </c>
      <c r="AI89" s="62"/>
      <c r="AJ89" s="171">
        <f>'1. RB-i'!I361</f>
        <v>141514308.95999998</v>
      </c>
      <c r="AK89" s="62">
        <f t="shared" si="17"/>
        <v>141514308.95999998</v>
      </c>
      <c r="AL89" s="62">
        <f t="shared" si="18"/>
        <v>0</v>
      </c>
    </row>
    <row r="90" spans="1:38" x14ac:dyDescent="0.3">
      <c r="A90" s="504" t="s">
        <v>459</v>
      </c>
      <c r="B90" s="504" t="s">
        <v>460</v>
      </c>
      <c r="C90" s="62"/>
      <c r="D90" s="171">
        <f>'1. RB-i'!J362</f>
        <v>0</v>
      </c>
      <c r="E90" s="171"/>
      <c r="F90" s="678"/>
      <c r="G90" s="678"/>
      <c r="H90" s="678"/>
      <c r="I90" s="171"/>
      <c r="J90" s="171"/>
      <c r="K90" s="171"/>
      <c r="L90" s="171">
        <f>'1. RB-i'!K362</f>
        <v>0</v>
      </c>
      <c r="M90" s="171">
        <f>'1. RB-i'!L362</f>
        <v>0</v>
      </c>
      <c r="N90" s="171"/>
      <c r="O90" s="171"/>
      <c r="P90" s="171"/>
      <c r="Q90" s="171"/>
      <c r="R90" s="171"/>
      <c r="S90" s="171"/>
      <c r="T90" s="171"/>
      <c r="U90" s="171"/>
      <c r="V90" s="171"/>
      <c r="W90" s="171">
        <f>M90</f>
        <v>0</v>
      </c>
      <c r="X90" s="171">
        <f>'1. RB-i'!M362</f>
        <v>0</v>
      </c>
      <c r="Y90" s="171"/>
      <c r="Z90" s="171"/>
      <c r="AA90" s="171">
        <f>'1. RB-i'!N362</f>
        <v>0</v>
      </c>
      <c r="AB90" s="171">
        <f>'1. RB-i'!O362</f>
        <v>0</v>
      </c>
      <c r="AC90" s="171"/>
      <c r="AD90" s="171"/>
      <c r="AE90" s="171"/>
      <c r="AF90" s="171">
        <f>'1. RB-i'!P362</f>
        <v>0</v>
      </c>
      <c r="AG90" s="171"/>
      <c r="AH90" s="171">
        <f>'1. RB-i'!Q362</f>
        <v>0</v>
      </c>
      <c r="AI90" s="62"/>
      <c r="AJ90" s="171">
        <f>'1. RB-i'!I362</f>
        <v>0</v>
      </c>
      <c r="AK90" s="62">
        <f t="shared" si="17"/>
        <v>0</v>
      </c>
      <c r="AL90" s="62">
        <f t="shared" si="18"/>
        <v>0</v>
      </c>
    </row>
    <row r="91" spans="1:38" x14ac:dyDescent="0.3">
      <c r="A91" s="504" t="s">
        <v>461</v>
      </c>
      <c r="B91" s="504" t="s">
        <v>462</v>
      </c>
      <c r="C91" s="62"/>
      <c r="D91" s="171">
        <f>'1. RB-i'!J363</f>
        <v>0</v>
      </c>
      <c r="E91" s="171"/>
      <c r="F91" s="678"/>
      <c r="G91" s="678"/>
      <c r="H91" s="678"/>
      <c r="I91" s="171"/>
      <c r="J91" s="171"/>
      <c r="K91" s="171"/>
      <c r="L91" s="171">
        <f>'1. RB-i'!K363</f>
        <v>0</v>
      </c>
      <c r="M91" s="171">
        <f>'1. RB-i'!L363</f>
        <v>0</v>
      </c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>
        <f>'1. RB-i'!M363</f>
        <v>0</v>
      </c>
      <c r="Y91" s="171"/>
      <c r="Z91" s="171"/>
      <c r="AA91" s="171">
        <f>'1. RB-i'!N363</f>
        <v>0</v>
      </c>
      <c r="AB91" s="171">
        <f>'1. RB-i'!O363</f>
        <v>0</v>
      </c>
      <c r="AC91" s="171"/>
      <c r="AD91" s="171"/>
      <c r="AE91" s="171"/>
      <c r="AF91" s="171">
        <f>'1. RB-i'!P363</f>
        <v>0</v>
      </c>
      <c r="AG91" s="171"/>
      <c r="AH91" s="171">
        <f>'1. RB-i'!Q363</f>
        <v>0</v>
      </c>
      <c r="AI91" s="62"/>
      <c r="AJ91" s="171">
        <f>'1. RB-i'!I363</f>
        <v>0</v>
      </c>
      <c r="AK91" s="62">
        <f t="shared" si="17"/>
        <v>0</v>
      </c>
      <c r="AL91" s="62">
        <f t="shared" si="18"/>
        <v>0</v>
      </c>
    </row>
    <row r="92" spans="1:38" x14ac:dyDescent="0.3">
      <c r="A92" s="503" t="s">
        <v>463</v>
      </c>
      <c r="B92" s="504" t="s">
        <v>464</v>
      </c>
      <c r="C92" s="62"/>
      <c r="D92" s="171">
        <f>'1. RB-i'!J364</f>
        <v>0</v>
      </c>
      <c r="E92" s="171"/>
      <c r="F92" s="678"/>
      <c r="G92" s="678"/>
      <c r="H92" s="678"/>
      <c r="I92" s="171"/>
      <c r="J92" s="171"/>
      <c r="K92" s="171"/>
      <c r="L92" s="171">
        <f>'1. RB-i'!K364</f>
        <v>0</v>
      </c>
      <c r="M92" s="171">
        <f>'1. RB-i'!L364</f>
        <v>81826489.609999955</v>
      </c>
      <c r="N92" s="171">
        <f>$M92*'2c. RB-sfaf'!P92/'2c. RB-sfaf'!$O92</f>
        <v>0</v>
      </c>
      <c r="O92" s="171">
        <f>$M92*'2c. RB-sfaf'!Q92/'2c. RB-sfaf'!$O92</f>
        <v>0</v>
      </c>
      <c r="P92" s="171">
        <f>$M92*'2c. RB-sfaf'!R92/'2c. RB-sfaf'!$O92</f>
        <v>0</v>
      </c>
      <c r="Q92" s="171">
        <f>$M92*'2c. RB-sfaf'!S92/'2c. RB-sfaf'!$O92</f>
        <v>0</v>
      </c>
      <c r="R92" s="171">
        <f>$M92*'2c. RB-sfaf'!T92/'2c. RB-sfaf'!$O92</f>
        <v>0</v>
      </c>
      <c r="S92" s="171">
        <f>$M92*'2c. RB-sfaf'!U92/'2c. RB-sfaf'!$O92</f>
        <v>0</v>
      </c>
      <c r="T92" s="171">
        <f>$M92*'2c. RB-sfaf'!V92/'2c. RB-sfaf'!$O92</f>
        <v>0</v>
      </c>
      <c r="U92" s="171">
        <f>$M92*'2c. RB-sfaf'!W92/'2c. RB-sfaf'!$O92</f>
        <v>0</v>
      </c>
      <c r="V92" s="171">
        <f>$M92*'2c. RB-sfaf'!X92/'2c. RB-sfaf'!$O92</f>
        <v>81826489.609999955</v>
      </c>
      <c r="W92" s="171">
        <f>$M92*'2c. RB-sfaf'!Y92/'2c. RB-sfaf'!$O92</f>
        <v>0</v>
      </c>
      <c r="X92" s="171">
        <f>'1. RB-i'!M364</f>
        <v>0</v>
      </c>
      <c r="Y92" s="171"/>
      <c r="Z92" s="171"/>
      <c r="AA92" s="171">
        <f>'1. RB-i'!N364</f>
        <v>0</v>
      </c>
      <c r="AB92" s="171">
        <f>'1. RB-i'!O364</f>
        <v>0</v>
      </c>
      <c r="AC92" s="171"/>
      <c r="AD92" s="171"/>
      <c r="AE92" s="171"/>
      <c r="AF92" s="171">
        <f>'1. RB-i'!P364</f>
        <v>0</v>
      </c>
      <c r="AG92" s="481">
        <f>$AF92*'2c. RB-sfaf'!AI92/'2c. RB-sfaf'!$O92</f>
        <v>0</v>
      </c>
      <c r="AH92" s="171">
        <f>'1. RB-i'!Q364</f>
        <v>0</v>
      </c>
      <c r="AI92" s="62"/>
      <c r="AJ92" s="171">
        <f>'1. RB-i'!I364</f>
        <v>81826489.609999955</v>
      </c>
      <c r="AK92" s="62">
        <f t="shared" si="17"/>
        <v>81826489.609999955</v>
      </c>
      <c r="AL92" s="62">
        <f t="shared" si="18"/>
        <v>0</v>
      </c>
    </row>
    <row r="93" spans="1:38" x14ac:dyDescent="0.3">
      <c r="A93" s="62"/>
      <c r="B93" s="62"/>
      <c r="C93" s="62"/>
      <c r="D93" s="62"/>
      <c r="E93" s="62"/>
      <c r="F93" s="677"/>
      <c r="G93" s="677"/>
      <c r="H93" s="677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</row>
    <row r="94" spans="1:38" x14ac:dyDescent="0.3">
      <c r="A94" s="62"/>
      <c r="B94" s="498" t="s">
        <v>465</v>
      </c>
      <c r="C94" s="498"/>
      <c r="D94" s="171">
        <f t="shared" ref="D94:AA94" si="19">SUM(D79:D92)</f>
        <v>0</v>
      </c>
      <c r="E94" s="171">
        <f t="shared" si="19"/>
        <v>0</v>
      </c>
      <c r="F94" s="678"/>
      <c r="G94" s="678"/>
      <c r="H94" s="678"/>
      <c r="I94" s="171">
        <f t="shared" si="19"/>
        <v>0</v>
      </c>
      <c r="J94" s="171">
        <f t="shared" si="19"/>
        <v>0</v>
      </c>
      <c r="K94" s="171"/>
      <c r="L94" s="171">
        <f t="shared" si="19"/>
        <v>73310503.831951946</v>
      </c>
      <c r="M94" s="171">
        <f t="shared" si="19"/>
        <v>2099176485.8880475</v>
      </c>
      <c r="N94" s="171">
        <f t="shared" si="19"/>
        <v>332550668.0280478</v>
      </c>
      <c r="O94" s="171">
        <f t="shared" si="19"/>
        <v>597523210.07080626</v>
      </c>
      <c r="P94" s="171">
        <f t="shared" si="19"/>
        <v>159560465.3049843</v>
      </c>
      <c r="Q94" s="171">
        <f t="shared" si="19"/>
        <v>174453717.5478189</v>
      </c>
      <c r="R94" s="171">
        <f t="shared" si="19"/>
        <v>327478213.15558767</v>
      </c>
      <c r="S94" s="171">
        <f t="shared" si="19"/>
        <v>80642631.368211746</v>
      </c>
      <c r="T94" s="171">
        <f t="shared" si="19"/>
        <v>190703738.73218107</v>
      </c>
      <c r="U94" s="171">
        <f t="shared" si="19"/>
        <v>128955756.09999993</v>
      </c>
      <c r="V94" s="171">
        <f t="shared" si="19"/>
        <v>107308085.5804099</v>
      </c>
      <c r="W94" s="171">
        <f t="shared" si="19"/>
        <v>0</v>
      </c>
      <c r="X94" s="171">
        <f t="shared" si="19"/>
        <v>141514308.95999998</v>
      </c>
      <c r="Y94" s="171">
        <f t="shared" si="19"/>
        <v>141514308.95999998</v>
      </c>
      <c r="Z94" s="171">
        <f t="shared" si="19"/>
        <v>0</v>
      </c>
      <c r="AA94" s="171">
        <f t="shared" si="19"/>
        <v>0</v>
      </c>
      <c r="AB94" s="171">
        <f>SUM(AB79:AB92)</f>
        <v>0</v>
      </c>
      <c r="AC94" s="171"/>
      <c r="AD94" s="171"/>
      <c r="AE94" s="171"/>
      <c r="AF94" s="171">
        <f>SUM(AF79:AF92)</f>
        <v>0</v>
      </c>
      <c r="AG94" s="171">
        <f>SUM(AG79:AG92)</f>
        <v>0</v>
      </c>
      <c r="AH94" s="171">
        <f>SUM(AH79:AH92)</f>
        <v>0</v>
      </c>
      <c r="AI94" s="62"/>
      <c r="AJ94" s="171">
        <f>SUM(AJ79:AJ92)</f>
        <v>2314001298.6799998</v>
      </c>
      <c r="AK94" s="62">
        <f t="shared" ref="AK94" si="20">SUM(F94:J94,L94,N94:W94,Y94:Z94,AA94,AC94:AE94,AG94:AH94)</f>
        <v>2314001298.6799994</v>
      </c>
      <c r="AL94" s="62">
        <f>AJ94-AK94</f>
        <v>0</v>
      </c>
    </row>
    <row r="95" spans="1:38" x14ac:dyDescent="0.3">
      <c r="A95" s="62"/>
      <c r="B95" s="498"/>
      <c r="C95" s="498"/>
      <c r="D95" s="171"/>
      <c r="E95" s="171"/>
      <c r="F95" s="678"/>
      <c r="G95" s="678"/>
      <c r="H95" s="678"/>
      <c r="I95" s="171"/>
      <c r="J95" s="171"/>
      <c r="K95" s="171"/>
      <c r="L95" s="171"/>
      <c r="M95" s="171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62"/>
      <c r="AJ95" s="171"/>
      <c r="AK95" s="62"/>
      <c r="AL95" s="62"/>
    </row>
    <row r="96" spans="1:38" x14ac:dyDescent="0.3">
      <c r="A96" s="463" t="s">
        <v>466</v>
      </c>
      <c r="B96" s="62"/>
      <c r="C96" s="62"/>
      <c r="D96" s="171">
        <f t="shared" ref="D96:AH96" si="21">D94+D76+D63</f>
        <v>3257985533.4857597</v>
      </c>
      <c r="E96" s="171">
        <f t="shared" si="21"/>
        <v>3257985533.4857597</v>
      </c>
      <c r="F96" s="678"/>
      <c r="G96" s="678"/>
      <c r="H96" s="678"/>
      <c r="I96" s="171">
        <f t="shared" si="21"/>
        <v>0</v>
      </c>
      <c r="J96" s="171">
        <f t="shared" si="21"/>
        <v>0</v>
      </c>
      <c r="K96" s="171"/>
      <c r="L96" s="171">
        <f t="shared" si="21"/>
        <v>774505505.26390636</v>
      </c>
      <c r="M96" s="171">
        <f t="shared" si="21"/>
        <v>2108471040.3903334</v>
      </c>
      <c r="N96" s="171">
        <f t="shared" si="21"/>
        <v>341845222.53033376</v>
      </c>
      <c r="O96" s="171">
        <f t="shared" si="21"/>
        <v>597523210.07080626</v>
      </c>
      <c r="P96" s="171">
        <f t="shared" si="21"/>
        <v>159560465.3049843</v>
      </c>
      <c r="Q96" s="171">
        <f t="shared" si="21"/>
        <v>174453717.5478189</v>
      </c>
      <c r="R96" s="171">
        <f t="shared" si="21"/>
        <v>327478213.15558767</v>
      </c>
      <c r="S96" s="171">
        <f t="shared" si="21"/>
        <v>80642631.368211746</v>
      </c>
      <c r="T96" s="171">
        <f t="shared" si="21"/>
        <v>190703738.73218107</v>
      </c>
      <c r="U96" s="171">
        <f t="shared" si="21"/>
        <v>128955756.09999993</v>
      </c>
      <c r="V96" s="171">
        <f t="shared" si="21"/>
        <v>107308085.5804099</v>
      </c>
      <c r="W96" s="171">
        <f t="shared" si="21"/>
        <v>0</v>
      </c>
      <c r="X96" s="171">
        <f t="shared" si="21"/>
        <v>141514308.95999998</v>
      </c>
      <c r="Y96" s="171">
        <f t="shared" si="21"/>
        <v>141514308.95999998</v>
      </c>
      <c r="Z96" s="171">
        <f t="shared" si="21"/>
        <v>0</v>
      </c>
      <c r="AA96" s="171">
        <f t="shared" si="21"/>
        <v>0</v>
      </c>
      <c r="AB96" s="171">
        <f t="shared" si="21"/>
        <v>0</v>
      </c>
      <c r="AC96" s="171"/>
      <c r="AD96" s="171"/>
      <c r="AE96" s="171"/>
      <c r="AF96" s="171">
        <f t="shared" si="21"/>
        <v>0</v>
      </c>
      <c r="AG96" s="171">
        <f t="shared" si="21"/>
        <v>0</v>
      </c>
      <c r="AH96" s="171">
        <f t="shared" si="21"/>
        <v>0</v>
      </c>
      <c r="AI96" s="62"/>
      <c r="AJ96" s="171">
        <f>AJ94+AJ76+AJ63</f>
        <v>6282476388.1000004</v>
      </c>
      <c r="AK96" s="62">
        <f>SUM(E96,I96:J96,L96,N96:W96,Y96:Z96,AA96,AC96:AE96,AG96:AH96)</f>
        <v>6282476388.1000013</v>
      </c>
      <c r="AL96" s="62">
        <f>AJ96-AK96</f>
        <v>0</v>
      </c>
    </row>
    <row r="97" spans="1:38" x14ac:dyDescent="0.3">
      <c r="A97" s="62"/>
      <c r="B97" s="62"/>
      <c r="C97" s="62"/>
      <c r="D97" s="62"/>
      <c r="E97" s="62"/>
      <c r="F97" s="677"/>
      <c r="G97" s="677"/>
      <c r="H97" s="677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</row>
    <row r="98" spans="1:38" x14ac:dyDescent="0.3">
      <c r="A98" s="499" t="s">
        <v>467</v>
      </c>
      <c r="B98" s="62"/>
      <c r="C98" s="62"/>
      <c r="D98" s="171">
        <f>D63+D76+D94</f>
        <v>3257985533.4857597</v>
      </c>
      <c r="E98" s="171">
        <f t="shared" ref="E98:AJ98" si="22">E63+E76+E94</f>
        <v>3257985533.4857597</v>
      </c>
      <c r="F98" s="678"/>
      <c r="G98" s="678"/>
      <c r="H98" s="678"/>
      <c r="I98" s="171">
        <f t="shared" si="22"/>
        <v>0</v>
      </c>
      <c r="J98" s="171">
        <f t="shared" si="22"/>
        <v>0</v>
      </c>
      <c r="K98" s="171"/>
      <c r="L98" s="171">
        <f t="shared" si="22"/>
        <v>774505505.26390636</v>
      </c>
      <c r="M98" s="171">
        <f t="shared" si="22"/>
        <v>2108471040.3903334</v>
      </c>
      <c r="N98" s="171">
        <f t="shared" si="22"/>
        <v>341845222.53033376</v>
      </c>
      <c r="O98" s="171">
        <f t="shared" si="22"/>
        <v>597523210.07080626</v>
      </c>
      <c r="P98" s="171">
        <f t="shared" si="22"/>
        <v>159560465.3049843</v>
      </c>
      <c r="Q98" s="171">
        <f t="shared" si="22"/>
        <v>174453717.5478189</v>
      </c>
      <c r="R98" s="171">
        <f t="shared" si="22"/>
        <v>327478213.15558767</v>
      </c>
      <c r="S98" s="171">
        <f t="shared" si="22"/>
        <v>80642631.368211746</v>
      </c>
      <c r="T98" s="171">
        <f t="shared" si="22"/>
        <v>190703738.73218107</v>
      </c>
      <c r="U98" s="171">
        <f t="shared" si="22"/>
        <v>128955756.09999993</v>
      </c>
      <c r="V98" s="171">
        <f t="shared" si="22"/>
        <v>107308085.5804099</v>
      </c>
      <c r="W98" s="171">
        <f t="shared" si="22"/>
        <v>0</v>
      </c>
      <c r="X98" s="171">
        <f t="shared" si="22"/>
        <v>141514308.95999998</v>
      </c>
      <c r="Y98" s="171">
        <f t="shared" si="22"/>
        <v>141514308.95999998</v>
      </c>
      <c r="Z98" s="171">
        <f t="shared" si="22"/>
        <v>0</v>
      </c>
      <c r="AA98" s="171">
        <f t="shared" si="22"/>
        <v>0</v>
      </c>
      <c r="AB98" s="171">
        <f t="shared" si="22"/>
        <v>0</v>
      </c>
      <c r="AC98" s="171">
        <f t="shared" si="22"/>
        <v>0</v>
      </c>
      <c r="AD98" s="171">
        <f t="shared" si="22"/>
        <v>0</v>
      </c>
      <c r="AE98" s="171">
        <f t="shared" si="22"/>
        <v>0</v>
      </c>
      <c r="AF98" s="171">
        <f t="shared" si="22"/>
        <v>0</v>
      </c>
      <c r="AG98" s="171">
        <f t="shared" si="22"/>
        <v>0</v>
      </c>
      <c r="AH98" s="171">
        <f t="shared" si="22"/>
        <v>0</v>
      </c>
      <c r="AI98" s="62"/>
      <c r="AJ98" s="171">
        <f t="shared" si="22"/>
        <v>6282476388.1000004</v>
      </c>
      <c r="AK98" s="62">
        <f>SUM(E98,I98:J98,L98,N98:W98,Y98:Z98,AA98,AC98:AE98,AG98:AH98)</f>
        <v>6282476388.1000013</v>
      </c>
      <c r="AL98" s="62">
        <f>AJ98-AK98</f>
        <v>0</v>
      </c>
    </row>
    <row r="99" spans="1:38" x14ac:dyDescent="0.3">
      <c r="A99" s="62"/>
      <c r="B99" s="62"/>
      <c r="C99" s="62"/>
      <c r="D99" s="62"/>
      <c r="E99" s="62"/>
      <c r="F99" s="677"/>
      <c r="G99" s="677"/>
      <c r="H99" s="677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</row>
    <row r="100" spans="1:38" x14ac:dyDescent="0.3">
      <c r="A100" s="499" t="s">
        <v>468</v>
      </c>
      <c r="B100" s="62"/>
      <c r="C100" s="62"/>
      <c r="D100" s="62"/>
      <c r="E100" s="62"/>
      <c r="F100" s="677"/>
      <c r="G100" s="677"/>
      <c r="H100" s="677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</row>
    <row r="101" spans="1:38" x14ac:dyDescent="0.3">
      <c r="A101" s="62"/>
      <c r="B101" s="62"/>
      <c r="C101" s="62"/>
      <c r="D101" s="62"/>
      <c r="E101" s="62"/>
      <c r="F101" s="677"/>
      <c r="G101" s="677"/>
      <c r="H101" s="677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</row>
    <row r="102" spans="1:38" x14ac:dyDescent="0.3">
      <c r="A102" s="499" t="s">
        <v>469</v>
      </c>
      <c r="B102" s="62"/>
      <c r="C102" s="62"/>
      <c r="D102" s="62"/>
      <c r="E102" s="62"/>
      <c r="F102" s="677"/>
      <c r="G102" s="677"/>
      <c r="H102" s="677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</row>
    <row r="103" spans="1:38" x14ac:dyDescent="0.3">
      <c r="A103" s="503">
        <v>374</v>
      </c>
      <c r="B103" s="504" t="s">
        <v>470</v>
      </c>
      <c r="C103" s="62"/>
      <c r="D103" s="171">
        <f>'1. RB-i'!J375</f>
        <v>0</v>
      </c>
      <c r="E103" s="171"/>
      <c r="F103" s="678"/>
      <c r="G103" s="678"/>
      <c r="H103" s="678"/>
      <c r="I103" s="171"/>
      <c r="J103" s="171"/>
      <c r="K103" s="171"/>
      <c r="L103" s="171">
        <f>'1. RB-i'!K375</f>
        <v>0</v>
      </c>
      <c r="M103" s="171">
        <f>'1. RB-i'!L375</f>
        <v>0</v>
      </c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171">
        <f>'1. RB-i'!M375</f>
        <v>0</v>
      </c>
      <c r="Y103" s="171"/>
      <c r="Z103" s="171"/>
      <c r="AA103" s="171">
        <f>'1. RB-i'!N375</f>
        <v>0</v>
      </c>
      <c r="AB103" s="171"/>
      <c r="AC103" s="171"/>
      <c r="AD103" s="171"/>
      <c r="AE103" s="171"/>
      <c r="AF103" s="171"/>
      <c r="AG103" s="171"/>
      <c r="AH103" s="171"/>
      <c r="AI103" s="62"/>
      <c r="AJ103" s="171">
        <f>'1. RB-i'!I375</f>
        <v>0</v>
      </c>
      <c r="AK103" s="62">
        <f t="shared" ref="AK103:AK112" si="23">SUM(E103:J103,L103,N103:W103,Y103:Z103,AA103,AC103:AE103,AG103:AH103)</f>
        <v>0</v>
      </c>
      <c r="AL103" s="62">
        <f t="shared" ref="AL103:AL112" si="24">AJ103-AK103</f>
        <v>0</v>
      </c>
    </row>
    <row r="104" spans="1:38" x14ac:dyDescent="0.3">
      <c r="A104" s="511">
        <f t="shared" ref="A104:A110" si="25">A103+1</f>
        <v>375</v>
      </c>
      <c r="B104" s="507" t="s">
        <v>374</v>
      </c>
      <c r="C104" s="62"/>
      <c r="D104" s="171">
        <f>'1. RB-i'!J376</f>
        <v>0</v>
      </c>
      <c r="E104" s="171"/>
      <c r="F104" s="678"/>
      <c r="G104" s="678"/>
      <c r="H104" s="678"/>
      <c r="I104" s="171"/>
      <c r="J104" s="171"/>
      <c r="K104" s="171"/>
      <c r="L104" s="171">
        <f>'1. RB-i'!K376</f>
        <v>0</v>
      </c>
      <c r="M104" s="171">
        <f>'1. RB-i'!L376</f>
        <v>0</v>
      </c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171">
        <f>'1. RB-i'!M376</f>
        <v>0</v>
      </c>
      <c r="Y104" s="171"/>
      <c r="Z104" s="171"/>
      <c r="AA104" s="171">
        <f>'1. RB-i'!N376</f>
        <v>0</v>
      </c>
      <c r="AB104" s="171"/>
      <c r="AC104" s="171"/>
      <c r="AD104" s="171"/>
      <c r="AE104" s="171"/>
      <c r="AF104" s="171"/>
      <c r="AG104" s="171"/>
      <c r="AH104" s="171"/>
      <c r="AI104" s="62"/>
      <c r="AJ104" s="171">
        <f>'1. RB-i'!I376</f>
        <v>0</v>
      </c>
      <c r="AK104" s="62">
        <f t="shared" si="23"/>
        <v>0</v>
      </c>
      <c r="AL104" s="62">
        <f t="shared" si="24"/>
        <v>0</v>
      </c>
    </row>
    <row r="105" spans="1:38" x14ac:dyDescent="0.3">
      <c r="A105" s="511">
        <f t="shared" si="25"/>
        <v>376</v>
      </c>
      <c r="B105" s="504" t="s">
        <v>471</v>
      </c>
      <c r="C105" s="62"/>
      <c r="D105" s="171">
        <f>'1. RB-i'!J377</f>
        <v>0</v>
      </c>
      <c r="E105" s="171"/>
      <c r="F105" s="678"/>
      <c r="G105" s="678"/>
      <c r="H105" s="678"/>
      <c r="I105" s="171"/>
      <c r="J105" s="171"/>
      <c r="K105" s="171"/>
      <c r="L105" s="171">
        <f>'1. RB-i'!K377</f>
        <v>0</v>
      </c>
      <c r="M105" s="171">
        <f>'1. RB-i'!L377</f>
        <v>0</v>
      </c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171">
        <f>'1. RB-i'!M377</f>
        <v>0</v>
      </c>
      <c r="Y105" s="171"/>
      <c r="Z105" s="171"/>
      <c r="AA105" s="171">
        <f>'1. RB-i'!N377</f>
        <v>0</v>
      </c>
      <c r="AB105" s="171"/>
      <c r="AC105" s="171"/>
      <c r="AD105" s="171"/>
      <c r="AE105" s="171"/>
      <c r="AF105" s="171"/>
      <c r="AG105" s="171"/>
      <c r="AH105" s="171"/>
      <c r="AI105" s="62"/>
      <c r="AJ105" s="171">
        <f>'1. RB-i'!I377</f>
        <v>0</v>
      </c>
      <c r="AK105" s="62">
        <f t="shared" si="23"/>
        <v>0</v>
      </c>
      <c r="AL105" s="62">
        <f t="shared" si="24"/>
        <v>0</v>
      </c>
    </row>
    <row r="106" spans="1:38" x14ac:dyDescent="0.3">
      <c r="A106" s="511">
        <f t="shared" si="25"/>
        <v>377</v>
      </c>
      <c r="B106" s="504" t="s">
        <v>472</v>
      </c>
      <c r="C106" s="498"/>
      <c r="D106" s="171">
        <f>'1. RB-i'!J378</f>
        <v>0</v>
      </c>
      <c r="E106" s="171"/>
      <c r="F106" s="678"/>
      <c r="G106" s="678"/>
      <c r="H106" s="678"/>
      <c r="I106" s="171"/>
      <c r="J106" s="171"/>
      <c r="K106" s="171"/>
      <c r="L106" s="171">
        <f>'1. RB-i'!K378</f>
        <v>0</v>
      </c>
      <c r="M106" s="171">
        <f>'1. RB-i'!L378</f>
        <v>0</v>
      </c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171">
        <f>'1. RB-i'!M378</f>
        <v>0</v>
      </c>
      <c r="Y106" s="171"/>
      <c r="Z106" s="171"/>
      <c r="AA106" s="171">
        <f>'1. RB-i'!N378</f>
        <v>0</v>
      </c>
      <c r="AB106" s="171"/>
      <c r="AC106" s="171"/>
      <c r="AD106" s="171"/>
      <c r="AE106" s="171"/>
      <c r="AF106" s="171"/>
      <c r="AG106" s="171"/>
      <c r="AH106" s="171"/>
      <c r="AI106" s="62"/>
      <c r="AJ106" s="171">
        <f>'1. RB-i'!I378</f>
        <v>0</v>
      </c>
      <c r="AK106" s="62">
        <f t="shared" si="23"/>
        <v>0</v>
      </c>
      <c r="AL106" s="62">
        <f t="shared" si="24"/>
        <v>0</v>
      </c>
    </row>
    <row r="107" spans="1:38" x14ac:dyDescent="0.3">
      <c r="A107" s="511">
        <f t="shared" si="25"/>
        <v>378</v>
      </c>
      <c r="B107" s="503" t="s">
        <v>473</v>
      </c>
      <c r="C107" s="498"/>
      <c r="D107" s="171">
        <f>'1. RB-i'!J379</f>
        <v>0</v>
      </c>
      <c r="E107" s="171"/>
      <c r="F107" s="678"/>
      <c r="G107" s="678"/>
      <c r="H107" s="678"/>
      <c r="I107" s="171"/>
      <c r="J107" s="171"/>
      <c r="K107" s="171"/>
      <c r="L107" s="171">
        <f>'1. RB-i'!K379</f>
        <v>0</v>
      </c>
      <c r="M107" s="171">
        <f>'1. RB-i'!L379</f>
        <v>0</v>
      </c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171">
        <f>'1. RB-i'!M379</f>
        <v>0</v>
      </c>
      <c r="Y107" s="171"/>
      <c r="Z107" s="171"/>
      <c r="AA107" s="171">
        <f>'1. RB-i'!N379</f>
        <v>0</v>
      </c>
      <c r="AB107" s="171"/>
      <c r="AC107" s="171"/>
      <c r="AD107" s="171"/>
      <c r="AE107" s="171"/>
      <c r="AF107" s="171"/>
      <c r="AG107" s="171"/>
      <c r="AH107" s="171"/>
      <c r="AI107" s="62"/>
      <c r="AJ107" s="171">
        <f>'1. RB-i'!I379</f>
        <v>0</v>
      </c>
      <c r="AK107" s="62">
        <f t="shared" si="23"/>
        <v>0</v>
      </c>
      <c r="AL107" s="62">
        <f t="shared" si="24"/>
        <v>0</v>
      </c>
    </row>
    <row r="108" spans="1:38" x14ac:dyDescent="0.3">
      <c r="A108" s="511">
        <f t="shared" si="25"/>
        <v>379</v>
      </c>
      <c r="B108" s="503" t="s">
        <v>474</v>
      </c>
      <c r="C108" s="62"/>
      <c r="D108" s="171">
        <f>'1. RB-i'!J380</f>
        <v>0</v>
      </c>
      <c r="E108" s="171"/>
      <c r="F108" s="678"/>
      <c r="G108" s="678"/>
      <c r="H108" s="678"/>
      <c r="I108" s="171"/>
      <c r="J108" s="171"/>
      <c r="K108" s="171"/>
      <c r="L108" s="171">
        <f>'1. RB-i'!K380</f>
        <v>0</v>
      </c>
      <c r="M108" s="171">
        <f>'1. RB-i'!L380</f>
        <v>0</v>
      </c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171">
        <f>'1. RB-i'!M380</f>
        <v>0</v>
      </c>
      <c r="Y108" s="171"/>
      <c r="Z108" s="171"/>
      <c r="AA108" s="171">
        <f>'1. RB-i'!N380</f>
        <v>0</v>
      </c>
      <c r="AB108" s="171"/>
      <c r="AC108" s="171"/>
      <c r="AD108" s="171"/>
      <c r="AE108" s="171"/>
      <c r="AF108" s="171"/>
      <c r="AG108" s="171"/>
      <c r="AH108" s="171"/>
      <c r="AI108" s="62"/>
      <c r="AJ108" s="171">
        <f>'1. RB-i'!I380</f>
        <v>0</v>
      </c>
      <c r="AK108" s="62">
        <f t="shared" si="23"/>
        <v>0</v>
      </c>
      <c r="AL108" s="62">
        <f t="shared" si="24"/>
        <v>0</v>
      </c>
    </row>
    <row r="109" spans="1:38" x14ac:dyDescent="0.3">
      <c r="A109" s="511">
        <f t="shared" si="25"/>
        <v>380</v>
      </c>
      <c r="B109" s="504" t="s">
        <v>456</v>
      </c>
      <c r="C109" s="62"/>
      <c r="D109" s="171">
        <f>'1. RB-i'!J381</f>
        <v>0</v>
      </c>
      <c r="E109" s="171"/>
      <c r="F109" s="678"/>
      <c r="G109" s="678"/>
      <c r="H109" s="678"/>
      <c r="I109" s="171"/>
      <c r="J109" s="171"/>
      <c r="K109" s="171"/>
      <c r="L109" s="171">
        <f>'1. RB-i'!K381</f>
        <v>0</v>
      </c>
      <c r="M109" s="171">
        <f>'1. RB-i'!L381</f>
        <v>0</v>
      </c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171">
        <f>'1. RB-i'!M381</f>
        <v>0</v>
      </c>
      <c r="Y109" s="171"/>
      <c r="Z109" s="171"/>
      <c r="AA109" s="171">
        <f>'1. RB-i'!N381</f>
        <v>0</v>
      </c>
      <c r="AB109" s="171"/>
      <c r="AC109" s="171"/>
      <c r="AD109" s="171"/>
      <c r="AE109" s="171"/>
      <c r="AF109" s="171"/>
      <c r="AG109" s="171"/>
      <c r="AH109" s="171"/>
      <c r="AI109" s="62"/>
      <c r="AJ109" s="171">
        <f>'1. RB-i'!I381</f>
        <v>0</v>
      </c>
      <c r="AK109" s="62">
        <f t="shared" si="23"/>
        <v>0</v>
      </c>
      <c r="AL109" s="62">
        <f t="shared" si="24"/>
        <v>0</v>
      </c>
    </row>
    <row r="110" spans="1:38" x14ac:dyDescent="0.3">
      <c r="A110" s="511">
        <f t="shared" si="25"/>
        <v>381</v>
      </c>
      <c r="B110" s="504" t="s">
        <v>475</v>
      </c>
      <c r="C110" s="62"/>
      <c r="D110" s="171">
        <f>'1. RB-i'!J382</f>
        <v>0</v>
      </c>
      <c r="E110" s="171"/>
      <c r="F110" s="678"/>
      <c r="G110" s="678"/>
      <c r="H110" s="678"/>
      <c r="I110" s="171"/>
      <c r="J110" s="171"/>
      <c r="K110" s="171"/>
      <c r="L110" s="171">
        <f>'1. RB-i'!K382</f>
        <v>0</v>
      </c>
      <c r="M110" s="171">
        <f>'1. RB-i'!L382</f>
        <v>0</v>
      </c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171">
        <f>'1. RB-i'!M382</f>
        <v>0</v>
      </c>
      <c r="Y110" s="171"/>
      <c r="Z110" s="171"/>
      <c r="AA110" s="171">
        <f>'1. RB-i'!N382</f>
        <v>0</v>
      </c>
      <c r="AB110" s="171"/>
      <c r="AC110" s="171"/>
      <c r="AD110" s="171"/>
      <c r="AE110" s="171"/>
      <c r="AF110" s="171"/>
      <c r="AG110" s="171"/>
      <c r="AH110" s="171"/>
      <c r="AI110" s="62"/>
      <c r="AJ110" s="171">
        <f>'1. RB-i'!I382</f>
        <v>0</v>
      </c>
      <c r="AK110" s="62">
        <f t="shared" ref="AK110" si="26">SUM(F110:J110,L110,N110:W110,Y110:Z110,AA110,AC110:AE110,AG110:AH110)</f>
        <v>0</v>
      </c>
      <c r="AL110" s="62">
        <f t="shared" si="24"/>
        <v>0</v>
      </c>
    </row>
    <row r="111" spans="1:38" x14ac:dyDescent="0.3">
      <c r="A111" s="504">
        <v>383</v>
      </c>
      <c r="B111" s="504" t="s">
        <v>476</v>
      </c>
      <c r="C111" s="62"/>
      <c r="D111" s="171">
        <f>'1. RB-i'!J383</f>
        <v>0</v>
      </c>
      <c r="E111" s="171"/>
      <c r="F111" s="678"/>
      <c r="G111" s="678"/>
      <c r="H111" s="678"/>
      <c r="I111" s="171"/>
      <c r="J111" s="171"/>
      <c r="K111" s="171"/>
      <c r="L111" s="171">
        <f>'1. RB-i'!K383</f>
        <v>0</v>
      </c>
      <c r="M111" s="171">
        <f>'1. RB-i'!L383</f>
        <v>0</v>
      </c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171">
        <f>'1. RB-i'!M383</f>
        <v>0</v>
      </c>
      <c r="Y111" s="171"/>
      <c r="Z111" s="171"/>
      <c r="AA111" s="171">
        <f>'1. RB-i'!N383</f>
        <v>0</v>
      </c>
      <c r="AB111" s="171"/>
      <c r="AC111" s="171"/>
      <c r="AD111" s="171"/>
      <c r="AE111" s="171"/>
      <c r="AF111" s="171"/>
      <c r="AG111" s="171"/>
      <c r="AH111" s="171"/>
      <c r="AI111" s="62"/>
      <c r="AJ111" s="171">
        <f>'1. RB-i'!I383</f>
        <v>0</v>
      </c>
      <c r="AK111" s="62">
        <f t="shared" si="23"/>
        <v>0</v>
      </c>
      <c r="AL111" s="62">
        <f t="shared" si="24"/>
        <v>0</v>
      </c>
    </row>
    <row r="112" spans="1:38" x14ac:dyDescent="0.3">
      <c r="A112" s="504">
        <v>385</v>
      </c>
      <c r="B112" s="504" t="s">
        <v>477</v>
      </c>
      <c r="C112" s="62"/>
      <c r="D112" s="171">
        <f>'1. RB-i'!J384</f>
        <v>0</v>
      </c>
      <c r="E112" s="171"/>
      <c r="F112" s="678"/>
      <c r="G112" s="678"/>
      <c r="H112" s="678"/>
      <c r="I112" s="171"/>
      <c r="J112" s="171"/>
      <c r="K112" s="171"/>
      <c r="L112" s="171">
        <f>'1. RB-i'!K384</f>
        <v>0</v>
      </c>
      <c r="M112" s="171">
        <f>'1. RB-i'!L384</f>
        <v>0</v>
      </c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171">
        <f>'1. RB-i'!M384</f>
        <v>0</v>
      </c>
      <c r="Y112" s="171"/>
      <c r="Z112" s="171"/>
      <c r="AA112" s="171">
        <f>'1. RB-i'!N384</f>
        <v>0</v>
      </c>
      <c r="AB112" s="171"/>
      <c r="AC112" s="171"/>
      <c r="AD112" s="171"/>
      <c r="AE112" s="171"/>
      <c r="AF112" s="171"/>
      <c r="AG112" s="171"/>
      <c r="AH112" s="171"/>
      <c r="AI112" s="62"/>
      <c r="AJ112" s="171">
        <f>'1. RB-i'!I384</f>
        <v>0</v>
      </c>
      <c r="AK112" s="62">
        <f t="shared" si="23"/>
        <v>0</v>
      </c>
      <c r="AL112" s="62">
        <f t="shared" si="24"/>
        <v>0</v>
      </c>
    </row>
    <row r="113" spans="1:38" x14ac:dyDescent="0.3">
      <c r="A113" s="504">
        <v>387</v>
      </c>
      <c r="B113" s="504" t="s">
        <v>478</v>
      </c>
      <c r="C113" s="62"/>
      <c r="D113" s="62"/>
      <c r="E113" s="62"/>
      <c r="F113" s="677"/>
      <c r="G113" s="677"/>
      <c r="H113" s="677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</row>
    <row r="114" spans="1:38" x14ac:dyDescent="0.3">
      <c r="A114" s="504"/>
      <c r="B114" s="504"/>
      <c r="C114" s="62"/>
      <c r="D114" s="62"/>
      <c r="E114" s="62"/>
      <c r="F114" s="677"/>
      <c r="G114" s="677"/>
      <c r="H114" s="677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</row>
    <row r="115" spans="1:38" x14ac:dyDescent="0.3">
      <c r="A115" s="62"/>
      <c r="B115" s="498" t="s">
        <v>479</v>
      </c>
      <c r="C115" s="498"/>
      <c r="D115" s="62"/>
      <c r="E115" s="62"/>
      <c r="F115" s="677"/>
      <c r="G115" s="677"/>
      <c r="H115" s="677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</row>
    <row r="116" spans="1:38" x14ac:dyDescent="0.3">
      <c r="A116" s="62"/>
      <c r="B116" s="498"/>
      <c r="C116" s="498"/>
      <c r="D116" s="62"/>
      <c r="E116" s="62"/>
      <c r="F116" s="677"/>
      <c r="G116" s="677"/>
      <c r="H116" s="677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</row>
    <row r="117" spans="1:38" x14ac:dyDescent="0.3">
      <c r="A117" s="499" t="s">
        <v>480</v>
      </c>
      <c r="B117" s="62"/>
      <c r="C117" s="62"/>
      <c r="D117" s="62"/>
      <c r="E117" s="62"/>
      <c r="F117" s="677"/>
      <c r="G117" s="677"/>
      <c r="H117" s="677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</row>
    <row r="118" spans="1:38" x14ac:dyDescent="0.3">
      <c r="A118" s="62" t="s">
        <v>906</v>
      </c>
      <c r="B118" s="62"/>
      <c r="C118" s="489"/>
      <c r="D118" s="171">
        <f>D117+D96</f>
        <v>3257985533.4857597</v>
      </c>
      <c r="E118" s="171">
        <f>E117+E96</f>
        <v>3257985533.4857597</v>
      </c>
      <c r="F118" s="678"/>
      <c r="G118" s="678"/>
      <c r="H118" s="678"/>
      <c r="I118" s="171">
        <f>I117+I96</f>
        <v>0</v>
      </c>
      <c r="J118" s="171">
        <f>J117+J96</f>
        <v>0</v>
      </c>
      <c r="K118" s="171"/>
      <c r="L118" s="171">
        <f t="shared" ref="L118:AH118" si="27">L117+L96</f>
        <v>774505505.26390636</v>
      </c>
      <c r="M118" s="171">
        <f t="shared" si="27"/>
        <v>2108471040.3903334</v>
      </c>
      <c r="N118" s="171">
        <f t="shared" si="27"/>
        <v>341845222.53033376</v>
      </c>
      <c r="O118" s="171">
        <f t="shared" si="27"/>
        <v>597523210.07080626</v>
      </c>
      <c r="P118" s="171">
        <f t="shared" si="27"/>
        <v>159560465.3049843</v>
      </c>
      <c r="Q118" s="171">
        <f t="shared" si="27"/>
        <v>174453717.5478189</v>
      </c>
      <c r="R118" s="171">
        <f t="shared" si="27"/>
        <v>327478213.15558767</v>
      </c>
      <c r="S118" s="171">
        <f t="shared" si="27"/>
        <v>80642631.368211746</v>
      </c>
      <c r="T118" s="171">
        <f t="shared" si="27"/>
        <v>190703738.73218107</v>
      </c>
      <c r="U118" s="171">
        <f t="shared" si="27"/>
        <v>128955756.09999993</v>
      </c>
      <c r="V118" s="171">
        <f t="shared" si="27"/>
        <v>107308085.5804099</v>
      </c>
      <c r="W118" s="171">
        <f t="shared" si="27"/>
        <v>0</v>
      </c>
      <c r="X118" s="171">
        <f t="shared" si="27"/>
        <v>141514308.95999998</v>
      </c>
      <c r="Y118" s="171">
        <f t="shared" si="27"/>
        <v>141514308.95999998</v>
      </c>
      <c r="Z118" s="171">
        <f t="shared" si="27"/>
        <v>0</v>
      </c>
      <c r="AA118" s="171">
        <f t="shared" si="27"/>
        <v>0</v>
      </c>
      <c r="AB118" s="171">
        <f t="shared" si="27"/>
        <v>0</v>
      </c>
      <c r="AC118" s="171">
        <f t="shared" si="27"/>
        <v>0</v>
      </c>
      <c r="AD118" s="171">
        <f t="shared" si="27"/>
        <v>0</v>
      </c>
      <c r="AE118" s="171">
        <f t="shared" si="27"/>
        <v>0</v>
      </c>
      <c r="AF118" s="171">
        <f t="shared" si="27"/>
        <v>0</v>
      </c>
      <c r="AG118" s="171">
        <f t="shared" si="27"/>
        <v>0</v>
      </c>
      <c r="AH118" s="171">
        <f t="shared" si="27"/>
        <v>0</v>
      </c>
      <c r="AI118" s="62"/>
      <c r="AJ118" s="171">
        <f>'1. RB-i'!I390</f>
        <v>6282476388.1000004</v>
      </c>
      <c r="AK118" s="62">
        <f>SUM(E118,I118:J118,L118,N118:W118,Y118:Z118,AA118,AC118:AE118,AG118:AH118)</f>
        <v>6282476388.1000013</v>
      </c>
      <c r="AL118" s="62">
        <f t="shared" ref="AL118" si="28">AJ118-AK118</f>
        <v>0</v>
      </c>
    </row>
    <row r="119" spans="1:38" x14ac:dyDescent="0.3">
      <c r="A119" s="499" t="s">
        <v>481</v>
      </c>
      <c r="B119" s="62"/>
      <c r="C119" s="62"/>
      <c r="D119" s="62"/>
      <c r="E119" s="62"/>
      <c r="F119" s="677"/>
      <c r="G119" s="677"/>
      <c r="H119" s="677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</row>
    <row r="120" spans="1:38" x14ac:dyDescent="0.3">
      <c r="A120" s="498"/>
      <c r="B120" s="62"/>
      <c r="C120" s="62"/>
      <c r="D120" s="62"/>
      <c r="E120" s="62"/>
      <c r="F120" s="677"/>
      <c r="G120" s="677"/>
      <c r="H120" s="677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</row>
    <row r="121" spans="1:38" x14ac:dyDescent="0.3">
      <c r="A121" s="62" t="s">
        <v>482</v>
      </c>
      <c r="B121" s="62" t="s">
        <v>52</v>
      </c>
      <c r="C121" s="62"/>
      <c r="D121" s="171">
        <f>'1. RB-i'!J393</f>
        <v>13260811.869247928</v>
      </c>
      <c r="E121" s="171">
        <f>$D121*'2c. RB-sfaf'!G121/'2c. RB-sfaf'!$F121</f>
        <v>8717871.606931109</v>
      </c>
      <c r="F121" s="678"/>
      <c r="G121" s="678"/>
      <c r="H121" s="678"/>
      <c r="I121" s="171">
        <f>$D121*'2c. RB-sfaf'!K121/'2c. RB-sfaf'!$F121</f>
        <v>4542940.2623168202</v>
      </c>
      <c r="J121" s="171">
        <f>$D121*'2c. RB-sfaf'!L121/'2c. RB-sfaf'!$F121</f>
        <v>0</v>
      </c>
      <c r="K121" s="171"/>
      <c r="L121" s="171">
        <f>'1. RB-i'!K393</f>
        <v>6012518.9972141823</v>
      </c>
      <c r="M121" s="171">
        <f>'1. RB-i'!L393</f>
        <v>10653992.37854963</v>
      </c>
      <c r="N121" s="171">
        <f>$M121*'2c. RB-sfaf'!P121/'2c. RB-sfaf'!$O121</f>
        <v>3346123.6942400993</v>
      </c>
      <c r="O121" s="171">
        <f>$M121*'2c. RB-sfaf'!Q121/'2c. RB-sfaf'!$O121</f>
        <v>3047172.9200614486</v>
      </c>
      <c r="P121" s="171">
        <f>$M121*'2c. RB-sfaf'!R121/'2c. RB-sfaf'!$O121</f>
        <v>838728.55509259587</v>
      </c>
      <c r="Q121" s="171">
        <f>$M121*'2c. RB-sfaf'!S121/'2c. RB-sfaf'!$O121</f>
        <v>164270.86125696352</v>
      </c>
      <c r="R121" s="171">
        <f>$M121*'2c. RB-sfaf'!T121/'2c. RB-sfaf'!$O121</f>
        <v>2165669.0239172215</v>
      </c>
      <c r="S121" s="171">
        <f>$M121*'2c. RB-sfaf'!U121/'2c. RB-sfaf'!$O121</f>
        <v>576377.67868488294</v>
      </c>
      <c r="T121" s="171">
        <f>$M121*'2c. RB-sfaf'!V121/'2c. RB-sfaf'!$O121</f>
        <v>179572.36937568488</v>
      </c>
      <c r="U121" s="171">
        <f>$M121*'2c. RB-sfaf'!W121/'2c. RB-sfaf'!$O121</f>
        <v>0</v>
      </c>
      <c r="V121" s="171">
        <f>$M121*'2c. RB-sfaf'!X121/'2c. RB-sfaf'!$O121</f>
        <v>302581.50709863158</v>
      </c>
      <c r="W121" s="171">
        <f>$M121*'2c. RB-sfaf'!Y121/'2c. RB-sfaf'!$O121</f>
        <v>33495.768822102516</v>
      </c>
      <c r="X121" s="171">
        <f>'1. RB-i'!M393</f>
        <v>2352665.125911945</v>
      </c>
      <c r="Y121" s="171">
        <f>$X121*'2c. RB-sfaf'!AA121/'2c. RB-sfaf'!$Z121</f>
        <v>1143675.3414290801</v>
      </c>
      <c r="Z121" s="171">
        <f>$X121*'2c. RB-sfaf'!AB121/'2c. RB-sfaf'!$Z121</f>
        <v>1208989.7844828649</v>
      </c>
      <c r="AA121" s="171">
        <f>'1. RB-i'!N393</f>
        <v>628377.95203641406</v>
      </c>
      <c r="AB121" s="171">
        <f>'1. RB-i'!O393</f>
        <v>3209333.6586267208</v>
      </c>
      <c r="AC121" s="481">
        <f>$AB121*'2c. RB-sfaf'!AE121/'2c. RB-sfaf'!$AD121</f>
        <v>2912181.481308457</v>
      </c>
      <c r="AD121" s="481">
        <f>$AB121*'2c. RB-sfaf'!AF121/'2c. RB-sfaf'!$AD121</f>
        <v>297152.17731826386</v>
      </c>
      <c r="AE121" s="481">
        <f>$AB121*'2c. RB-sfaf'!AG121/'2c. RB-sfaf'!$AD121</f>
        <v>0</v>
      </c>
      <c r="AF121" s="171">
        <f>'1. RB-i'!P393</f>
        <v>455459.21487528749</v>
      </c>
      <c r="AG121" s="481">
        <f>$AF121*'2c. RB-sfaf'!AI121/'2c. RB-sfaf'!$AH121</f>
        <v>455459.21487528749</v>
      </c>
      <c r="AH121" s="171">
        <f>'1. RB-i'!Q393</f>
        <v>0</v>
      </c>
      <c r="AI121" s="62"/>
      <c r="AJ121" s="171">
        <f>'1. RB-i'!I393</f>
        <v>36573159.195255578</v>
      </c>
      <c r="AK121" s="62">
        <f t="shared" ref="AK121:AK130" si="29">SUM(E121,I121:J121,L121,N121:W121,Y121:Z121,AA121,AC121:AE121,AG121:AH121)</f>
        <v>36573159.196462117</v>
      </c>
      <c r="AL121" s="62">
        <f t="shared" ref="AL121:AL125" si="30">AJ121-AK121</f>
        <v>-1.2065395712852478E-3</v>
      </c>
    </row>
    <row r="122" spans="1:38" x14ac:dyDescent="0.3">
      <c r="A122" s="62" t="s">
        <v>483</v>
      </c>
      <c r="B122" s="62" t="s">
        <v>92</v>
      </c>
      <c r="C122" s="62"/>
      <c r="D122" s="171">
        <f>'1. RB-i'!J394</f>
        <v>99701077.972879156</v>
      </c>
      <c r="E122" s="171">
        <f>$D122*'2c. RB-sfaf'!G122/'2c. RB-sfaf'!$F122</f>
        <v>65545096.741462357</v>
      </c>
      <c r="F122" s="678"/>
      <c r="G122" s="678"/>
      <c r="H122" s="678"/>
      <c r="I122" s="171">
        <f>$D122*'2c. RB-sfaf'!K122/'2c. RB-sfaf'!$F122</f>
        <v>34155981.231416799</v>
      </c>
      <c r="J122" s="171">
        <f>$D122*'2c. RB-sfaf'!L122/'2c. RB-sfaf'!$F122</f>
        <v>0</v>
      </c>
      <c r="K122" s="171"/>
      <c r="L122" s="171">
        <f>'1. RB-i'!K394</f>
        <v>3592952.2377017797</v>
      </c>
      <c r="M122" s="171">
        <f>'1. RB-i'!L394</f>
        <v>15337578.268899975</v>
      </c>
      <c r="N122" s="171">
        <f>$M122*'2c. RB-sfaf'!P122/'2c. RB-sfaf'!$O122</f>
        <v>4817108.2007864956</v>
      </c>
      <c r="O122" s="171">
        <f>$M122*'2c. RB-sfaf'!Q122/'2c. RB-sfaf'!$O122</f>
        <v>4386736.1172898971</v>
      </c>
      <c r="P122" s="171">
        <f>$M122*'2c. RB-sfaf'!R122/'2c. RB-sfaf'!$O122</f>
        <v>1207440.7792889103</v>
      </c>
      <c r="Q122" s="171">
        <f>$M122*'2c. RB-sfaf'!S122/'2c. RB-sfaf'!$O122</f>
        <v>236485.73251291161</v>
      </c>
      <c r="R122" s="171">
        <f>$M122*'2c. RB-sfaf'!T122/'2c. RB-sfaf'!$O122</f>
        <v>3117715.5923012253</v>
      </c>
      <c r="S122" s="171">
        <f>$M122*'2c. RB-sfaf'!U122/'2c. RB-sfaf'!$O122</f>
        <v>829758.22069057368</v>
      </c>
      <c r="T122" s="171">
        <f>$M122*'2c. RB-sfaf'!V122/'2c. RB-sfaf'!$O122</f>
        <v>258513.91406817627</v>
      </c>
      <c r="U122" s="171">
        <f>$M122*'2c. RB-sfaf'!W122/'2c. RB-sfaf'!$O122</f>
        <v>0</v>
      </c>
      <c r="V122" s="171">
        <f>$M122*'2c. RB-sfaf'!X122/'2c. RB-sfaf'!$O122</f>
        <v>435598.91756546899</v>
      </c>
      <c r="W122" s="171">
        <f>$M122*'2c. RB-sfaf'!Y122/'2c. RB-sfaf'!$O122</f>
        <v>48220.794396317651</v>
      </c>
      <c r="X122" s="171">
        <f>'1. RB-i'!M394</f>
        <v>3386916.775145859</v>
      </c>
      <c r="Y122" s="171">
        <f>$X122*'2c. RB-sfaf'!AA122/'2c. RB-sfaf'!$Z122</f>
        <v>1646444.7730126283</v>
      </c>
      <c r="Z122" s="171">
        <f>$X122*'2c. RB-sfaf'!AB122/'2c. RB-sfaf'!$Z122</f>
        <v>1740472.0021332307</v>
      </c>
      <c r="AA122" s="171">
        <f>'1. RB-i'!N394</f>
        <v>904618.25758520083</v>
      </c>
      <c r="AB122" s="171">
        <f>'1. RB-i'!O394</f>
        <v>4620184.0991839934</v>
      </c>
      <c r="AC122" s="481">
        <f>$AB122*'2c. RB-sfaf'!AE122/'2c. RB-sfaf'!$AD122</f>
        <v>4192401.2910632538</v>
      </c>
      <c r="AD122" s="481">
        <f>$AB122*'2c. RB-sfaf'!AF122/'2c. RB-sfaf'!$AD122</f>
        <v>427782.80812073947</v>
      </c>
      <c r="AE122" s="481">
        <f>$AB122*'2c. RB-sfaf'!AG122/'2c. RB-sfaf'!$AD122</f>
        <v>0</v>
      </c>
      <c r="AF122" s="171">
        <f>'1. RB-i'!P394</f>
        <v>655682.96918496932</v>
      </c>
      <c r="AG122" s="481">
        <f>$AF122*'2c. RB-sfaf'!AI122/'2c. RB-sfaf'!$AH122</f>
        <v>655682.96918496932</v>
      </c>
      <c r="AH122" s="171">
        <f>'1. RB-i'!Q394</f>
        <v>0</v>
      </c>
      <c r="AI122" s="62"/>
      <c r="AJ122" s="171">
        <f>'1. RB-i'!I394</f>
        <v>128199010.76651037</v>
      </c>
      <c r="AK122" s="62">
        <f t="shared" si="29"/>
        <v>128199010.58058091</v>
      </c>
      <c r="AL122" s="62">
        <f t="shared" si="30"/>
        <v>0.18592946231365204</v>
      </c>
    </row>
    <row r="123" spans="1:38" x14ac:dyDescent="0.3">
      <c r="A123" s="62" t="s">
        <v>484</v>
      </c>
      <c r="B123" s="62" t="s">
        <v>93</v>
      </c>
      <c r="C123" s="62"/>
      <c r="D123" s="171">
        <f>'1. RB-i'!J395</f>
        <v>95203850.060310394</v>
      </c>
      <c r="E123" s="171">
        <f>$D123*'2c. RB-sfaf'!G123/'2c. RB-sfaf'!$F123</f>
        <v>62588546.575797066</v>
      </c>
      <c r="F123" s="678"/>
      <c r="G123" s="678"/>
      <c r="H123" s="678"/>
      <c r="I123" s="171">
        <f>$D123*'2c. RB-sfaf'!K123/'2c. RB-sfaf'!$F123</f>
        <v>32615303.484513327</v>
      </c>
      <c r="J123" s="171">
        <f>$D123*'2c. RB-sfaf'!L123/'2c. RB-sfaf'!$F123</f>
        <v>0</v>
      </c>
      <c r="K123" s="171"/>
      <c r="L123" s="171">
        <f>'1. RB-i'!K395</f>
        <v>35910983.682822116</v>
      </c>
      <c r="M123" s="171">
        <f>'1. RB-i'!L395</f>
        <v>41101074.532127209</v>
      </c>
      <c r="N123" s="171">
        <f>$M123*'2c. RB-sfaf'!P123/'2c. RB-sfaf'!$O123</f>
        <v>12908708.253590992</v>
      </c>
      <c r="O123" s="171">
        <f>$M123*'2c. RB-sfaf'!Q123/'2c. RB-sfaf'!$O123</f>
        <v>11755413.074246541</v>
      </c>
      <c r="P123" s="171">
        <f>$M123*'2c. RB-sfaf'!R123/'2c. RB-sfaf'!$O123</f>
        <v>3235655.10751539</v>
      </c>
      <c r="Q123" s="171">
        <f>$M123*'2c. RB-sfaf'!S123/'2c. RB-sfaf'!$O123</f>
        <v>633725.71258571919</v>
      </c>
      <c r="R123" s="171">
        <f>$M123*'2c. RB-sfaf'!T123/'2c. RB-sfaf'!$O123</f>
        <v>8354738.8435487477</v>
      </c>
      <c r="S123" s="171">
        <f>$M123*'2c. RB-sfaf'!U123/'2c. RB-sfaf'!$O123</f>
        <v>2223555.3667166056</v>
      </c>
      <c r="T123" s="171">
        <f>$M123*'2c. RB-sfaf'!V123/'2c. RB-sfaf'!$O123</f>
        <v>692756.01815527631</v>
      </c>
      <c r="U123" s="171">
        <f>$M123*'2c. RB-sfaf'!W123/'2c. RB-sfaf'!$O123</f>
        <v>0</v>
      </c>
      <c r="V123" s="171">
        <f>$M123*'2c. RB-sfaf'!X123/'2c. RB-sfaf'!$O123</f>
        <v>1167301.8558135345</v>
      </c>
      <c r="W123" s="171">
        <f>$M123*'2c. RB-sfaf'!Y123/'2c. RB-sfaf'!$O123</f>
        <v>129220.29995440597</v>
      </c>
      <c r="X123" s="171">
        <f>'1. RB-i'!M395</f>
        <v>9076134.2089872062</v>
      </c>
      <c r="Y123" s="171">
        <f>$X123*'2c. RB-sfaf'!AA123/'2c. RB-sfaf'!$Z123</f>
        <v>4412081.7603805903</v>
      </c>
      <c r="Z123" s="171">
        <f>$X123*'2c. RB-sfaf'!AB123/'2c. RB-sfaf'!$Z123</f>
        <v>4664052.4486066159</v>
      </c>
      <c r="AA123" s="171">
        <f>'1. RB-i'!N395</f>
        <v>2424162.5226795999</v>
      </c>
      <c r="AB123" s="171">
        <f>'1. RB-i'!O395</f>
        <v>12380998.335164791</v>
      </c>
      <c r="AC123" s="481">
        <f>$AB123*'2c. RB-sfaf'!AE123/'2c. RB-sfaf'!$AD123</f>
        <v>11234641.800131818</v>
      </c>
      <c r="AD123" s="481">
        <f>$AB123*'2c. RB-sfaf'!AF123/'2c. RB-sfaf'!$AD123</f>
        <v>1146356.5350329715</v>
      </c>
      <c r="AE123" s="481">
        <f>$AB123*'2c. RB-sfaf'!AG123/'2c. RB-sfaf'!$AD123</f>
        <v>0</v>
      </c>
      <c r="AF123" s="171">
        <f>'1. RB-i'!P395</f>
        <v>1757074.9510411927</v>
      </c>
      <c r="AG123" s="481">
        <f>$AF123*'2c. RB-sfaf'!AI123/'2c. RB-sfaf'!$AH123</f>
        <v>1757074.9510411927</v>
      </c>
      <c r="AH123" s="171">
        <f>'1. RB-i'!Q395</f>
        <v>0</v>
      </c>
      <c r="AI123" s="62"/>
      <c r="AJ123" s="171">
        <f>'1. RB-i'!I395</f>
        <v>197854278.49017608</v>
      </c>
      <c r="AK123" s="62">
        <f t="shared" si="29"/>
        <v>197854278.29313251</v>
      </c>
      <c r="AL123" s="62">
        <f>AJ123-AK123</f>
        <v>0.19704356789588928</v>
      </c>
    </row>
    <row r="124" spans="1:38" x14ac:dyDescent="0.3">
      <c r="A124" s="62" t="s">
        <v>485</v>
      </c>
      <c r="B124" s="62" t="s">
        <v>94</v>
      </c>
      <c r="C124" s="62"/>
      <c r="D124" s="171">
        <f>'1. RB-i'!J396</f>
        <v>8548418.6546524409</v>
      </c>
      <c r="E124" s="171">
        <f>$D124*'2c. RB-sfaf'!G124/'2c. RB-sfaf'!$F124</f>
        <v>5619868.3013049392</v>
      </c>
      <c r="F124" s="678"/>
      <c r="G124" s="678"/>
      <c r="H124" s="678"/>
      <c r="I124" s="171">
        <f>$D124*'2c. RB-sfaf'!K124/'2c. RB-sfaf'!$F124</f>
        <v>2928550.3533475008</v>
      </c>
      <c r="J124" s="171">
        <f>$D124*'2c. RB-sfaf'!L124/'2c. RB-sfaf'!$F124</f>
        <v>0</v>
      </c>
      <c r="K124" s="171"/>
      <c r="L124" s="171">
        <f>'1. RB-i'!K396</f>
        <v>12699153.984235466</v>
      </c>
      <c r="M124" s="171">
        <f>'1. RB-i'!L396</f>
        <v>27369747.549965929</v>
      </c>
      <c r="N124" s="171">
        <f>$M124*'2c. RB-sfaf'!P124/'2c. RB-sfaf'!$O124</f>
        <v>8596079.0592172723</v>
      </c>
      <c r="O124" s="171">
        <f>$M124*'2c. RB-sfaf'!Q124/'2c. RB-sfaf'!$O124</f>
        <v>7828084.5902508516</v>
      </c>
      <c r="P124" s="171">
        <f>$M124*'2c. RB-sfaf'!R124/'2c. RB-sfaf'!$O124</f>
        <v>2154665.4061861741</v>
      </c>
      <c r="Q124" s="171">
        <f>$M124*'2c. RB-sfaf'!S124/'2c. RB-sfaf'!$O124</f>
        <v>422006.30924711016</v>
      </c>
      <c r="R124" s="171">
        <f>$M124*'2c. RB-sfaf'!T124/'2c. RB-sfaf'!$O124</f>
        <v>5563530.77375344</v>
      </c>
      <c r="S124" s="171">
        <f>$M124*'2c. RB-sfaf'!U124/'2c. RB-sfaf'!$O124</f>
        <v>1480694.8417573564</v>
      </c>
      <c r="T124" s="171">
        <f>$M124*'2c. RB-sfaf'!V124/'2c. RB-sfaf'!$O124</f>
        <v>461315.36818602512</v>
      </c>
      <c r="U124" s="171">
        <f>$M124*'2c. RB-sfaf'!W124/'2c. RB-sfaf'!$O124</f>
        <v>0</v>
      </c>
      <c r="V124" s="171">
        <f>$M124*'2c. RB-sfaf'!X124/'2c. RB-sfaf'!$O124</f>
        <v>777321.69953975268</v>
      </c>
      <c r="W124" s="171">
        <f>$M124*'2c. RB-sfaf'!Y124/'2c. RB-sfaf'!$O124</f>
        <v>86049.501827949411</v>
      </c>
      <c r="X124" s="171">
        <f>'1. RB-i'!M396</f>
        <v>6043917.4609757587</v>
      </c>
      <c r="Y124" s="171">
        <f>$X124*'2c. RB-sfaf'!AA124/'2c. RB-sfaf'!$Z124</f>
        <v>2938063.4284155834</v>
      </c>
      <c r="Z124" s="171">
        <f>$X124*'2c. RB-sfaf'!AB124/'2c. RB-sfaf'!$Z124</f>
        <v>3105854.0325601758</v>
      </c>
      <c r="AA124" s="171">
        <f>'1. RB-i'!N396</f>
        <v>1614281.7924131614</v>
      </c>
      <c r="AB124" s="171">
        <f>'1. RB-i'!O396</f>
        <v>8244670.0653806664</v>
      </c>
      <c r="AC124" s="481">
        <f>$AB124*'2c. RB-sfaf'!AE124/'2c. RB-sfaf'!$AD124</f>
        <v>7481296.1311643953</v>
      </c>
      <c r="AD124" s="481">
        <f>$AB124*'2c. RB-sfaf'!AF124/'2c. RB-sfaf'!$AD124</f>
        <v>763373.93421627081</v>
      </c>
      <c r="AE124" s="481">
        <f>$AB124*'2c. RB-sfaf'!AG124/'2c. RB-sfaf'!$AD124</f>
        <v>0</v>
      </c>
      <c r="AF124" s="171">
        <f>'1. RB-i'!P396</f>
        <v>1170059.3812644836</v>
      </c>
      <c r="AG124" s="481">
        <f>$AF124*'2c. RB-sfaf'!AI124/'2c. RB-sfaf'!$AH124</f>
        <v>1170059.3812644836</v>
      </c>
      <c r="AH124" s="171">
        <f>'1. RB-i'!Q396</f>
        <v>0</v>
      </c>
      <c r="AI124" s="62"/>
      <c r="AJ124" s="171">
        <f>'1. RB-i'!I396</f>
        <v>65690249.262789488</v>
      </c>
      <c r="AK124" s="62">
        <f t="shared" si="29"/>
        <v>65690248.888887905</v>
      </c>
      <c r="AL124" s="62">
        <f>AJ124-AK124</f>
        <v>0.37390158325433731</v>
      </c>
    </row>
    <row r="125" spans="1:38" x14ac:dyDescent="0.3">
      <c r="A125" s="62" t="s">
        <v>486</v>
      </c>
      <c r="B125" s="62" t="s">
        <v>53</v>
      </c>
      <c r="C125" s="62"/>
      <c r="D125" s="171">
        <f>'1. RB-i'!J397</f>
        <v>580119.60425478977</v>
      </c>
      <c r="E125" s="171">
        <f>$D125*'2c. RB-sfaf'!G125/'2c. RB-sfaf'!$F125</f>
        <v>580119.60425478977</v>
      </c>
      <c r="F125" s="678"/>
      <c r="G125" s="678"/>
      <c r="H125" s="678"/>
      <c r="I125" s="171">
        <f>$D125*'2c. RB-sfaf'!K125/'2c. RB-sfaf'!$F125</f>
        <v>0</v>
      </c>
      <c r="J125" s="171">
        <f>$D125*'2c. RB-sfaf'!L125/'2c. RB-sfaf'!$F125</f>
        <v>0</v>
      </c>
      <c r="K125" s="171"/>
      <c r="L125" s="171">
        <f>'1. RB-i'!K397</f>
        <v>105231.12194578032</v>
      </c>
      <c r="M125" s="171">
        <f>'1. RB-i'!L397</f>
        <v>69496.478680828965</v>
      </c>
      <c r="N125" s="171">
        <f>$M125*'2c. RB-sfaf'!P125/'2c. RB-sfaf'!$O125</f>
        <v>11267.424956106828</v>
      </c>
      <c r="O125" s="171">
        <f>$M125*'2c. RB-sfaf'!Q125/'2c. RB-sfaf'!$O125</f>
        <v>19694.725815299204</v>
      </c>
      <c r="P125" s="171">
        <f>$M125*'2c. RB-sfaf'!R125/'2c. RB-sfaf'!$O125</f>
        <v>5259.2092862314785</v>
      </c>
      <c r="Q125" s="171">
        <f>$M125*'2c. RB-sfaf'!S125/'2c. RB-sfaf'!$O125</f>
        <v>5750.0998733702772</v>
      </c>
      <c r="R125" s="171">
        <f>$M125*'2c. RB-sfaf'!T125/'2c. RB-sfaf'!$O125</f>
        <v>10793.87965166932</v>
      </c>
      <c r="S125" s="171">
        <f>$M125*'2c. RB-sfaf'!U125/'2c. RB-sfaf'!$O125</f>
        <v>2658.0298255409562</v>
      </c>
      <c r="T125" s="171">
        <f>$M125*'2c. RB-sfaf'!V125/'2c. RB-sfaf'!$O125</f>
        <v>6285.7103840998807</v>
      </c>
      <c r="U125" s="171">
        <f>$M125*'2c. RB-sfaf'!W125/'2c. RB-sfaf'!$O125</f>
        <v>4250.459590336478</v>
      </c>
      <c r="V125" s="171">
        <f>$M125*'2c. RB-sfaf'!X125/'2c. RB-sfaf'!$O125</f>
        <v>3536.9392981745386</v>
      </c>
      <c r="W125" s="171">
        <f>$M125*'2c. RB-sfaf'!Y125/'2c. RB-sfaf'!$O125</f>
        <v>0</v>
      </c>
      <c r="X125" s="171">
        <f>'1. RB-i'!M397</f>
        <v>15346.54202449575</v>
      </c>
      <c r="Y125" s="171">
        <f>$X125*'2c. RB-sfaf'!AA125/'2c. RB-sfaf'!$Z125</f>
        <v>15346.54202449575</v>
      </c>
      <c r="Z125" s="171">
        <f>$X125*'2c. RB-sfaf'!AB125/'2c. RB-sfaf'!$Z125</f>
        <v>0</v>
      </c>
      <c r="AA125" s="171">
        <f>'1. RB-i'!N397</f>
        <v>4098.9380689933059</v>
      </c>
      <c r="AB125" s="171">
        <f>'1. RB-i'!O397</f>
        <v>20934.629973593219</v>
      </c>
      <c r="AC125" s="481">
        <f>$AB125*'2c. RB-sfaf'!AE125/'2c. RB-sfaf'!$AD125</f>
        <v>18996.292754811395</v>
      </c>
      <c r="AD125" s="481">
        <f>$AB125*'2c. RB-sfaf'!AF125/'2c. RB-sfaf'!$AD125</f>
        <v>1938.337218781824</v>
      </c>
      <c r="AE125" s="481">
        <f>$AB125*'2c. RB-sfaf'!AG125/'2c. RB-sfaf'!$AD125</f>
        <v>0</v>
      </c>
      <c r="AF125" s="171">
        <f>'1. RB-i'!P397</f>
        <v>2970.9812520887626</v>
      </c>
      <c r="AG125" s="481">
        <f>$AF125*'2c. RB-sfaf'!AI125/'2c. RB-sfaf'!$AH125</f>
        <v>2970.9812520887626</v>
      </c>
      <c r="AH125" s="171">
        <f>'1. RB-i'!Q397</f>
        <v>0</v>
      </c>
      <c r="AI125" s="62"/>
      <c r="AJ125" s="171">
        <f>'1. RB-i'!I397</f>
        <v>798198.56981818588</v>
      </c>
      <c r="AK125" s="62">
        <f t="shared" si="29"/>
        <v>798198.29620056995</v>
      </c>
      <c r="AL125" s="62">
        <f t="shared" si="30"/>
        <v>0.27361761592328548</v>
      </c>
    </row>
    <row r="126" spans="1:38" x14ac:dyDescent="0.3">
      <c r="A126" s="62" t="s">
        <v>487</v>
      </c>
      <c r="B126" s="498" t="s">
        <v>95</v>
      </c>
      <c r="C126" s="498"/>
      <c r="D126" s="171">
        <f>'1. RB-i'!J398</f>
        <v>5236734.4461896829</v>
      </c>
      <c r="E126" s="171">
        <f>$D126*'2c. RB-sfaf'!G126/'2c. RB-sfaf'!$F126</f>
        <v>5236734.4461896829</v>
      </c>
      <c r="F126" s="678"/>
      <c r="G126" s="678"/>
      <c r="H126" s="678"/>
      <c r="I126" s="171">
        <f>$D126*'2c. RB-sfaf'!K126/'2c. RB-sfaf'!$F126</f>
        <v>0</v>
      </c>
      <c r="J126" s="171">
        <f>$D126*'2c. RB-sfaf'!L126/'2c. RB-sfaf'!$F126</f>
        <v>0</v>
      </c>
      <c r="K126" s="171"/>
      <c r="L126" s="171">
        <f>'1. RB-i'!K398</f>
        <v>4754289.4502244452</v>
      </c>
      <c r="M126" s="171">
        <f>'1. RB-i'!L398</f>
        <v>4600191.3069752995</v>
      </c>
      <c r="N126" s="171">
        <f>$M126*'2c. RB-sfaf'!P126/'2c. RB-sfaf'!$O126</f>
        <v>745826.42630176083</v>
      </c>
      <c r="O126" s="171">
        <f>$M126*'2c. RB-sfaf'!Q126/'2c. RB-sfaf'!$O126</f>
        <v>1303656.0730636537</v>
      </c>
      <c r="P126" s="171">
        <f>$M126*'2c. RB-sfaf'!R126/'2c. RB-sfaf'!$O126</f>
        <v>348123.66467079305</v>
      </c>
      <c r="Q126" s="171">
        <f>$M126*'2c. RB-sfaf'!S126/'2c. RB-sfaf'!$O126</f>
        <v>380617.26225295133</v>
      </c>
      <c r="R126" s="171">
        <f>$M126*'2c. RB-sfaf'!T126/'2c. RB-sfaf'!$O126</f>
        <v>714480.96773634246</v>
      </c>
      <c r="S126" s="171">
        <f>$M126*'2c. RB-sfaf'!U126/'2c. RB-sfaf'!$O126</f>
        <v>175943.38489134982</v>
      </c>
      <c r="T126" s="171">
        <f>$M126*'2c. RB-sfaf'!V126/'2c. RB-sfaf'!$O126</f>
        <v>416071.01274725673</v>
      </c>
      <c r="U126" s="171">
        <f>$M126*'2c. RB-sfaf'!W126/'2c. RB-sfaf'!$O126</f>
        <v>281351.33792770788</v>
      </c>
      <c r="V126" s="171">
        <f>$M126*'2c. RB-sfaf'!X126/'2c. RB-sfaf'!$O126</f>
        <v>234121.17738348342</v>
      </c>
      <c r="W126" s="171">
        <f>$M126*'2c. RB-sfaf'!Y126/'2c. RB-sfaf'!$O126</f>
        <v>0</v>
      </c>
      <c r="X126" s="171">
        <f>'1. RB-i'!M398</f>
        <v>1015836.061816051</v>
      </c>
      <c r="Y126" s="171">
        <f>$X126*'2c. RB-sfaf'!AA126/'2c. RB-sfaf'!$Z126</f>
        <v>1015836.061816051</v>
      </c>
      <c r="Z126" s="171">
        <f>$X126*'2c. RB-sfaf'!AB126/'2c. RB-sfaf'!$Z126</f>
        <v>0</v>
      </c>
      <c r="AA126" s="171">
        <f>'1. RB-i'!N398</f>
        <v>271321.65011426178</v>
      </c>
      <c r="AB126" s="171">
        <f>'1. RB-i'!O398</f>
        <v>1385729.243370052</v>
      </c>
      <c r="AC126" s="481">
        <f>$AB126*'2c. RB-sfaf'!AE126/'2c. RB-sfaf'!$AD126</f>
        <v>1257424.5840105761</v>
      </c>
      <c r="AD126" s="481">
        <f>$AB126*'2c. RB-sfaf'!AF126/'2c. RB-sfaf'!$AD126</f>
        <v>128304.6593594757</v>
      </c>
      <c r="AE126" s="481">
        <f>$AB126*'2c. RB-sfaf'!AG126/'2c. RB-sfaf'!$AD126</f>
        <v>0</v>
      </c>
      <c r="AF126" s="171">
        <f>'1. RB-i'!P398</f>
        <v>196658.62772433483</v>
      </c>
      <c r="AG126" s="481">
        <f>$AF126*'2c. RB-sfaf'!AI126/'2c. RB-sfaf'!$AH126</f>
        <v>196658.62772433483</v>
      </c>
      <c r="AH126" s="171">
        <f>'1. RB-i'!Q398</f>
        <v>0</v>
      </c>
      <c r="AI126" s="62"/>
      <c r="AJ126" s="171">
        <f>'1. RB-i'!I398</f>
        <v>17460760.694080289</v>
      </c>
      <c r="AK126" s="62">
        <f t="shared" si="29"/>
        <v>17460760.786414128</v>
      </c>
      <c r="AL126" s="62">
        <f t="shared" ref="AL126:AL130" si="31">AJ126-AK126</f>
        <v>-9.23338383436203E-2</v>
      </c>
    </row>
    <row r="127" spans="1:38" x14ac:dyDescent="0.3">
      <c r="A127" s="62" t="s">
        <v>488</v>
      </c>
      <c r="B127" s="62" t="s">
        <v>96</v>
      </c>
      <c r="C127" s="62"/>
      <c r="D127" s="171">
        <f>'1. RB-i'!J399</f>
        <v>68025.65566313015</v>
      </c>
      <c r="E127" s="171">
        <f>$D127*'2c. RB-sfaf'!G127/'2c. RB-sfaf'!$F127</f>
        <v>68025.65566313015</v>
      </c>
      <c r="F127" s="678"/>
      <c r="G127" s="678"/>
      <c r="H127" s="678"/>
      <c r="I127" s="171">
        <f>$D127*'2c. RB-sfaf'!K127/'2c. RB-sfaf'!$F127</f>
        <v>0</v>
      </c>
      <c r="J127" s="171">
        <f>$D127*'2c. RB-sfaf'!L127/'2c. RB-sfaf'!$F127</f>
        <v>0</v>
      </c>
      <c r="K127" s="171"/>
      <c r="L127" s="171">
        <f>'1. RB-i'!K399</f>
        <v>556762.99669499428</v>
      </c>
      <c r="M127" s="171">
        <f>'1. RB-i'!L399</f>
        <v>49746.989348885741</v>
      </c>
      <c r="N127" s="171">
        <f>$M127*'2c. RB-sfaf'!P127/'2c. RB-sfaf'!$O127</f>
        <v>8065.4513713575943</v>
      </c>
      <c r="O127" s="171">
        <f>$M127*'2c. RB-sfaf'!Q127/'2c. RB-sfaf'!$O127</f>
        <v>14097.884295153297</v>
      </c>
      <c r="P127" s="171">
        <f>$M127*'2c. RB-sfaf'!R127/'2c. RB-sfaf'!$O127</f>
        <v>3764.648703242724</v>
      </c>
      <c r="Q127" s="171">
        <f>$M127*'2c. RB-sfaf'!S127/'2c. RB-sfaf'!$O127</f>
        <v>4116.0381444547802</v>
      </c>
      <c r="R127" s="171">
        <f>$M127*'2c. RB-sfaf'!T127/'2c. RB-sfaf'!$O127</f>
        <v>7726.4780353953784</v>
      </c>
      <c r="S127" s="171">
        <f>$M127*'2c. RB-sfaf'!U127/'2c. RB-sfaf'!$O127</f>
        <v>1902.6716738769492</v>
      </c>
      <c r="T127" s="171">
        <f>$M127*'2c. RB-sfaf'!V127/'2c. RB-sfaf'!$O127</f>
        <v>4499.4390142281582</v>
      </c>
      <c r="U127" s="171">
        <f>$M127*'2c. RB-sfaf'!W127/'2c. RB-sfaf'!$O127</f>
        <v>3042.5652059212484</v>
      </c>
      <c r="V127" s="171">
        <f>$M127*'2c. RB-sfaf'!X127/'2c. RB-sfaf'!$O127</f>
        <v>2531.8129052556105</v>
      </c>
      <c r="W127" s="171">
        <f>$M127*'2c. RB-sfaf'!Y127/'2c. RB-sfaf'!$O127</f>
        <v>0</v>
      </c>
      <c r="X127" s="171">
        <f>'1. RB-i'!M399</f>
        <v>10985.366123958996</v>
      </c>
      <c r="Y127" s="171">
        <f>$X127*'2c. RB-sfaf'!AA127/'2c. RB-sfaf'!$Z127</f>
        <v>10985.366123958996</v>
      </c>
      <c r="Z127" s="171">
        <f>$X127*'2c. RB-sfaf'!AB127/'2c. RB-sfaf'!$Z127</f>
        <v>0</v>
      </c>
      <c r="AA127" s="171">
        <f>'1. RB-i'!N399</f>
        <v>2934.1030269523862</v>
      </c>
      <c r="AB127" s="171">
        <f>'1. RB-i'!O399</f>
        <v>14985.432846203934</v>
      </c>
      <c r="AC127" s="481">
        <f>$AB127*'2c. RB-sfaf'!AE127/'2c. RB-sfaf'!$AD127</f>
        <v>13597.931741002065</v>
      </c>
      <c r="AD127" s="481">
        <f>$AB127*'2c. RB-sfaf'!AF127/'2c. RB-sfaf'!$AD127</f>
        <v>1387.5011052018669</v>
      </c>
      <c r="AE127" s="481">
        <f>$AB127*'2c. RB-sfaf'!AG127/'2c. RB-sfaf'!$AD127</f>
        <v>0</v>
      </c>
      <c r="AF127" s="171">
        <f>'1. RB-i'!P399</f>
        <v>2126.68865399895</v>
      </c>
      <c r="AG127" s="481">
        <f>$AF127*'2c. RB-sfaf'!AI127/'2c. RB-sfaf'!$AH127</f>
        <v>2126.68865399895</v>
      </c>
      <c r="AH127" s="171">
        <f>'1. RB-i'!Q399</f>
        <v>0</v>
      </c>
      <c r="AI127" s="62"/>
      <c r="AJ127" s="171">
        <f>'1. RB-i'!I399</f>
        <v>705567.33870188822</v>
      </c>
      <c r="AK127" s="62">
        <f t="shared" si="29"/>
        <v>705567.23235812434</v>
      </c>
      <c r="AL127" s="62">
        <f t="shared" si="31"/>
        <v>0.10634376388043165</v>
      </c>
    </row>
    <row r="128" spans="1:38" x14ac:dyDescent="0.3">
      <c r="A128" s="62" t="s">
        <v>54</v>
      </c>
      <c r="B128" s="62" t="s">
        <v>97</v>
      </c>
      <c r="C128" s="62"/>
      <c r="D128" s="171">
        <f>'1. RB-i'!J400</f>
        <v>6214960.08649687</v>
      </c>
      <c r="E128" s="171">
        <f>$D128*'2c. RB-sfaf'!G128/'2c. RB-sfaf'!$F128</f>
        <v>6214960.08649687</v>
      </c>
      <c r="F128" s="678"/>
      <c r="G128" s="678"/>
      <c r="H128" s="678"/>
      <c r="I128" s="171">
        <f>$D128*'2c. RB-sfaf'!K128/'2c. RB-sfaf'!$F128</f>
        <v>0</v>
      </c>
      <c r="J128" s="171">
        <f>$D128*'2c. RB-sfaf'!L128/'2c. RB-sfaf'!$F128</f>
        <v>0</v>
      </c>
      <c r="K128" s="171"/>
      <c r="L128" s="171">
        <f>'1. RB-i'!K400</f>
        <v>2219297.7688503228</v>
      </c>
      <c r="M128" s="171">
        <f>'1. RB-i'!L400</f>
        <v>6292035.8195891287</v>
      </c>
      <c r="N128" s="171">
        <f>$M128*'2c. RB-sfaf'!P128/'2c. RB-sfaf'!$O128</f>
        <v>1020124.224479786</v>
      </c>
      <c r="O128" s="171">
        <f>$M128*'2c. RB-sfaf'!Q128/'2c. RB-sfaf'!$O128</f>
        <v>1783110.7796981572</v>
      </c>
      <c r="P128" s="171">
        <f>$M128*'2c. RB-sfaf'!R128/'2c. RB-sfaf'!$O128</f>
        <v>476155.53823466797</v>
      </c>
      <c r="Q128" s="171">
        <f>$M128*'2c. RB-sfaf'!S128/'2c. RB-sfaf'!$O128</f>
        <v>520599.53333205538</v>
      </c>
      <c r="R128" s="171">
        <f>$M128*'2c. RB-sfaf'!T128/'2c. RB-sfaf'!$O128</f>
        <v>977250.62751089421</v>
      </c>
      <c r="S128" s="171">
        <f>$M128*'2c. RB-sfaf'!U128/'2c. RB-sfaf'!$O128</f>
        <v>240651.31340896949</v>
      </c>
      <c r="T128" s="171">
        <f>$M128*'2c. RB-sfaf'!V128/'2c. RB-sfaf'!$O128</f>
        <v>569092.35746975883</v>
      </c>
      <c r="U128" s="171">
        <f>$M128*'2c. RB-sfaf'!W128/'2c. RB-sfaf'!$O128</f>
        <v>384825.88614221063</v>
      </c>
      <c r="V128" s="171">
        <f>$M128*'2c. RB-sfaf'!X128/'2c. RB-sfaf'!$O128</f>
        <v>320225.5593126287</v>
      </c>
      <c r="W128" s="171">
        <f>$M128*'2c. RB-sfaf'!Y128/'2c. RB-sfaf'!$O128</f>
        <v>0</v>
      </c>
      <c r="X128" s="171">
        <f>'1. RB-i'!M400</f>
        <v>1389437.1910327312</v>
      </c>
      <c r="Y128" s="171">
        <f>$X128*'2c. RB-sfaf'!AA128/'2c. RB-sfaf'!$Z128</f>
        <v>1389437.1910327312</v>
      </c>
      <c r="Z128" s="171">
        <f>$X128*'2c. RB-sfaf'!AB128/'2c. RB-sfaf'!$Z128</f>
        <v>0</v>
      </c>
      <c r="AA128" s="171">
        <f>'1. RB-i'!N400</f>
        <v>371107.50993341889</v>
      </c>
      <c r="AB128" s="171">
        <f>'1. RB-i'!O400</f>
        <v>1895368.5735451356</v>
      </c>
      <c r="AC128" s="481">
        <f>$AB128*'2c. RB-sfaf'!AE128/'2c. RB-sfaf'!$AD128</f>
        <v>1719876.4127548023</v>
      </c>
      <c r="AD128" s="481">
        <f>$AB128*'2c. RB-sfaf'!AF128/'2c. RB-sfaf'!$AD128</f>
        <v>175492.16079033323</v>
      </c>
      <c r="AE128" s="481">
        <f>$AB128*'2c. RB-sfaf'!AG128/'2c. RB-sfaf'!$AD128</f>
        <v>0</v>
      </c>
      <c r="AF128" s="171">
        <f>'1. RB-i'!P400</f>
        <v>268985.14589958609</v>
      </c>
      <c r="AG128" s="481">
        <f>$AF128*'2c. RB-sfaf'!AI128/'2c. RB-sfaf'!$AH128</f>
        <v>268985.14589958609</v>
      </c>
      <c r="AH128" s="171">
        <f>'1. RB-i'!Q400</f>
        <v>0</v>
      </c>
      <c r="AI128" s="62"/>
      <c r="AJ128" s="171">
        <f>'1. RB-i'!I400</f>
        <v>18651192.19502103</v>
      </c>
      <c r="AK128" s="62">
        <f t="shared" si="29"/>
        <v>18651192.095347192</v>
      </c>
      <c r="AL128" s="62">
        <f t="shared" si="31"/>
        <v>9.9673837423324585E-2</v>
      </c>
    </row>
    <row r="129" spans="1:38" x14ac:dyDescent="0.3">
      <c r="A129" s="62" t="s">
        <v>489</v>
      </c>
      <c r="B129" s="62" t="s">
        <v>98</v>
      </c>
      <c r="C129" s="62"/>
      <c r="D129" s="171">
        <f>'1. RB-i'!J401</f>
        <v>14094703.415806187</v>
      </c>
      <c r="E129" s="171">
        <f>$D129*'2c. RB-sfaf'!G129/'2c. RB-sfaf'!$F129</f>
        <v>9266085.3595037423</v>
      </c>
      <c r="F129" s="678"/>
      <c r="G129" s="678"/>
      <c r="H129" s="678"/>
      <c r="I129" s="171">
        <f>$D129*'2c. RB-sfaf'!K129/'2c. RB-sfaf'!$F129</f>
        <v>4828618.0563024459</v>
      </c>
      <c r="J129" s="171">
        <f>$D129*'2c. RB-sfaf'!L129/'2c. RB-sfaf'!$F129</f>
        <v>0</v>
      </c>
      <c r="K129" s="171"/>
      <c r="L129" s="171">
        <f>'1. RB-i'!K401</f>
        <v>2409606.6838790942</v>
      </c>
      <c r="M129" s="171">
        <f>'1. RB-i'!L401</f>
        <v>7783638.1534403376</v>
      </c>
      <c r="N129" s="171">
        <f>$M129*'2c. RB-sfaf'!P129/'2c. RB-sfaf'!$O129</f>
        <v>2444624.993824482</v>
      </c>
      <c r="O129" s="171">
        <f>$M129*'2c. RB-sfaf'!Q129/'2c. RB-sfaf'!$O129</f>
        <v>2226216.291319455</v>
      </c>
      <c r="P129" s="171">
        <f>$M129*'2c. RB-sfaf'!R129/'2c. RB-sfaf'!$O129</f>
        <v>612761.80326002336</v>
      </c>
      <c r="Q129" s="171">
        <f>$M129*'2c. RB-sfaf'!S129/'2c. RB-sfaf'!$O129</f>
        <v>120013.69043144271</v>
      </c>
      <c r="R129" s="171">
        <f>$M129*'2c. RB-sfaf'!T129/'2c. RB-sfaf'!$O129</f>
        <v>1582203.5011236568</v>
      </c>
      <c r="S129" s="171">
        <f>$M129*'2c. RB-sfaf'!U129/'2c. RB-sfaf'!$O129</f>
        <v>421092.40660201886</v>
      </c>
      <c r="T129" s="171">
        <f>$M129*'2c. RB-sfaf'!V129/'2c. RB-sfaf'!$O129</f>
        <v>131192.73000329855</v>
      </c>
      <c r="U129" s="171">
        <f>$M129*'2c. RB-sfaf'!W129/'2c. RB-sfaf'!$O129</f>
        <v>0</v>
      </c>
      <c r="V129" s="171">
        <f>$M129*'2c. RB-sfaf'!X129/'2c. RB-sfaf'!$O129</f>
        <v>221061.25849312913</v>
      </c>
      <c r="W129" s="171">
        <f>$M129*'2c. RB-sfaf'!Y129/'2c. RB-sfaf'!$O129</f>
        <v>24471.478382832029</v>
      </c>
      <c r="X129" s="171">
        <f>'1. RB-i'!M401</f>
        <v>1718819.892642878</v>
      </c>
      <c r="Y129" s="171">
        <f>$X129*'2c. RB-sfaf'!AA129/'2c. RB-sfaf'!$Z129</f>
        <v>835551.0973162665</v>
      </c>
      <c r="Z129" s="171">
        <f>$X129*'2c. RB-sfaf'!AB129/'2c. RB-sfaf'!$Z129</f>
        <v>883268.79532661126</v>
      </c>
      <c r="AA129" s="171">
        <f>'1. RB-i'!N401</f>
        <v>459082.98302323115</v>
      </c>
      <c r="AB129" s="171">
        <f>'1. RB-i'!O401</f>
        <v>2344688.3595206682</v>
      </c>
      <c r="AC129" s="481">
        <f>$AB129*'2c. RB-sfaf'!AE129/'2c. RB-sfaf'!$AD129</f>
        <v>2127593.6834057244</v>
      </c>
      <c r="AD129" s="481">
        <f>$AB129*'2c. RB-sfaf'!AF129/'2c. RB-sfaf'!$AD129</f>
        <v>217094.67611494358</v>
      </c>
      <c r="AE129" s="481">
        <f>$AB129*'2c. RB-sfaf'!AG129/'2c. RB-sfaf'!$AD129</f>
        <v>0</v>
      </c>
      <c r="AF129" s="171">
        <f>'1. RB-i'!P401</f>
        <v>332751.29137288546</v>
      </c>
      <c r="AG129" s="481">
        <f>$AF129*'2c. RB-sfaf'!AI129/'2c. RB-sfaf'!$AH129</f>
        <v>332751.29137288546</v>
      </c>
      <c r="AH129" s="171">
        <f>'1. RB-i'!Q401</f>
        <v>0</v>
      </c>
      <c r="AI129" s="62"/>
      <c r="AJ129" s="171">
        <f>'1. RB-i'!I401</f>
        <v>29143290.320000067</v>
      </c>
      <c r="AK129" s="62">
        <f t="shared" si="29"/>
        <v>29143290.779685277</v>
      </c>
      <c r="AL129" s="62">
        <f t="shared" si="31"/>
        <v>-0.45968521013855934</v>
      </c>
    </row>
    <row r="130" spans="1:38" x14ac:dyDescent="0.3">
      <c r="A130" s="62" t="s">
        <v>490</v>
      </c>
      <c r="B130" s="62" t="s">
        <v>99</v>
      </c>
      <c r="C130" s="62"/>
      <c r="D130" s="171">
        <f>'1. RB-i'!J402</f>
        <v>8856303.211035084</v>
      </c>
      <c r="E130" s="171">
        <f>$D130*'2c. RB-sfaf'!G130/'2c. RB-sfaf'!$F130</f>
        <v>8856303.211035084</v>
      </c>
      <c r="F130" s="678"/>
      <c r="G130" s="678"/>
      <c r="H130" s="678"/>
      <c r="I130" s="171">
        <f>$D130*'2c. RB-sfaf'!K130/'2c. RB-sfaf'!$F130</f>
        <v>0</v>
      </c>
      <c r="J130" s="171">
        <f>$D130*'2c. RB-sfaf'!L130/'2c. RB-sfaf'!$F130</f>
        <v>0</v>
      </c>
      <c r="K130" s="171"/>
      <c r="L130" s="171">
        <f>'1. RB-i'!K402</f>
        <v>10282704.769470274</v>
      </c>
      <c r="M130" s="171">
        <f>'1. RB-i'!L402</f>
        <v>16364620.368430169</v>
      </c>
      <c r="N130" s="171">
        <f>$M130*'2c. RB-sfaf'!P130/'2c. RB-sfaf'!$O130</f>
        <v>2653186.6856633783</v>
      </c>
      <c r="O130" s="171">
        <f>$M130*'2c. RB-sfaf'!Q130/'2c. RB-sfaf'!$O130</f>
        <v>4637597.7221504953</v>
      </c>
      <c r="P130" s="171">
        <f>$M130*'2c. RB-sfaf'!R130/'2c. RB-sfaf'!$O130</f>
        <v>1238407.5429571702</v>
      </c>
      <c r="Q130" s="171">
        <f>$M130*'2c. RB-sfaf'!S130/'2c. RB-sfaf'!$O130</f>
        <v>1353999.5593218531</v>
      </c>
      <c r="R130" s="171">
        <f>$M130*'2c. RB-sfaf'!T130/'2c. RB-sfaf'!$O130</f>
        <v>2541679.0340316668</v>
      </c>
      <c r="S130" s="171">
        <f>$M130*'2c. RB-sfaf'!U130/'2c. RB-sfaf'!$O130</f>
        <v>625897.16556303052</v>
      </c>
      <c r="T130" s="171">
        <f>$M130*'2c. RB-sfaf'!V130/'2c. RB-sfaf'!$O130</f>
        <v>1480121.9591873998</v>
      </c>
      <c r="U130" s="171">
        <f>$M130*'2c. RB-sfaf'!W130/'2c. RB-sfaf'!$O130</f>
        <v>1000873.1220276554</v>
      </c>
      <c r="V130" s="171">
        <f>$M130*'2c. RB-sfaf'!X130/'2c. RB-sfaf'!$O130</f>
        <v>832857.57752752025</v>
      </c>
      <c r="W130" s="171">
        <f>$M130*'2c. RB-sfaf'!Y130/'2c. RB-sfaf'!$O130</f>
        <v>0</v>
      </c>
      <c r="X130" s="171">
        <f>'1. RB-i'!M402</f>
        <v>3613713.0825350909</v>
      </c>
      <c r="Y130" s="171">
        <f>$X130*'2c. RB-sfaf'!AA130/'2c. RB-sfaf'!$Z130</f>
        <v>3613713.0825350909</v>
      </c>
      <c r="Z130" s="171">
        <f>$X130*'2c. RB-sfaf'!AB130/'2c. RB-sfaf'!$Z130</f>
        <v>0</v>
      </c>
      <c r="AA130" s="171">
        <f>'1. RB-i'!N402</f>
        <v>965193.72903544595</v>
      </c>
      <c r="AB130" s="171">
        <f>'1. RB-i'!O402</f>
        <v>4929563.0307369381</v>
      </c>
      <c r="AC130" s="481">
        <f>$AB130*'2c. RB-sfaf'!AE130/'2c. RB-sfaf'!$AD130</f>
        <v>4473134.8298630202</v>
      </c>
      <c r="AD130" s="481">
        <f>$AB130*'2c. RB-sfaf'!AF130/'2c. RB-sfaf'!$AD130</f>
        <v>456428.20087391726</v>
      </c>
      <c r="AE130" s="481">
        <f>$AB130*'2c. RB-sfaf'!AG130/'2c. RB-sfaf'!$AD130</f>
        <v>0</v>
      </c>
      <c r="AF130" s="171">
        <f>'1. RB-i'!P402</f>
        <v>699589.11926235165</v>
      </c>
      <c r="AG130" s="481">
        <f>$AF130*'2c. RB-sfaf'!AI130/'2c. RB-sfaf'!$AH130</f>
        <v>699589.11926235165</v>
      </c>
      <c r="AH130" s="171">
        <f>'1. RB-i'!Q402</f>
        <v>0</v>
      </c>
      <c r="AI130" s="62"/>
      <c r="AJ130" s="171">
        <f>'1. RB-i'!I402</f>
        <v>45711687.716921903</v>
      </c>
      <c r="AK130" s="62">
        <f t="shared" si="29"/>
        <v>45711687.31050536</v>
      </c>
      <c r="AL130" s="62">
        <f t="shared" si="31"/>
        <v>0.40641654282808304</v>
      </c>
    </row>
    <row r="131" spans="1:38" x14ac:dyDescent="0.3">
      <c r="A131" s="62"/>
      <c r="B131" s="62"/>
      <c r="C131" s="62"/>
      <c r="D131" s="62"/>
      <c r="E131" s="62"/>
      <c r="F131" s="677"/>
      <c r="G131" s="677"/>
      <c r="H131" s="677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</row>
    <row r="132" spans="1:38" x14ac:dyDescent="0.3">
      <c r="A132" s="499" t="s">
        <v>491</v>
      </c>
      <c r="B132" s="62"/>
      <c r="C132" s="62"/>
      <c r="D132" s="171">
        <f t="shared" ref="D132:J132" si="32">SUM(D121:D130)</f>
        <v>251765004.97653562</v>
      </c>
      <c r="E132" s="171">
        <f t="shared" si="32"/>
        <v>172693611.58863872</v>
      </c>
      <c r="F132" s="678"/>
      <c r="G132" s="678"/>
      <c r="H132" s="678"/>
      <c r="I132" s="171">
        <f t="shared" si="32"/>
        <v>79071393.387896895</v>
      </c>
      <c r="J132" s="171">
        <f t="shared" si="32"/>
        <v>0</v>
      </c>
      <c r="K132" s="171"/>
      <c r="L132" s="171">
        <f t="shared" ref="L132:AH132" si="33">SUM(L121:L130)</f>
        <v>78543501.693038464</v>
      </c>
      <c r="M132" s="171">
        <f t="shared" si="33"/>
        <v>129622121.84600741</v>
      </c>
      <c r="N132" s="171">
        <f t="shared" si="33"/>
        <v>36551114.414431736</v>
      </c>
      <c r="O132" s="171">
        <f t="shared" si="33"/>
        <v>37001780.178190954</v>
      </c>
      <c r="P132" s="171">
        <f t="shared" si="33"/>
        <v>10120962.2551952</v>
      </c>
      <c r="Q132" s="171">
        <f t="shared" si="33"/>
        <v>3841584.7989588315</v>
      </c>
      <c r="R132" s="171">
        <f t="shared" si="33"/>
        <v>25035788.721610256</v>
      </c>
      <c r="S132" s="171">
        <f t="shared" si="33"/>
        <v>6578531.0798142049</v>
      </c>
      <c r="T132" s="171">
        <f t="shared" si="33"/>
        <v>4199420.878591205</v>
      </c>
      <c r="U132" s="171">
        <f t="shared" si="33"/>
        <v>1674343.3708938316</v>
      </c>
      <c r="V132" s="171">
        <f t="shared" si="33"/>
        <v>4297138.3049375787</v>
      </c>
      <c r="W132" s="171">
        <f t="shared" si="33"/>
        <v>321457.84338360757</v>
      </c>
      <c r="X132" s="171">
        <f t="shared" si="33"/>
        <v>28623771.707195975</v>
      </c>
      <c r="Y132" s="171">
        <f t="shared" si="33"/>
        <v>17021134.644086476</v>
      </c>
      <c r="Z132" s="171">
        <f t="shared" si="33"/>
        <v>11602637.063109498</v>
      </c>
      <c r="AA132" s="171">
        <f t="shared" si="33"/>
        <v>7645179.4379166793</v>
      </c>
      <c r="AB132" s="171">
        <f t="shared" si="33"/>
        <v>39046455.428348765</v>
      </c>
      <c r="AC132" s="171">
        <f t="shared" si="33"/>
        <v>35431144.438197859</v>
      </c>
      <c r="AD132" s="171">
        <f t="shared" si="33"/>
        <v>3615310.9901508992</v>
      </c>
      <c r="AE132" s="171">
        <f t="shared" si="33"/>
        <v>0</v>
      </c>
      <c r="AF132" s="171">
        <f t="shared" si="33"/>
        <v>5541358.3705311799</v>
      </c>
      <c r="AG132" s="171">
        <f t="shared" si="33"/>
        <v>5541358.3705311799</v>
      </c>
      <c r="AH132" s="171">
        <f t="shared" si="33"/>
        <v>0</v>
      </c>
      <c r="AI132" s="62"/>
      <c r="AJ132" s="171">
        <f>SUM(AJ121:AJ130)</f>
        <v>540787394.54927492</v>
      </c>
      <c r="AK132" s="62">
        <f>SUM(E132,I132:J132,L132,N132:W132,Y132:Z132,AA132,AC132:AE132,AG132:AH132)</f>
        <v>540787393.4595741</v>
      </c>
      <c r="AL132" s="62">
        <f>AJ132-AK132</f>
        <v>1.0897008180618286</v>
      </c>
    </row>
    <row r="133" spans="1:38" x14ac:dyDescent="0.3">
      <c r="A133" s="499"/>
      <c r="B133" s="62"/>
      <c r="C133" s="62"/>
      <c r="D133" s="171"/>
      <c r="E133" s="171"/>
      <c r="F133" s="678"/>
      <c r="G133" s="678"/>
      <c r="H133" s="678"/>
      <c r="I133" s="171"/>
      <c r="J133" s="171"/>
      <c r="K133" s="171"/>
      <c r="L133" s="171"/>
      <c r="M133" s="171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62"/>
      <c r="AJ133" s="171"/>
      <c r="AK133" s="62"/>
      <c r="AL133" s="62"/>
    </row>
    <row r="134" spans="1:38" x14ac:dyDescent="0.3">
      <c r="A134" s="463"/>
      <c r="B134" s="62"/>
      <c r="C134" s="62"/>
      <c r="D134" s="171"/>
      <c r="E134" s="171"/>
      <c r="F134" s="678"/>
      <c r="G134" s="678"/>
      <c r="H134" s="678"/>
      <c r="I134" s="171"/>
      <c r="J134" s="171"/>
      <c r="K134" s="171"/>
      <c r="L134" s="171"/>
      <c r="M134" s="171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62"/>
      <c r="AJ134" s="171"/>
      <c r="AK134" s="62"/>
      <c r="AL134" s="62"/>
    </row>
    <row r="135" spans="1:38" x14ac:dyDescent="0.3">
      <c r="A135" s="463" t="s">
        <v>492</v>
      </c>
      <c r="B135" s="62"/>
      <c r="C135" s="62"/>
      <c r="D135" s="62"/>
      <c r="E135" s="62"/>
      <c r="F135" s="677"/>
      <c r="G135" s="677"/>
      <c r="H135" s="677"/>
      <c r="I135" s="62"/>
      <c r="J135" s="62"/>
      <c r="K135" s="62"/>
      <c r="L135" s="468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468"/>
      <c r="Y135" s="468"/>
      <c r="Z135" s="468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</row>
    <row r="136" spans="1:38" x14ac:dyDescent="0.3">
      <c r="A136" s="62"/>
      <c r="B136" s="62"/>
      <c r="C136" s="62"/>
      <c r="D136" s="62"/>
      <c r="E136" s="62"/>
      <c r="F136" s="677"/>
      <c r="G136" s="677"/>
      <c r="H136" s="677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</row>
    <row r="137" spans="1:38" x14ac:dyDescent="0.3">
      <c r="A137" s="62" t="s">
        <v>493</v>
      </c>
      <c r="B137" s="62" t="s">
        <v>100</v>
      </c>
      <c r="C137" s="62"/>
      <c r="D137" s="171">
        <f>'1. RB-i'!J409</f>
        <v>0</v>
      </c>
      <c r="E137" s="171">
        <f>$D137*'2c. RB-sfaf'!G137/'2c. RB-sfaf'!$F137</f>
        <v>0</v>
      </c>
      <c r="F137" s="678"/>
      <c r="G137" s="678"/>
      <c r="H137" s="678"/>
      <c r="I137" s="171">
        <f>$D137*'2c. RB-sfaf'!K137/'2c. RB-sfaf'!$F137</f>
        <v>0</v>
      </c>
      <c r="J137" s="171">
        <f>$D137*'2c. RB-sfaf'!L137/'2c. RB-sfaf'!$F137</f>
        <v>0</v>
      </c>
      <c r="K137" s="171"/>
      <c r="L137" s="171">
        <f>'1. RB-i'!K409</f>
        <v>0</v>
      </c>
      <c r="M137" s="171">
        <f>'1. RB-i'!L409</f>
        <v>0</v>
      </c>
      <c r="N137" s="171">
        <f>$M137*'2c. RB-sfaf'!P137/'2c. RB-sfaf'!$O137</f>
        <v>0</v>
      </c>
      <c r="O137" s="171">
        <f>$M137*'2c. RB-sfaf'!Q137/'2c. RB-sfaf'!$O137</f>
        <v>0</v>
      </c>
      <c r="P137" s="171">
        <f>$M137*'2c. RB-sfaf'!R137/'2c. RB-sfaf'!$O137</f>
        <v>0</v>
      </c>
      <c r="Q137" s="171">
        <f>$M137*'2c. RB-sfaf'!S137/'2c. RB-sfaf'!$O137</f>
        <v>0</v>
      </c>
      <c r="R137" s="171">
        <f>$M137*'2c. RB-sfaf'!T137/'2c. RB-sfaf'!$O137</f>
        <v>0</v>
      </c>
      <c r="S137" s="171">
        <f>$M137*'2c. RB-sfaf'!U137/'2c. RB-sfaf'!$O137</f>
        <v>0</v>
      </c>
      <c r="T137" s="171">
        <f>$M137*'2c. RB-sfaf'!V137/'2c. RB-sfaf'!$O137</f>
        <v>0</v>
      </c>
      <c r="U137" s="171">
        <f>$M137*'2c. RB-sfaf'!W137/'2c. RB-sfaf'!$O137</f>
        <v>0</v>
      </c>
      <c r="V137" s="171">
        <f>$M137*'2c. RB-sfaf'!X137/'2c. RB-sfaf'!$O137</f>
        <v>0</v>
      </c>
      <c r="W137" s="171">
        <f>$M137*'2c. RB-sfaf'!Y137/'2c. RB-sfaf'!$O137</f>
        <v>0</v>
      </c>
      <c r="X137" s="171">
        <f>'1. RB-i'!M409</f>
        <v>0</v>
      </c>
      <c r="Y137" s="171">
        <f>$X137*'2c. RB-sfaf'!AA137/'2c. RB-sfaf'!$Z137</f>
        <v>0</v>
      </c>
      <c r="Z137" s="171">
        <f>$X137*'2c. RB-sfaf'!AB137/'2c. RB-sfaf'!$Z137</f>
        <v>0</v>
      </c>
      <c r="AA137" s="171">
        <f>'1. RB-i'!N409</f>
        <v>0</v>
      </c>
      <c r="AB137" s="171">
        <f>'1. RB-i'!O409</f>
        <v>0</v>
      </c>
      <c r="AC137" s="171">
        <f>$AB137*'2c. RB-sfaf'!AE137/'2c. RB-sfaf'!$AD137</f>
        <v>0</v>
      </c>
      <c r="AD137" s="171">
        <f>$AB137*'2c. RB-sfaf'!AF137/'2c. RB-sfaf'!$AD137</f>
        <v>0</v>
      </c>
      <c r="AE137" s="171">
        <f>$AB137*'2c. RB-sfaf'!AG137/'2c. RB-sfaf'!$AD137</f>
        <v>0</v>
      </c>
      <c r="AF137" s="171">
        <f>'1. RB-i'!P409</f>
        <v>0</v>
      </c>
      <c r="AG137" s="171">
        <f>$AF137*'2c. RB-sfaf'!AI137/'2c. RB-sfaf'!$AH137</f>
        <v>0</v>
      </c>
      <c r="AH137" s="171">
        <f>'1. RB-i'!Q409</f>
        <v>0</v>
      </c>
      <c r="AI137" s="171"/>
      <c r="AJ137" s="171">
        <f>'1. RB-i'!I409</f>
        <v>0</v>
      </c>
      <c r="AK137" s="62">
        <f t="shared" ref="AK137:AK141" si="34">SUM(F137:J137,L137,N137:W137,Y137:Z137,AA137,AC137:AE137,AG137:AH137)</f>
        <v>0</v>
      </c>
      <c r="AL137" s="62">
        <f>AJ137-AK137</f>
        <v>0</v>
      </c>
    </row>
    <row r="138" spans="1:38" x14ac:dyDescent="0.3">
      <c r="A138" s="62"/>
      <c r="B138" s="62" t="s">
        <v>101</v>
      </c>
      <c r="C138" s="62"/>
      <c r="D138" s="171">
        <f>'1. RB-i'!J410</f>
        <v>0</v>
      </c>
      <c r="E138" s="171">
        <f>$D138*'2c. RB-sfaf'!G138/'2c. RB-sfaf'!$F138</f>
        <v>0</v>
      </c>
      <c r="F138" s="678"/>
      <c r="G138" s="678"/>
      <c r="H138" s="678"/>
      <c r="I138" s="171">
        <f>$D138*'2c. RB-sfaf'!K138/'2c. RB-sfaf'!$F138</f>
        <v>0</v>
      </c>
      <c r="J138" s="171">
        <f>$D138*'2c. RB-sfaf'!L138/'2c. RB-sfaf'!$F138</f>
        <v>0</v>
      </c>
      <c r="K138" s="171"/>
      <c r="L138" s="171">
        <f>'1. RB-i'!K410</f>
        <v>0</v>
      </c>
      <c r="M138" s="171">
        <f>'1. RB-i'!L410</f>
        <v>0</v>
      </c>
      <c r="N138" s="171">
        <f>$M138*'2c. RB-sfaf'!P138/'2c. RB-sfaf'!$O138</f>
        <v>0</v>
      </c>
      <c r="O138" s="171">
        <f>$M138*'2c. RB-sfaf'!Q138/'2c. RB-sfaf'!$O138</f>
        <v>0</v>
      </c>
      <c r="P138" s="171">
        <f>$M138*'2c. RB-sfaf'!R138/'2c. RB-sfaf'!$O138</f>
        <v>0</v>
      </c>
      <c r="Q138" s="171">
        <f>$M138*'2c. RB-sfaf'!S138/'2c. RB-sfaf'!$O138</f>
        <v>0</v>
      </c>
      <c r="R138" s="171">
        <f>$M138*'2c. RB-sfaf'!T138/'2c. RB-sfaf'!$O138</f>
        <v>0</v>
      </c>
      <c r="S138" s="171">
        <f>$M138*'2c. RB-sfaf'!U138/'2c. RB-sfaf'!$O138</f>
        <v>0</v>
      </c>
      <c r="T138" s="171">
        <f>$M138*'2c. RB-sfaf'!V138/'2c. RB-sfaf'!$O138</f>
        <v>0</v>
      </c>
      <c r="U138" s="171">
        <f>$M138*'2c. RB-sfaf'!W138/'2c. RB-sfaf'!$O138</f>
        <v>0</v>
      </c>
      <c r="V138" s="171">
        <f>$M138*'2c. RB-sfaf'!X138/'2c. RB-sfaf'!$O138</f>
        <v>0</v>
      </c>
      <c r="W138" s="171">
        <f>$M138*'2c. RB-sfaf'!Y138/'2c. RB-sfaf'!$O138</f>
        <v>0</v>
      </c>
      <c r="X138" s="171">
        <f>'1. RB-i'!M410</f>
        <v>0</v>
      </c>
      <c r="Y138" s="171">
        <f>$X138*'2c. RB-sfaf'!AA138/'2c. RB-sfaf'!$Z138</f>
        <v>0</v>
      </c>
      <c r="Z138" s="171">
        <f>$X138*'2c. RB-sfaf'!AB138/'2c. RB-sfaf'!$Z138</f>
        <v>0</v>
      </c>
      <c r="AA138" s="171">
        <f>'1. RB-i'!N410</f>
        <v>0</v>
      </c>
      <c r="AB138" s="171">
        <f>'1. RB-i'!O410</f>
        <v>0</v>
      </c>
      <c r="AC138" s="171">
        <f>$AB138*'2c. RB-sfaf'!AE138/'2c. RB-sfaf'!$AD138</f>
        <v>0</v>
      </c>
      <c r="AD138" s="171">
        <f>$AB138*'2c. RB-sfaf'!AF138/'2c. RB-sfaf'!$AD138</f>
        <v>0</v>
      </c>
      <c r="AE138" s="171">
        <f>$AB138*'2c. RB-sfaf'!AG138/'2c. RB-sfaf'!$AD138</f>
        <v>0</v>
      </c>
      <c r="AF138" s="171">
        <f>'1. RB-i'!P410</f>
        <v>0</v>
      </c>
      <c r="AG138" s="171">
        <f>$AF138*'2c. RB-sfaf'!AI138/'2c. RB-sfaf'!$AH138</f>
        <v>0</v>
      </c>
      <c r="AH138" s="171">
        <f>'1. RB-i'!Q410</f>
        <v>0</v>
      </c>
      <c r="AI138" s="171"/>
      <c r="AJ138" s="171">
        <f>'1. RB-i'!I410</f>
        <v>0</v>
      </c>
      <c r="AK138" s="62">
        <f t="shared" si="34"/>
        <v>0</v>
      </c>
      <c r="AL138" s="62">
        <f>AJ138-AK138</f>
        <v>0</v>
      </c>
    </row>
    <row r="139" spans="1:38" x14ac:dyDescent="0.3">
      <c r="A139" s="62"/>
      <c r="B139" s="62"/>
      <c r="C139" s="62"/>
      <c r="D139" s="62"/>
      <c r="E139" s="62"/>
      <c r="F139" s="677"/>
      <c r="G139" s="677"/>
      <c r="H139" s="677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171"/>
      <c r="AD139" s="171"/>
      <c r="AE139" s="171"/>
      <c r="AF139" s="171"/>
      <c r="AG139" s="171"/>
      <c r="AH139" s="171"/>
      <c r="AI139" s="171"/>
      <c r="AJ139" s="62"/>
      <c r="AK139" s="62">
        <f t="shared" si="34"/>
        <v>0</v>
      </c>
      <c r="AL139" s="62"/>
    </row>
    <row r="140" spans="1:38" x14ac:dyDescent="0.3">
      <c r="A140" s="499" t="s">
        <v>494</v>
      </c>
      <c r="B140" s="62"/>
      <c r="C140" s="62"/>
      <c r="D140" s="171">
        <f>D137+D138</f>
        <v>0</v>
      </c>
      <c r="E140" s="171">
        <f t="shared" ref="E140:AH140" si="35">E137+E138</f>
        <v>0</v>
      </c>
      <c r="F140" s="678"/>
      <c r="G140" s="678"/>
      <c r="H140" s="678"/>
      <c r="I140" s="171">
        <f t="shared" si="35"/>
        <v>0</v>
      </c>
      <c r="J140" s="171">
        <f t="shared" si="35"/>
        <v>0</v>
      </c>
      <c r="K140" s="171">
        <f t="shared" si="35"/>
        <v>0</v>
      </c>
      <c r="L140" s="171">
        <f t="shared" si="35"/>
        <v>0</v>
      </c>
      <c r="M140" s="171">
        <f t="shared" si="35"/>
        <v>0</v>
      </c>
      <c r="N140" s="171">
        <f t="shared" si="35"/>
        <v>0</v>
      </c>
      <c r="O140" s="171">
        <f t="shared" si="35"/>
        <v>0</v>
      </c>
      <c r="P140" s="171">
        <f t="shared" si="35"/>
        <v>0</v>
      </c>
      <c r="Q140" s="171">
        <f t="shared" si="35"/>
        <v>0</v>
      </c>
      <c r="R140" s="171">
        <f t="shared" si="35"/>
        <v>0</v>
      </c>
      <c r="S140" s="171">
        <f t="shared" si="35"/>
        <v>0</v>
      </c>
      <c r="T140" s="171">
        <f t="shared" si="35"/>
        <v>0</v>
      </c>
      <c r="U140" s="171">
        <f t="shared" si="35"/>
        <v>0</v>
      </c>
      <c r="V140" s="171">
        <f t="shared" si="35"/>
        <v>0</v>
      </c>
      <c r="W140" s="171">
        <f t="shared" si="35"/>
        <v>0</v>
      </c>
      <c r="X140" s="171">
        <f t="shared" si="35"/>
        <v>0</v>
      </c>
      <c r="Y140" s="171">
        <f t="shared" si="35"/>
        <v>0</v>
      </c>
      <c r="Z140" s="171">
        <f t="shared" si="35"/>
        <v>0</v>
      </c>
      <c r="AA140" s="171">
        <f t="shared" si="35"/>
        <v>0</v>
      </c>
      <c r="AB140" s="171">
        <f t="shared" si="35"/>
        <v>0</v>
      </c>
      <c r="AC140" s="171">
        <f t="shared" si="35"/>
        <v>0</v>
      </c>
      <c r="AD140" s="171">
        <f t="shared" si="35"/>
        <v>0</v>
      </c>
      <c r="AE140" s="171">
        <f t="shared" si="35"/>
        <v>0</v>
      </c>
      <c r="AF140" s="171">
        <f t="shared" si="35"/>
        <v>0</v>
      </c>
      <c r="AG140" s="171">
        <f t="shared" si="35"/>
        <v>0</v>
      </c>
      <c r="AH140" s="171">
        <f t="shared" si="35"/>
        <v>0</v>
      </c>
      <c r="AI140" s="171"/>
      <c r="AJ140" s="171">
        <f>'1. RB-i'!I412</f>
        <v>0</v>
      </c>
      <c r="AK140" s="62">
        <f t="shared" si="34"/>
        <v>0</v>
      </c>
      <c r="AL140" s="62">
        <f>AJ140-AK140</f>
        <v>0</v>
      </c>
    </row>
    <row r="141" spans="1:38" x14ac:dyDescent="0.3">
      <c r="A141" s="498"/>
      <c r="B141" s="62"/>
      <c r="C141" s="62"/>
      <c r="D141" s="62"/>
      <c r="E141" s="62"/>
      <c r="F141" s="677"/>
      <c r="G141" s="677"/>
      <c r="H141" s="677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171"/>
      <c r="AD141" s="171"/>
      <c r="AE141" s="171"/>
      <c r="AF141" s="171"/>
      <c r="AG141" s="171"/>
      <c r="AH141" s="171"/>
      <c r="AI141" s="171"/>
      <c r="AJ141" s="62"/>
      <c r="AK141" s="62">
        <f t="shared" si="34"/>
        <v>0</v>
      </c>
      <c r="AL141" s="62"/>
    </row>
    <row r="142" spans="1:38" x14ac:dyDescent="0.3">
      <c r="A142" s="463" t="s">
        <v>495</v>
      </c>
      <c r="B142" s="62"/>
      <c r="C142" s="62"/>
      <c r="D142" s="171">
        <f t="shared" ref="D142:J142" si="36">D98+D117+D132+D140</f>
        <v>3509750538.4622955</v>
      </c>
      <c r="E142" s="171">
        <f t="shared" si="36"/>
        <v>3430679145.0743985</v>
      </c>
      <c r="F142" s="678"/>
      <c r="G142" s="678"/>
      <c r="H142" s="678"/>
      <c r="I142" s="171">
        <f t="shared" si="36"/>
        <v>79071393.387896895</v>
      </c>
      <c r="J142" s="171">
        <f t="shared" si="36"/>
        <v>0</v>
      </c>
      <c r="K142" s="171"/>
      <c r="L142" s="171">
        <f t="shared" ref="L142:AH142" si="37">L98+L117+L132+L140</f>
        <v>853049006.95694482</v>
      </c>
      <c r="M142" s="171">
        <f t="shared" si="37"/>
        <v>2238093162.236341</v>
      </c>
      <c r="N142" s="171">
        <f t="shared" si="37"/>
        <v>378396336.94476551</v>
      </c>
      <c r="O142" s="171">
        <f t="shared" si="37"/>
        <v>634524990.24899721</v>
      </c>
      <c r="P142" s="171">
        <f t="shared" si="37"/>
        <v>169681427.5601795</v>
      </c>
      <c r="Q142" s="171">
        <f t="shared" si="37"/>
        <v>178295302.34677774</v>
      </c>
      <c r="R142" s="171">
        <f t="shared" si="37"/>
        <v>352514001.87719792</v>
      </c>
      <c r="S142" s="171">
        <f t="shared" si="37"/>
        <v>87221162.448025957</v>
      </c>
      <c r="T142" s="171">
        <f t="shared" si="37"/>
        <v>194903159.61077228</v>
      </c>
      <c r="U142" s="171">
        <f t="shared" si="37"/>
        <v>130630099.47089377</v>
      </c>
      <c r="V142" s="171">
        <f t="shared" si="37"/>
        <v>111605223.88534749</v>
      </c>
      <c r="W142" s="171">
        <f t="shared" si="37"/>
        <v>321457.84338360757</v>
      </c>
      <c r="X142" s="171">
        <f t="shared" si="37"/>
        <v>170138080.66719595</v>
      </c>
      <c r="Y142" s="171">
        <f t="shared" si="37"/>
        <v>158535443.60408646</v>
      </c>
      <c r="Z142" s="171">
        <f t="shared" si="37"/>
        <v>11602637.063109498</v>
      </c>
      <c r="AA142" s="171">
        <f t="shared" si="37"/>
        <v>7645179.4379166793</v>
      </c>
      <c r="AB142" s="171">
        <f t="shared" si="37"/>
        <v>39046455.428348765</v>
      </c>
      <c r="AC142" s="171">
        <f t="shared" si="37"/>
        <v>35431144.438197859</v>
      </c>
      <c r="AD142" s="171">
        <f t="shared" si="37"/>
        <v>3615310.9901508992</v>
      </c>
      <c r="AE142" s="171">
        <f t="shared" si="37"/>
        <v>0</v>
      </c>
      <c r="AF142" s="171">
        <f t="shared" si="37"/>
        <v>5541358.3705311799</v>
      </c>
      <c r="AG142" s="171">
        <f t="shared" si="37"/>
        <v>5541358.3705311799</v>
      </c>
      <c r="AH142" s="171">
        <f t="shared" si="37"/>
        <v>0</v>
      </c>
      <c r="AI142" s="62"/>
      <c r="AJ142" s="171">
        <f>AJ98+AJ117+AJ132+AJ140</f>
        <v>6823263782.6492748</v>
      </c>
      <c r="AK142" s="62">
        <f>SUM(E142,I142:J142,L142,N142:W142,Y142:Z142,AA142,AC142:AE142,AG142:AH142)</f>
        <v>6823263781.5595741</v>
      </c>
      <c r="AL142" s="62">
        <f>AJ142-AK142</f>
        <v>1.0897006988525391</v>
      </c>
    </row>
    <row r="143" spans="1:38" x14ac:dyDescent="0.3">
      <c r="A143" s="62"/>
      <c r="B143" s="62"/>
      <c r="C143" s="62"/>
      <c r="D143" s="470"/>
      <c r="E143" s="470"/>
      <c r="F143" s="679"/>
      <c r="G143" s="679"/>
      <c r="H143" s="679"/>
      <c r="I143" s="470"/>
      <c r="J143" s="470"/>
      <c r="K143" s="470"/>
      <c r="L143" s="470"/>
      <c r="M143" s="509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470"/>
      <c r="Y143" s="470"/>
      <c r="Z143" s="470"/>
      <c r="AA143" s="509"/>
      <c r="AB143" s="509"/>
      <c r="AC143" s="509"/>
      <c r="AD143" s="509"/>
      <c r="AE143" s="509"/>
      <c r="AF143" s="509"/>
      <c r="AG143" s="509"/>
      <c r="AH143" s="509"/>
      <c r="AI143" s="62"/>
      <c r="AJ143" s="171"/>
      <c r="AK143" s="62"/>
      <c r="AL143" s="62"/>
    </row>
    <row r="144" spans="1:38" x14ac:dyDescent="0.3">
      <c r="A144" s="499" t="s">
        <v>502</v>
      </c>
      <c r="B144" s="62"/>
      <c r="C144" s="62"/>
      <c r="D144" s="62"/>
      <c r="E144" s="62"/>
      <c r="F144" s="677"/>
      <c r="G144" s="677"/>
      <c r="H144" s="677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</row>
    <row r="145" spans="1:38" x14ac:dyDescent="0.3">
      <c r="A145" s="62"/>
      <c r="B145" s="62"/>
      <c r="C145" s="62"/>
      <c r="D145" s="62"/>
      <c r="E145" s="62"/>
      <c r="F145" s="677"/>
      <c r="G145" s="677"/>
      <c r="H145" s="677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</row>
    <row r="146" spans="1:38" x14ac:dyDescent="0.3">
      <c r="A146" s="62"/>
      <c r="B146" s="62" t="s">
        <v>503</v>
      </c>
      <c r="C146" s="62"/>
      <c r="D146" s="171">
        <f>'1. RB-i'!J418</f>
        <v>0</v>
      </c>
      <c r="E146" s="171">
        <f>$D146*'2c. RB-sfaf'!G146/'2c. RB-sfaf'!$F146</f>
        <v>0</v>
      </c>
      <c r="F146" s="678"/>
      <c r="G146" s="678"/>
      <c r="H146" s="678"/>
      <c r="I146" s="171">
        <f>$D146*'2c. RB-sfaf'!K146/'2c. RB-sfaf'!$F146</f>
        <v>0</v>
      </c>
      <c r="J146" s="171">
        <f>$D146*'2c. RB-sfaf'!L146/'2c. RB-sfaf'!$F146</f>
        <v>0</v>
      </c>
      <c r="K146" s="171"/>
      <c r="L146" s="171">
        <f>'1. RB-i'!K418</f>
        <v>0</v>
      </c>
      <c r="M146" s="171">
        <f>'1. RB-i'!L418</f>
        <v>0</v>
      </c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>
        <f>'1. RB-i'!M418</f>
        <v>0</v>
      </c>
      <c r="Y146" s="171"/>
      <c r="Z146" s="171"/>
      <c r="AA146" s="171">
        <f>'1. RB-i'!N418</f>
        <v>0</v>
      </c>
      <c r="AB146" s="171">
        <f>'1. RB-i'!O418</f>
        <v>0</v>
      </c>
      <c r="AC146" s="171"/>
      <c r="AD146" s="171"/>
      <c r="AE146" s="171"/>
      <c r="AF146" s="171">
        <f>'1. RB-i'!P418</f>
        <v>0</v>
      </c>
      <c r="AG146" s="171"/>
      <c r="AH146" s="171">
        <f>'1. RB-i'!Q418</f>
        <v>0</v>
      </c>
      <c r="AI146" s="62"/>
      <c r="AJ146" s="171">
        <f>'1. RB-i'!I418</f>
        <v>0</v>
      </c>
      <c r="AK146" s="62">
        <f t="shared" ref="AK146:AK147" si="38">SUM(F146:J146,L146,N146:W146,Y146:Z146,AA146,AC146:AE146,AG146:AH146)</f>
        <v>0</v>
      </c>
      <c r="AL146" s="62">
        <f>AJ146-AK146</f>
        <v>0</v>
      </c>
    </row>
    <row r="147" spans="1:38" x14ac:dyDescent="0.3">
      <c r="A147" s="62"/>
      <c r="B147" s="62" t="s">
        <v>504</v>
      </c>
      <c r="C147" s="62"/>
      <c r="D147" s="171">
        <f>'1. RB-i'!J419</f>
        <v>0</v>
      </c>
      <c r="E147" s="171">
        <f>$D147*'2c. RB-sfaf'!G147/'2c. RB-sfaf'!$F147</f>
        <v>0</v>
      </c>
      <c r="F147" s="678"/>
      <c r="G147" s="678"/>
      <c r="H147" s="678"/>
      <c r="I147" s="171">
        <f>$D147*'2c. RB-sfaf'!K147/'2c. RB-sfaf'!$F147</f>
        <v>0</v>
      </c>
      <c r="J147" s="171">
        <f>$D147*'2c. RB-sfaf'!L147/'2c. RB-sfaf'!$F147</f>
        <v>0</v>
      </c>
      <c r="K147" s="171"/>
      <c r="L147" s="171">
        <f>'1. RB-i'!K419</f>
        <v>0</v>
      </c>
      <c r="M147" s="171">
        <f>'1. RB-i'!L419</f>
        <v>0</v>
      </c>
      <c r="N147" s="171">
        <f>$M147*'2c. RB-sfaf'!P147/'2c. RB-sfaf'!$O147</f>
        <v>0</v>
      </c>
      <c r="O147" s="171">
        <f>$M147*'2c. RB-sfaf'!Q147/'2c. RB-sfaf'!$O147</f>
        <v>0</v>
      </c>
      <c r="P147" s="171">
        <f>$M147*'2c. RB-sfaf'!R147/'2c. RB-sfaf'!$O147</f>
        <v>0</v>
      </c>
      <c r="Q147" s="171">
        <f>$M147*'2c. RB-sfaf'!S147/'2c. RB-sfaf'!$O147</f>
        <v>0</v>
      </c>
      <c r="R147" s="171">
        <f>$M147*'2c. RB-sfaf'!T147/'2c. RB-sfaf'!$O147</f>
        <v>0</v>
      </c>
      <c r="S147" s="171">
        <f>$M147*'2c. RB-sfaf'!U147/'2c. RB-sfaf'!$O147</f>
        <v>0</v>
      </c>
      <c r="T147" s="171">
        <f>$M147*'2c. RB-sfaf'!V147/'2c. RB-sfaf'!$O147</f>
        <v>0</v>
      </c>
      <c r="U147" s="171">
        <f>$M147*'2c. RB-sfaf'!W147/'2c. RB-sfaf'!$O147</f>
        <v>0</v>
      </c>
      <c r="V147" s="171">
        <f>$M147*'2c. RB-sfaf'!X147/'2c. RB-sfaf'!$O147</f>
        <v>0</v>
      </c>
      <c r="W147" s="171">
        <f>$M147*'2c. RB-sfaf'!Y147/'2c. RB-sfaf'!$O147</f>
        <v>0</v>
      </c>
      <c r="X147" s="171">
        <f>'1. RB-i'!M419</f>
        <v>0</v>
      </c>
      <c r="Y147" s="171"/>
      <c r="Z147" s="171"/>
      <c r="AA147" s="171">
        <f>'1. RB-i'!N419</f>
        <v>0</v>
      </c>
      <c r="AB147" s="171">
        <f>'1. RB-i'!O419</f>
        <v>0</v>
      </c>
      <c r="AC147" s="171"/>
      <c r="AD147" s="171"/>
      <c r="AE147" s="171"/>
      <c r="AF147" s="171">
        <f>'1. RB-i'!P419</f>
        <v>0</v>
      </c>
      <c r="AG147" s="171"/>
      <c r="AH147" s="171">
        <f>'1. RB-i'!Q419</f>
        <v>-37877851.181544743</v>
      </c>
      <c r="AI147" s="62"/>
      <c r="AJ147" s="171">
        <f>'1. RB-i'!I419</f>
        <v>-37877851.181544743</v>
      </c>
      <c r="AK147" s="62">
        <f t="shared" si="38"/>
        <v>-37877851.181544743</v>
      </c>
      <c r="AL147" s="62">
        <f>AJ147-AK147</f>
        <v>0</v>
      </c>
    </row>
    <row r="148" spans="1:38" x14ac:dyDescent="0.3">
      <c r="A148" s="62"/>
      <c r="B148" s="62"/>
      <c r="C148" s="62"/>
      <c r="D148" s="62"/>
      <c r="E148" s="62"/>
      <c r="F148" s="677"/>
      <c r="G148" s="677"/>
      <c r="H148" s="677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</row>
    <row r="149" spans="1:38" x14ac:dyDescent="0.3">
      <c r="A149" s="62"/>
      <c r="B149" s="463" t="s">
        <v>505</v>
      </c>
      <c r="C149" s="463"/>
      <c r="D149" s="62"/>
      <c r="E149" s="62"/>
      <c r="F149" s="677"/>
      <c r="G149" s="677"/>
      <c r="H149" s="677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468"/>
      <c r="AK149" s="62"/>
      <c r="AL149" s="62"/>
    </row>
    <row r="150" spans="1:38" x14ac:dyDescent="0.3">
      <c r="A150" s="62"/>
      <c r="B150" s="62" t="s">
        <v>506</v>
      </c>
      <c r="C150" s="62"/>
      <c r="D150" s="678"/>
      <c r="E150" s="678"/>
      <c r="F150" s="678"/>
      <c r="G150" s="678"/>
      <c r="H150" s="678"/>
      <c r="I150" s="678"/>
      <c r="J150" s="678"/>
      <c r="K150" s="678"/>
      <c r="L150" s="678"/>
      <c r="M150" s="678"/>
      <c r="N150" s="678"/>
      <c r="O150" s="678"/>
      <c r="P150" s="678"/>
      <c r="Q150" s="678"/>
      <c r="R150" s="678"/>
      <c r="S150" s="678"/>
      <c r="T150" s="678"/>
      <c r="U150" s="678"/>
      <c r="V150" s="678"/>
      <c r="W150" s="678"/>
      <c r="X150" s="678"/>
      <c r="Y150" s="678"/>
      <c r="Z150" s="678"/>
      <c r="AA150" s="678"/>
      <c r="AB150" s="678"/>
      <c r="AC150" s="678"/>
      <c r="AD150" s="678"/>
      <c r="AE150" s="678"/>
      <c r="AF150" s="678"/>
      <c r="AG150" s="678"/>
      <c r="AH150" s="678"/>
      <c r="AI150" s="62"/>
      <c r="AJ150" s="171">
        <f>'1. RB-i'!I422</f>
        <v>0</v>
      </c>
      <c r="AK150" s="62">
        <f t="shared" ref="AK150:AK151" si="39">SUM(F150:J150,L150,N150:W150,Y150:Z150,AA150,AC150:AE150,AG150:AH150)</f>
        <v>0</v>
      </c>
      <c r="AL150" s="62">
        <f>AJ150-AK150</f>
        <v>0</v>
      </c>
    </row>
    <row r="151" spans="1:38" x14ac:dyDescent="0.3">
      <c r="A151" s="62"/>
      <c r="B151" s="62" t="s">
        <v>507</v>
      </c>
      <c r="C151" s="62"/>
      <c r="D151" s="678"/>
      <c r="E151" s="678"/>
      <c r="F151" s="678"/>
      <c r="G151" s="678"/>
      <c r="H151" s="678"/>
      <c r="I151" s="678"/>
      <c r="J151" s="678"/>
      <c r="K151" s="678"/>
      <c r="L151" s="678"/>
      <c r="M151" s="678"/>
      <c r="N151" s="678"/>
      <c r="O151" s="678"/>
      <c r="P151" s="678"/>
      <c r="Q151" s="678"/>
      <c r="R151" s="678"/>
      <c r="S151" s="678"/>
      <c r="T151" s="678"/>
      <c r="U151" s="678"/>
      <c r="V151" s="678"/>
      <c r="W151" s="678"/>
      <c r="X151" s="678"/>
      <c r="Y151" s="678"/>
      <c r="Z151" s="678"/>
      <c r="AA151" s="678"/>
      <c r="AB151" s="678"/>
      <c r="AC151" s="678"/>
      <c r="AD151" s="678"/>
      <c r="AE151" s="678"/>
      <c r="AF151" s="678"/>
      <c r="AG151" s="678"/>
      <c r="AH151" s="678"/>
      <c r="AI151" s="62"/>
      <c r="AJ151" s="171">
        <f>'1. RB-i'!I423</f>
        <v>0</v>
      </c>
      <c r="AK151" s="62">
        <f t="shared" si="39"/>
        <v>0</v>
      </c>
      <c r="AL151" s="62">
        <f>AJ151-AK151</f>
        <v>0</v>
      </c>
    </row>
    <row r="152" spans="1:38" x14ac:dyDescent="0.3">
      <c r="A152" s="62"/>
      <c r="B152" s="62" t="s">
        <v>508</v>
      </c>
      <c r="C152" s="62"/>
      <c r="D152" s="680">
        <v>-6798585.8499999996</v>
      </c>
      <c r="E152" s="680">
        <v>-4453267.423986272</v>
      </c>
      <c r="F152" s="680"/>
      <c r="G152" s="680"/>
      <c r="H152" s="680"/>
      <c r="I152" s="680">
        <v>-2345318.4260137281</v>
      </c>
      <c r="J152" s="680">
        <v>0</v>
      </c>
      <c r="K152" s="680"/>
      <c r="L152" s="680">
        <v>0</v>
      </c>
      <c r="M152" s="680">
        <v>0</v>
      </c>
      <c r="N152" s="680">
        <v>0</v>
      </c>
      <c r="O152" s="680">
        <v>0</v>
      </c>
      <c r="P152" s="680">
        <v>0</v>
      </c>
      <c r="Q152" s="680">
        <v>0</v>
      </c>
      <c r="R152" s="680">
        <v>0</v>
      </c>
      <c r="S152" s="680">
        <v>0</v>
      </c>
      <c r="T152" s="680">
        <v>0</v>
      </c>
      <c r="U152" s="680">
        <v>0</v>
      </c>
      <c r="V152" s="680">
        <v>0</v>
      </c>
      <c r="W152" s="680">
        <v>0</v>
      </c>
      <c r="X152" s="680">
        <v>0</v>
      </c>
      <c r="Y152" s="680">
        <v>0</v>
      </c>
      <c r="Z152" s="680">
        <v>0</v>
      </c>
      <c r="AA152" s="680">
        <v>0</v>
      </c>
      <c r="AB152" s="680">
        <v>0</v>
      </c>
      <c r="AC152" s="680"/>
      <c r="AD152" s="680"/>
      <c r="AE152" s="680"/>
      <c r="AF152" s="680">
        <v>0</v>
      </c>
      <c r="AG152" s="680">
        <v>0</v>
      </c>
      <c r="AH152" s="680">
        <v>0</v>
      </c>
      <c r="AI152" s="62"/>
      <c r="AJ152" s="171">
        <f>'1. RB-i'!I424</f>
        <v>-6798585.8499999996</v>
      </c>
      <c r="AK152" s="62">
        <f>SUM(E152,I152:J152,L152,N152:W152,Y152:Z152,AA152,AC152:AE152,AG152:AH152)</f>
        <v>-6798585.8499999996</v>
      </c>
      <c r="AL152" s="62">
        <f>AJ152-AK152</f>
        <v>0</v>
      </c>
    </row>
    <row r="153" spans="1:38" x14ac:dyDescent="0.3">
      <c r="A153" s="62"/>
      <c r="B153" s="62"/>
      <c r="C153" s="62"/>
      <c r="D153" s="171"/>
      <c r="E153" s="171"/>
      <c r="F153" s="678"/>
      <c r="G153" s="678"/>
      <c r="H153" s="678"/>
      <c r="I153" s="171"/>
      <c r="J153" s="171"/>
      <c r="K153" s="171"/>
      <c r="L153" s="171"/>
      <c r="M153" s="171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62"/>
      <c r="AJ153" s="171"/>
      <c r="AK153" s="62"/>
      <c r="AL153" s="62"/>
    </row>
    <row r="154" spans="1:38" x14ac:dyDescent="0.3">
      <c r="A154" s="62"/>
      <c r="B154" s="62" t="s">
        <v>509</v>
      </c>
      <c r="C154" s="62"/>
      <c r="D154" s="171">
        <f>'1. RB-i'!J426</f>
        <v>-2258861.19</v>
      </c>
      <c r="E154" s="171">
        <f>$D154*'2c. RB-sfaf'!G154/'2c. RB-sfaf'!$F154</f>
        <v>-1485011.7795552779</v>
      </c>
      <c r="F154" s="678"/>
      <c r="G154" s="678"/>
      <c r="H154" s="678"/>
      <c r="I154" s="171">
        <f>$D154*'2c. RB-sfaf'!K154/'2c. RB-sfaf'!$F154</f>
        <v>-773849.41044472216</v>
      </c>
      <c r="J154" s="171">
        <f>$D154*'2c. RB-sfaf'!L154/'2c. RB-sfaf'!$F154</f>
        <v>0</v>
      </c>
      <c r="K154" s="171"/>
      <c r="L154" s="171">
        <f>'1. RB-i'!K426</f>
        <v>-2986757.6499999994</v>
      </c>
      <c r="M154" s="171">
        <f>'1. RB-i'!L426</f>
        <v>-10635337.899999999</v>
      </c>
      <c r="N154" s="171">
        <f>$M154*'2c. RB-sfaf'!P154/'2c. RB-sfaf'!$O154</f>
        <v>-3340264.8396003786</v>
      </c>
      <c r="O154" s="171">
        <f>$M154*'2c. RB-sfaf'!Q154/'2c. RB-sfaf'!$O154</f>
        <v>-3041837.5096486583</v>
      </c>
      <c r="P154" s="171">
        <f>$M154*'2c. RB-sfaf'!R154/'2c. RB-sfaf'!$O154</f>
        <v>-837259.99351642677</v>
      </c>
      <c r="Q154" s="171">
        <f>$M154*'2c. RB-sfaf'!S154/'2c. RB-sfaf'!$O154</f>
        <v>-163983.23318771343</v>
      </c>
      <c r="R154" s="171">
        <f>$M154*'2c. RB-sfaf'!T154/'2c. RB-sfaf'!$O154</f>
        <v>-2161877.0720444564</v>
      </c>
      <c r="S154" s="171">
        <f>$M154*'2c. RB-sfaf'!U154/'2c. RB-sfaf'!$O154</f>
        <v>-575368.47718919185</v>
      </c>
      <c r="T154" s="171">
        <f>$M154*'2c. RB-sfaf'!V154/'2c. RB-sfaf'!$O154</f>
        <v>-179257.94931664958</v>
      </c>
      <c r="U154" s="171">
        <f>$M154*'2c. RB-sfaf'!W154/'2c. RB-sfaf'!$O154</f>
        <v>0</v>
      </c>
      <c r="V154" s="171">
        <f>$M154*'2c. RB-sfaf'!X154/'2c. RB-sfaf'!$O154</f>
        <v>-302051.70568399469</v>
      </c>
      <c r="W154" s="171">
        <f>$M154*'2c. RB-sfaf'!Y154/'2c. RB-sfaf'!$O154</f>
        <v>-33437.119812529978</v>
      </c>
      <c r="X154" s="171">
        <f>'1. RB-i'!M426</f>
        <v>0</v>
      </c>
      <c r="Y154" s="171">
        <f>$X154*'2c. RB-sfaf'!AA154/'2c. RB-sfaf'!$Z154</f>
        <v>0</v>
      </c>
      <c r="Z154" s="171">
        <f>$X154*'2c. RB-sfaf'!AB154/'2c. RB-sfaf'!$Z154</f>
        <v>0</v>
      </c>
      <c r="AA154" s="171">
        <f>'1. RB-i'!N426</f>
        <v>0</v>
      </c>
      <c r="AB154" s="171">
        <f>'1. RB-i'!O426</f>
        <v>0</v>
      </c>
      <c r="AC154" s="171"/>
      <c r="AD154" s="171"/>
      <c r="AE154" s="171"/>
      <c r="AF154" s="171">
        <f>'1. RB-i'!P426</f>
        <v>-690294.37999999989</v>
      </c>
      <c r="AG154" s="171">
        <f>$AF154*'2c. RB-sfaf'!AI154/'2c. RB-sfaf'!$AH154</f>
        <v>-690294.37999999989</v>
      </c>
      <c r="AH154" s="171">
        <f>'1. RB-i'!Q426</f>
        <v>0</v>
      </c>
      <c r="AI154" s="62"/>
      <c r="AJ154" s="171">
        <f>'1. RB-i'!I426</f>
        <v>-16571251.120000001</v>
      </c>
      <c r="AK154" s="62">
        <f>SUM(E154,I154:J154,L154,N154:W154,Y154:Z154,AA154,AC154:AE154,AG154:AH154)</f>
        <v>-16571251.119999997</v>
      </c>
      <c r="AL154" s="62">
        <f>AJ154-AK154</f>
        <v>0</v>
      </c>
    </row>
    <row r="155" spans="1:38" x14ac:dyDescent="0.3">
      <c r="A155" s="62"/>
      <c r="B155" s="62"/>
      <c r="C155" s="62"/>
      <c r="D155" s="171"/>
      <c r="E155" s="171"/>
      <c r="F155" s="678"/>
      <c r="G155" s="678"/>
      <c r="H155" s="678"/>
      <c r="I155" s="171"/>
      <c r="J155" s="171"/>
      <c r="K155" s="171"/>
      <c r="L155" s="171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171"/>
      <c r="Y155" s="171"/>
      <c r="Z155" s="171"/>
      <c r="AA155" s="62"/>
      <c r="AB155" s="62"/>
      <c r="AC155" s="62"/>
      <c r="AD155" s="62"/>
      <c r="AE155" s="62"/>
      <c r="AF155" s="62"/>
      <c r="AG155" s="62"/>
      <c r="AH155" s="62"/>
      <c r="AI155" s="62"/>
      <c r="AJ155" s="468"/>
      <c r="AK155" s="62"/>
      <c r="AL155" s="62"/>
    </row>
    <row r="156" spans="1:38" x14ac:dyDescent="0.3">
      <c r="A156" s="62"/>
      <c r="B156" s="62" t="s">
        <v>510</v>
      </c>
      <c r="C156" s="62"/>
      <c r="D156" s="171">
        <f>'1. RB-i'!J428</f>
        <v>249599970.53407323</v>
      </c>
      <c r="E156" s="171">
        <f>+D156*'2c. RB-sfaf'!G156/'2c. RB-sfaf'!F156</f>
        <v>243976716.90296072</v>
      </c>
      <c r="F156" s="678"/>
      <c r="G156" s="678"/>
      <c r="H156" s="678"/>
      <c r="I156" s="171">
        <f>+D156*'2c. RB-sfaf'!K156/'2c. RB-sfaf'!F156</f>
        <v>5623253.6311125066</v>
      </c>
      <c r="J156" s="171">
        <f>$D156*'2c. RB-sfaf'!L156/'2c. RB-sfaf'!$F156</f>
        <v>0</v>
      </c>
      <c r="K156" s="171"/>
      <c r="L156" s="171">
        <f>'1. RB-i'!K428</f>
        <v>90839870.28130953</v>
      </c>
      <c r="M156" s="171">
        <f>'1. RB-i'!L428</f>
        <v>207852704.94391328</v>
      </c>
      <c r="N156" s="171">
        <f>+M156*'2c. RB-sfaf'!P156/'2c. RB-sfaf'!O156</f>
        <v>35141835.693849668</v>
      </c>
      <c r="O156" s="171">
        <f>+M156*'2c. RB-sfaf'!Q156/'2c. RB-sfaf'!O156</f>
        <v>58928617.361924186</v>
      </c>
      <c r="P156" s="171">
        <f>+M156*'2c. RB-sfaf'!R156/'2c. RB-sfaf'!O156</f>
        <v>15758389.459483825</v>
      </c>
      <c r="Q156" s="171">
        <f>+M156*'2c. RB-sfaf'!S156/'2c. RB-sfaf'!O156</f>
        <v>16558363.832603127</v>
      </c>
      <c r="R156" s="171">
        <f>+M156*'2c. RB-sfaf'!T156/'2c. RB-sfaf'!O156</f>
        <v>32738131.752998911</v>
      </c>
      <c r="S156" s="171">
        <f>+M156*'2c. RB-sfaf'!U156/'2c. RB-sfaf'!O156</f>
        <v>8100268.053658545</v>
      </c>
      <c r="T156" s="171">
        <f>+M156*'2c. RB-sfaf'!V156/'2c. RB-sfaf'!O156</f>
        <v>18100742.905060682</v>
      </c>
      <c r="U156" s="171">
        <f>+M156*'2c. RB-sfaf'!W156/'2c. RB-sfaf'!O156</f>
        <v>12131675.294064682</v>
      </c>
      <c r="V156" s="171">
        <f>+M156*'2c. RB-sfaf'!X156/'2c. RB-sfaf'!O156</f>
        <v>10364826.657734489</v>
      </c>
      <c r="W156" s="171">
        <f>+M156*'2c. RB-sfaf'!Y156/'2c. RB-sfaf'!O156</f>
        <v>29853.932535121141</v>
      </c>
      <c r="X156" s="171">
        <f>+'1. RB-i'!M428</f>
        <v>3903861.5496431245</v>
      </c>
      <c r="Y156" s="171">
        <f>+X156*'2c. RB-sfaf'!AA156/'2c. RB-sfaf'!Z156</f>
        <v>3637636.0901368647</v>
      </c>
      <c r="Z156" s="171">
        <f>+X156*'2c. RB-sfaf'!AB156/'2c. RB-sfaf'!Z156</f>
        <v>266225.45950626017</v>
      </c>
      <c r="AA156" s="171">
        <f>+'1. RB-i'!N428</f>
        <v>1483865.9682655758</v>
      </c>
      <c r="AB156" s="171">
        <f>+'1. RB-i'!O428</f>
        <v>4425298.1509868335</v>
      </c>
      <c r="AC156" s="171">
        <f>+AB156*'2c. RB-sfaf'!AE156/'2c. RB-sfaf'!AD156</f>
        <v>4015559.8312226897</v>
      </c>
      <c r="AD156" s="171">
        <f>+AB156*'2c. RB-sfaf'!AF156/'2c. RB-sfaf'!AD156</f>
        <v>409738.31976414385</v>
      </c>
      <c r="AE156" s="171">
        <f>+AB156*'2c. RB-sfaf'!AG156/'2c. RB-sfaf'!AD156</f>
        <v>0</v>
      </c>
      <c r="AF156" s="171">
        <f>+'1. RB-i'!P428</f>
        <v>2454258.4538577343</v>
      </c>
      <c r="AG156" s="171">
        <f>+AF156*'2c. RB-sfaf'!AI156/'2c. RB-sfaf'!AH156</f>
        <v>2454258.4538577343</v>
      </c>
      <c r="AH156" s="171">
        <f>+'1. RB-i'!Q428</f>
        <v>0</v>
      </c>
      <c r="AI156" s="62"/>
      <c r="AJ156" s="171">
        <f>'1. RB-i'!I428</f>
        <v>560559826.88204932</v>
      </c>
      <c r="AK156" s="62">
        <f>SUM(E156,I156:J156,L156,N156:W156,Y156:Z156,AA156,AC156:AE156,AG156:AH156)</f>
        <v>560559829.88204932</v>
      </c>
      <c r="AL156" s="62">
        <f>AJ156-AK156</f>
        <v>-3</v>
      </c>
    </row>
    <row r="157" spans="1:38" x14ac:dyDescent="0.3">
      <c r="A157" s="62"/>
      <c r="B157" s="62"/>
      <c r="C157" s="62"/>
      <c r="D157" s="62"/>
      <c r="E157" s="62"/>
      <c r="F157" s="677"/>
      <c r="G157" s="677"/>
      <c r="H157" s="677"/>
      <c r="I157" s="62"/>
      <c r="J157" s="62"/>
      <c r="K157" s="62"/>
      <c r="L157" s="62"/>
      <c r="M157" s="468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468"/>
      <c r="AB157" s="468"/>
      <c r="AC157" s="468"/>
      <c r="AD157" s="468"/>
      <c r="AE157" s="468"/>
      <c r="AF157" s="468"/>
      <c r="AG157" s="468"/>
      <c r="AH157" s="468"/>
      <c r="AI157" s="62"/>
      <c r="AJ157" s="62"/>
      <c r="AK157" s="62"/>
      <c r="AL157" s="62"/>
    </row>
    <row r="158" spans="1:38" x14ac:dyDescent="0.3">
      <c r="A158" s="498" t="s">
        <v>511</v>
      </c>
      <c r="B158" s="62"/>
      <c r="C158" s="62"/>
      <c r="D158" s="62"/>
      <c r="E158" s="62"/>
      <c r="F158" s="677"/>
      <c r="G158" s="677"/>
      <c r="H158" s="677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</row>
    <row r="159" spans="1:38" x14ac:dyDescent="0.3">
      <c r="A159" s="62" t="s">
        <v>512</v>
      </c>
      <c r="B159" s="498" t="s">
        <v>513</v>
      </c>
      <c r="C159" s="498"/>
      <c r="D159" s="62"/>
      <c r="E159" s="62"/>
      <c r="F159" s="677"/>
      <c r="G159" s="677"/>
      <c r="H159" s="677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</row>
    <row r="160" spans="1:38" x14ac:dyDescent="0.3">
      <c r="A160" s="62" t="s">
        <v>514</v>
      </c>
      <c r="B160" s="498" t="s">
        <v>515</v>
      </c>
      <c r="C160" s="498"/>
      <c r="D160" s="62"/>
      <c r="E160" s="62"/>
      <c r="F160" s="677"/>
      <c r="G160" s="677"/>
      <c r="H160" s="677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</row>
    <row r="161" spans="1:38" x14ac:dyDescent="0.3">
      <c r="A161" s="62" t="s">
        <v>516</v>
      </c>
      <c r="B161" s="498" t="s">
        <v>517</v>
      </c>
      <c r="C161" s="498"/>
      <c r="D161" s="62"/>
      <c r="E161" s="62"/>
      <c r="F161" s="677"/>
      <c r="G161" s="677"/>
      <c r="H161" s="677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</row>
    <row r="162" spans="1:38" x14ac:dyDescent="0.3">
      <c r="A162" s="62" t="s">
        <v>518</v>
      </c>
      <c r="B162" s="498" t="s">
        <v>519</v>
      </c>
      <c r="C162" s="498"/>
      <c r="D162" s="62"/>
      <c r="E162" s="62"/>
      <c r="F162" s="677"/>
      <c r="G162" s="677"/>
      <c r="H162" s="677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</row>
    <row r="163" spans="1:38" x14ac:dyDescent="0.3">
      <c r="A163" s="62" t="s">
        <v>520</v>
      </c>
      <c r="B163" s="62" t="s">
        <v>521</v>
      </c>
      <c r="C163" s="62"/>
      <c r="D163" s="62"/>
      <c r="E163" s="62"/>
      <c r="F163" s="677"/>
      <c r="G163" s="677"/>
      <c r="H163" s="677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</row>
    <row r="164" spans="1:38" x14ac:dyDescent="0.3">
      <c r="A164" s="62" t="s">
        <v>520</v>
      </c>
      <c r="B164" s="62" t="s">
        <v>522</v>
      </c>
      <c r="C164" s="62"/>
      <c r="D164" s="62"/>
      <c r="E164" s="62"/>
      <c r="F164" s="677"/>
      <c r="G164" s="677"/>
      <c r="H164" s="677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</row>
    <row r="165" spans="1:38" x14ac:dyDescent="0.3">
      <c r="A165" s="62" t="s">
        <v>520</v>
      </c>
      <c r="B165" s="62" t="s">
        <v>523</v>
      </c>
      <c r="C165" s="62"/>
      <c r="D165" s="62"/>
      <c r="E165" s="62"/>
      <c r="F165" s="677"/>
      <c r="G165" s="677"/>
      <c r="H165" s="677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</row>
    <row r="166" spans="1:38" x14ac:dyDescent="0.3">
      <c r="A166" s="62"/>
      <c r="B166" s="62" t="s">
        <v>524</v>
      </c>
      <c r="C166" s="62"/>
      <c r="D166" s="62"/>
      <c r="E166" s="62"/>
      <c r="F166" s="677"/>
      <c r="G166" s="677"/>
      <c r="H166" s="677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</row>
    <row r="167" spans="1:38" x14ac:dyDescent="0.3">
      <c r="A167" s="62"/>
      <c r="B167" s="62"/>
      <c r="C167" s="62"/>
      <c r="D167" s="62"/>
      <c r="E167" s="62"/>
      <c r="F167" s="677"/>
      <c r="G167" s="677"/>
      <c r="H167" s="677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</row>
    <row r="168" spans="1:38" x14ac:dyDescent="0.3">
      <c r="A168" s="463" t="s">
        <v>525</v>
      </c>
      <c r="B168" s="62"/>
      <c r="C168" s="62"/>
      <c r="D168" s="62"/>
      <c r="E168" s="62"/>
      <c r="F168" s="677"/>
      <c r="G168" s="677"/>
      <c r="H168" s="677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</row>
    <row r="169" spans="1:38" x14ac:dyDescent="0.3">
      <c r="A169" s="62"/>
      <c r="B169" s="62" t="s">
        <v>526</v>
      </c>
      <c r="C169" s="62"/>
      <c r="D169" s="171">
        <f>'1. RB-i'!J441</f>
        <v>32785640.415241189</v>
      </c>
      <c r="E169" s="171">
        <f>$D169*'2c. RB-sfaf'!G169/'2c. RB-sfaf'!$F169</f>
        <v>23542237.83355023</v>
      </c>
      <c r="F169" s="678"/>
      <c r="G169" s="678"/>
      <c r="H169" s="678"/>
      <c r="I169" s="171">
        <f>$D169*'2c. RB-sfaf'!K169/'2c. RB-sfaf'!$F169</f>
        <v>9243402.5816909615</v>
      </c>
      <c r="J169" s="171">
        <f>$D169*'2c. RB-sfaf'!L169/'2c. RB-sfaf'!$F169</f>
        <v>0</v>
      </c>
      <c r="K169" s="171">
        <f>$D169*'2c. RB-sfaf'!M169/'2c. RB-sfaf'!$F169</f>
        <v>0</v>
      </c>
      <c r="L169" s="171">
        <f>'1. RB-i'!K441</f>
        <v>3647498.5767038199</v>
      </c>
      <c r="M169" s="171">
        <f>'1. RB-i'!L441</f>
        <v>16757463.143776461</v>
      </c>
      <c r="N169" s="171">
        <f>$M169*'2c. RB-sfaf'!P169/'2c. RB-sfaf'!$O169</f>
        <v>4255260.2880872861</v>
      </c>
      <c r="O169" s="171">
        <f>$M169*'2c. RB-sfaf'!Q169/'2c. RB-sfaf'!$O169</f>
        <v>5105334.2525551077</v>
      </c>
      <c r="P169" s="171">
        <f>$M169*'2c. RB-sfaf'!R169/'2c. RB-sfaf'!$O169</f>
        <v>1403452.6561807781</v>
      </c>
      <c r="Q169" s="171">
        <f>$M169*'2c. RB-sfaf'!S169/'2c. RB-sfaf'!$O169</f>
        <v>242453.11980227547</v>
      </c>
      <c r="R169" s="171">
        <f>$M169*'2c. RB-sfaf'!T169/'2c. RB-sfaf'!$O169</f>
        <v>3593157.9533074545</v>
      </c>
      <c r="S169" s="171">
        <f>$M169*'2c. RB-sfaf'!U169/'2c. RB-sfaf'!$O169</f>
        <v>953929.8142345642</v>
      </c>
      <c r="T169" s="171">
        <f>$M169*'2c. RB-sfaf'!V169/'2c. RB-sfaf'!$O169</f>
        <v>265037.15176434431</v>
      </c>
      <c r="U169" s="171">
        <f>$M169*'2c. RB-sfaf'!W169/'2c. RB-sfaf'!$O169</f>
        <v>9361.271220833245</v>
      </c>
      <c r="V169" s="171">
        <f>$M169*'2c. RB-sfaf'!X169/'2c. RB-sfaf'!$O169</f>
        <v>735854.54541373707</v>
      </c>
      <c r="W169" s="171">
        <f>$M169*'2c. RB-sfaf'!Y169/'2c. RB-sfaf'!$O169</f>
        <v>193622.09121008299</v>
      </c>
      <c r="X169" s="171">
        <f>'1. RB-i'!M441</f>
        <v>2672385.7505787606</v>
      </c>
      <c r="Y169" s="481">
        <f>$X169*'2c. RB-sfaf'!AA169/'2c. RB-sfaf'!$Z169</f>
        <v>1458255.3673211008</v>
      </c>
      <c r="Z169" s="481">
        <f>$X169*'2c. RB-sfaf'!AB169/'2c. RB-sfaf'!$Z169</f>
        <v>1214130.3832576601</v>
      </c>
      <c r="AA169" s="171">
        <f>'1. RB-i'!N441</f>
        <v>721669.4995262149</v>
      </c>
      <c r="AB169" s="171">
        <f>'1. RB-i'!O441</f>
        <v>2476526.9063821766</v>
      </c>
      <c r="AC169" s="481">
        <f>$AB169*'2c. RB-sfaf'!AE169/'2c. RB-sfaf'!$AD169</f>
        <v>2437565.9633668871</v>
      </c>
      <c r="AD169" s="481">
        <f>$AB169*'2c. RB-sfaf'!AF169/'2c. RB-sfaf'!$AD169</f>
        <v>38960.943015289486</v>
      </c>
      <c r="AE169" s="481">
        <f>$AB169*'2c. RB-sfaf'!AG169/'2c. RB-sfaf'!$AD169</f>
        <v>0</v>
      </c>
      <c r="AF169" s="171">
        <f>'1. RB-i'!P441</f>
        <v>1795445.1547629675</v>
      </c>
      <c r="AG169" s="481">
        <f>$AF169*'2c. RB-sfaf'!AI169/'2c. RB-sfaf'!$AH169</f>
        <v>1795445.1547629675</v>
      </c>
      <c r="AH169" s="481">
        <f>'1. RB-i'!Q441</f>
        <v>-935.76250000000005</v>
      </c>
      <c r="AI169" s="62"/>
      <c r="AJ169" s="171">
        <f>'1. RB-i'!I441</f>
        <v>60855693.684471592</v>
      </c>
      <c r="AK169" s="62">
        <f t="shared" ref="AK169:AK172" si="40">SUM(E169,I169:J169,L169,N169:W169,Y169:Z169,AA169,AC169:AE169,AG169:AH169)</f>
        <v>60855693.684471592</v>
      </c>
      <c r="AL169" s="62">
        <f>AJ169-AK169</f>
        <v>0</v>
      </c>
    </row>
    <row r="170" spans="1:38" x14ac:dyDescent="0.3">
      <c r="A170" s="62"/>
      <c r="B170" s="62" t="s">
        <v>527</v>
      </c>
      <c r="C170" s="62"/>
      <c r="D170" s="171">
        <f>'1. RB-i'!J442</f>
        <v>106348340.82000001</v>
      </c>
      <c r="E170" s="171">
        <f>$D170*'2c. RB-sfaf'!G170/'2c. RB-sfaf'!$F170</f>
        <v>0</v>
      </c>
      <c r="F170" s="678"/>
      <c r="G170" s="678"/>
      <c r="H170" s="678"/>
      <c r="I170" s="171">
        <f>$D170*'2c. RB-sfaf'!K170/'2c. RB-sfaf'!$F170</f>
        <v>0</v>
      </c>
      <c r="J170" s="171">
        <f>$D170*'2c. RB-sfaf'!L170/'2c. RB-sfaf'!$F170</f>
        <v>106348340.82000001</v>
      </c>
      <c r="K170" s="171">
        <f>$D170*'2c. RB-sfaf'!M170/'2c. RB-sfaf'!$F170</f>
        <v>0</v>
      </c>
      <c r="L170" s="171">
        <f>'1. RB-i'!K442</f>
        <v>0</v>
      </c>
      <c r="M170" s="171">
        <f>'1. RB-i'!L442</f>
        <v>0</v>
      </c>
      <c r="N170" s="171">
        <f>IF($M$170=0,0,$M170*'2c. RB-sfaf'!P170/'2c. RB-sfaf'!$O170)</f>
        <v>0</v>
      </c>
      <c r="O170" s="171">
        <f>IF($M$170=0,0,$M170*'2c. RB-sfaf'!Q170/'2c. RB-sfaf'!$O170)</f>
        <v>0</v>
      </c>
      <c r="P170" s="171">
        <f>IF($M$170=0,0,$M170*'2c. RB-sfaf'!R170/'2c. RB-sfaf'!$O170)</f>
        <v>0</v>
      </c>
      <c r="Q170" s="171">
        <f>IF($M$170=0,0,$M170*'2c. RB-sfaf'!S170/'2c. RB-sfaf'!$O170)</f>
        <v>0</v>
      </c>
      <c r="R170" s="171">
        <f>IF($M$170=0,0,$M170*'2c. RB-sfaf'!T170/'2c. RB-sfaf'!$O170)</f>
        <v>0</v>
      </c>
      <c r="S170" s="171">
        <f>IF($M$170=0,0,$M170*'2c. RB-sfaf'!U170/'2c. RB-sfaf'!$O170)</f>
        <v>0</v>
      </c>
      <c r="T170" s="171">
        <f>IF($M$170=0,0,$M170*'2c. RB-sfaf'!V170/'2c. RB-sfaf'!$O170)</f>
        <v>0</v>
      </c>
      <c r="U170" s="171">
        <f>IF($M$170=0,0,$M170*'2c. RB-sfaf'!W170/'2c. RB-sfaf'!$O170)</f>
        <v>0</v>
      </c>
      <c r="V170" s="171">
        <f>IF($M$170=0,0,$M170*'2c. RB-sfaf'!X170/'2c. RB-sfaf'!$O170)</f>
        <v>0</v>
      </c>
      <c r="W170" s="171">
        <f>IF($M$170=0,0,$M170*'2c. RB-sfaf'!Y170/'2c. RB-sfaf'!$O170)</f>
        <v>0</v>
      </c>
      <c r="X170" s="171">
        <f>'1. RB-i'!M442</f>
        <v>0</v>
      </c>
      <c r="Y170" s="481">
        <f>IF(X170=0,0,$X170*'2c. RB-sfaf'!AA170/'2c. RB-sfaf'!$Z170)</f>
        <v>0</v>
      </c>
      <c r="Z170" s="481">
        <f>IF(Y170=0,0,$X170*'2c. RB-sfaf'!AB170/'2c. RB-sfaf'!$Z170)</f>
        <v>0</v>
      </c>
      <c r="AA170" s="171">
        <f>'1. RB-i'!N442</f>
        <v>0</v>
      </c>
      <c r="AB170" s="171">
        <f>'1. RB-i'!O442</f>
        <v>0</v>
      </c>
      <c r="AC170" s="481">
        <f>IF(AB170=0,0,$AB170*'2c. RB-sfaf'!AE170/'2c. RB-sfaf'!$AD170)</f>
        <v>0</v>
      </c>
      <c r="AD170" s="481">
        <f>IF(AC170=0,0,$AB170*'2c. RB-sfaf'!AF170/'2c. RB-sfaf'!$AD170)</f>
        <v>0</v>
      </c>
      <c r="AE170" s="481">
        <f>IF(AD170=0,0,$AB170*'2c. RB-sfaf'!AG170/'2c. RB-sfaf'!$AD170)</f>
        <v>0</v>
      </c>
      <c r="AF170" s="171">
        <f>'1. RB-i'!P442</f>
        <v>0</v>
      </c>
      <c r="AG170" s="481">
        <f>IF(AF170=0,0,$AF170*'2c. RB-sfaf'!AI170/'2c. RB-sfaf'!$AH170)</f>
        <v>0</v>
      </c>
      <c r="AH170" s="481">
        <f>'1. RB-i'!Q442</f>
        <v>0</v>
      </c>
      <c r="AI170" s="62"/>
      <c r="AJ170" s="171">
        <f>'1. RB-i'!I442</f>
        <v>106348340.82000001</v>
      </c>
      <c r="AK170" s="62">
        <f t="shared" si="40"/>
        <v>106348340.82000001</v>
      </c>
      <c r="AL170" s="62">
        <f>AJ170-AK170</f>
        <v>0</v>
      </c>
    </row>
    <row r="171" spans="1:38" x14ac:dyDescent="0.3">
      <c r="A171" s="62"/>
      <c r="B171" s="62" t="s">
        <v>528</v>
      </c>
      <c r="C171" s="62"/>
      <c r="D171" s="171">
        <f>'1. RB-i'!J443</f>
        <v>80371048.975536391</v>
      </c>
      <c r="E171" s="171">
        <f>$D171*'2c. RB-sfaf'!G171/'2c. RB-sfaf'!$F171</f>
        <v>52837223.903911367</v>
      </c>
      <c r="F171" s="678"/>
      <c r="G171" s="678"/>
      <c r="H171" s="678"/>
      <c r="I171" s="171">
        <f>$D171*'2c. RB-sfaf'!K171/'2c. RB-sfaf'!$F171</f>
        <v>27533825.07162502</v>
      </c>
      <c r="J171" s="171">
        <f>$D171*'2c. RB-sfaf'!L171/'2c. RB-sfaf'!$F171</f>
        <v>0</v>
      </c>
      <c r="K171" s="171">
        <f>$D171*'2c. RB-sfaf'!M171/'2c. RB-sfaf'!$F171</f>
        <v>0</v>
      </c>
      <c r="L171" s="171">
        <f>'1. RB-i'!K443</f>
        <v>2884431.2137000342</v>
      </c>
      <c r="M171" s="171">
        <f>'1. RB-i'!L443</f>
        <v>17529118.299881797</v>
      </c>
      <c r="N171" s="171">
        <f>$M171*'2c. RB-sfaf'!P171/'2c. RB-sfaf'!$O171</f>
        <v>5505410.1784853237</v>
      </c>
      <c r="O171" s="171">
        <f>$M171*'2c. RB-sfaf'!Q171/'2c. RB-sfaf'!$O171</f>
        <v>5013543.5335485842</v>
      </c>
      <c r="P171" s="171">
        <f>$M171*'2c. RB-sfaf'!R171/'2c. RB-sfaf'!$O171</f>
        <v>1379968.3293661701</v>
      </c>
      <c r="Q171" s="171">
        <f>$M171*'2c. RB-sfaf'!S171/'2c. RB-sfaf'!$O171</f>
        <v>270276.46143189602</v>
      </c>
      <c r="R171" s="171">
        <f>$M171*'2c. RB-sfaf'!T171/'2c. RB-sfaf'!$O171</f>
        <v>3563196.5154270618</v>
      </c>
      <c r="S171" s="171">
        <f>$M171*'2c. RB-sfaf'!U171/'2c. RB-sfaf'!$O171</f>
        <v>948319.85570220451</v>
      </c>
      <c r="T171" s="171">
        <f>$M171*'2c. RB-sfaf'!V171/'2c. RB-sfaf'!$O171</f>
        <v>295452.18302521133</v>
      </c>
      <c r="U171" s="171">
        <f>$M171*'2c. RB-sfaf'!W171/'2c. RB-sfaf'!$O171</f>
        <v>0</v>
      </c>
      <c r="V171" s="171">
        <f>$M171*'2c. RB-sfaf'!X171/'2c. RB-sfaf'!$O171</f>
        <v>497840.3254696611</v>
      </c>
      <c r="W171" s="171">
        <f>$M171*'2c. RB-sfaf'!Y171/'2c. RB-sfaf'!$O171</f>
        <v>55110.91742568514</v>
      </c>
      <c r="X171" s="171">
        <f>'1. RB-i'!M443</f>
        <v>155253.82409980727</v>
      </c>
      <c r="Y171" s="481">
        <f>$X171*'2c. RB-sfaf'!AA171/'2c. RB-sfaf'!$Z171</f>
        <v>75471.841840088164</v>
      </c>
      <c r="Z171" s="481">
        <f>$X171*'2c. RB-sfaf'!AB171/'2c. RB-sfaf'!$Z171</f>
        <v>79781.982259719109</v>
      </c>
      <c r="AA171" s="171">
        <f>'1. RB-i'!N443</f>
        <v>41467.048990171468</v>
      </c>
      <c r="AB171" s="171">
        <f>'1. RB-i'!O443</f>
        <v>211785.90944637166</v>
      </c>
      <c r="AC171" s="481">
        <f>$AB171*'2c. RB-sfaf'!AE171/'2c. RB-sfaf'!$AD171</f>
        <v>192176.65381532986</v>
      </c>
      <c r="AD171" s="481">
        <f>$AB171*'2c. RB-sfaf'!AF171/'2c. RB-sfaf'!$AD171</f>
        <v>19609.255631041797</v>
      </c>
      <c r="AE171" s="481">
        <f>$AB171*'2c. RB-sfaf'!AG171/'2c. RB-sfaf'!$AD171</f>
        <v>0</v>
      </c>
      <c r="AF171" s="171">
        <f>'1. RB-i'!P443</f>
        <v>30056.034771831259</v>
      </c>
      <c r="AG171" s="481">
        <f>$AF171*'2c. RB-sfaf'!AI171/'2c. RB-sfaf'!$AH171</f>
        <v>30056.034771831259</v>
      </c>
      <c r="AH171" s="481">
        <f>'1. RB-i'!Q443</f>
        <v>0</v>
      </c>
      <c r="AI171" s="62"/>
      <c r="AJ171" s="171">
        <f>'1. RB-i'!I443</f>
        <v>101223161.34103085</v>
      </c>
      <c r="AK171" s="62">
        <f t="shared" si="40"/>
        <v>101223161.30642642</v>
      </c>
      <c r="AL171" s="62">
        <f>AJ171-AK171</f>
        <v>3.4604430198669434E-2</v>
      </c>
    </row>
    <row r="172" spans="1:38" x14ac:dyDescent="0.3">
      <c r="A172" s="62"/>
      <c r="B172" s="62" t="s">
        <v>524</v>
      </c>
      <c r="C172" s="62"/>
      <c r="D172" s="171">
        <f t="shared" ref="D172:AA172" si="41">SUM(D169:D171)</f>
        <v>219505030.21077758</v>
      </c>
      <c r="E172" s="171">
        <f t="shared" si="41"/>
        <v>76379461.737461597</v>
      </c>
      <c r="F172" s="678"/>
      <c r="G172" s="678"/>
      <c r="H172" s="678"/>
      <c r="I172" s="171">
        <f t="shared" si="41"/>
        <v>36777227.653315984</v>
      </c>
      <c r="J172" s="171">
        <f>SUM(J169:J171)</f>
        <v>106348340.82000001</v>
      </c>
      <c r="K172" s="171">
        <f>SUM(K169:K171)</f>
        <v>0</v>
      </c>
      <c r="L172" s="171">
        <f t="shared" si="41"/>
        <v>6531929.7904038541</v>
      </c>
      <c r="M172" s="171">
        <f t="shared" si="41"/>
        <v>34286581.443658262</v>
      </c>
      <c r="N172" s="171">
        <f t="shared" si="41"/>
        <v>9760670.4665726088</v>
      </c>
      <c r="O172" s="171">
        <f t="shared" si="41"/>
        <v>10118877.786103692</v>
      </c>
      <c r="P172" s="171">
        <f t="shared" si="41"/>
        <v>2783420.9855469484</v>
      </c>
      <c r="Q172" s="171">
        <f t="shared" si="41"/>
        <v>512729.58123417152</v>
      </c>
      <c r="R172" s="171">
        <f t="shared" si="41"/>
        <v>7156354.4687345158</v>
      </c>
      <c r="S172" s="171">
        <f t="shared" si="41"/>
        <v>1902249.6699367687</v>
      </c>
      <c r="T172" s="171">
        <f t="shared" si="41"/>
        <v>560489.33478955564</v>
      </c>
      <c r="U172" s="171">
        <f t="shared" si="41"/>
        <v>9361.271220833245</v>
      </c>
      <c r="V172" s="171">
        <f>SUM(V169:V171)</f>
        <v>1233694.8708833982</v>
      </c>
      <c r="W172" s="171">
        <f>SUM(W169:W171)</f>
        <v>248733.00863576814</v>
      </c>
      <c r="X172" s="171">
        <f t="shared" si="41"/>
        <v>2827639.5746785677</v>
      </c>
      <c r="Y172" s="171">
        <f>SUM(Y169:Y171)</f>
        <v>1533727.2091611889</v>
      </c>
      <c r="Z172" s="171">
        <f>SUM(Z169:Z171)</f>
        <v>1293912.3655173793</v>
      </c>
      <c r="AA172" s="171">
        <f t="shared" si="41"/>
        <v>763136.54851638642</v>
      </c>
      <c r="AB172" s="171">
        <f t="shared" ref="AB172:AH172" si="42">SUM(AB169:AB171)</f>
        <v>2688312.8158285483</v>
      </c>
      <c r="AC172" s="171">
        <f t="shared" si="42"/>
        <v>2629742.6171822171</v>
      </c>
      <c r="AD172" s="171">
        <f t="shared" si="42"/>
        <v>58570.198646331279</v>
      </c>
      <c r="AE172" s="171">
        <f t="shared" si="42"/>
        <v>0</v>
      </c>
      <c r="AF172" s="171">
        <f t="shared" si="42"/>
        <v>1825501.1895347987</v>
      </c>
      <c r="AG172" s="171">
        <f t="shared" si="42"/>
        <v>1825501.1895347987</v>
      </c>
      <c r="AH172" s="171">
        <f t="shared" si="42"/>
        <v>-935.76250000000005</v>
      </c>
      <c r="AI172" s="62"/>
      <c r="AJ172" s="171">
        <f>SUM(AJ169:AJ171)</f>
        <v>268427195.84550244</v>
      </c>
      <c r="AK172" s="62">
        <f t="shared" si="40"/>
        <v>268427195.81089801</v>
      </c>
      <c r="AL172" s="62">
        <f>AJ172-AK172</f>
        <v>3.4604430198669434E-2</v>
      </c>
    </row>
    <row r="173" spans="1:38" x14ac:dyDescent="0.3">
      <c r="A173" s="62"/>
      <c r="B173" s="62"/>
      <c r="C173" s="62"/>
      <c r="D173" s="62"/>
      <c r="E173" s="62"/>
      <c r="F173" s="677"/>
      <c r="G173" s="677"/>
      <c r="H173" s="677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</row>
    <row r="174" spans="1:38" x14ac:dyDescent="0.3">
      <c r="A174" s="62"/>
      <c r="B174" s="463" t="s">
        <v>529</v>
      </c>
      <c r="C174" s="463"/>
      <c r="D174" s="62"/>
      <c r="E174" s="62"/>
      <c r="F174" s="677"/>
      <c r="G174" s="677"/>
      <c r="H174" s="677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</row>
    <row r="175" spans="1:38" x14ac:dyDescent="0.3">
      <c r="A175" s="62"/>
      <c r="B175" s="62" t="s">
        <v>530</v>
      </c>
      <c r="C175" s="62"/>
      <c r="D175" s="678"/>
      <c r="E175" s="678"/>
      <c r="F175" s="678"/>
      <c r="G175" s="678"/>
      <c r="H175" s="678"/>
      <c r="I175" s="678"/>
      <c r="J175" s="678"/>
      <c r="K175" s="678"/>
      <c r="L175" s="678"/>
      <c r="M175" s="678"/>
      <c r="N175" s="678"/>
      <c r="O175" s="678"/>
      <c r="P175" s="678"/>
      <c r="Q175" s="678"/>
      <c r="R175" s="678"/>
      <c r="S175" s="678"/>
      <c r="T175" s="678"/>
      <c r="U175" s="678"/>
      <c r="V175" s="678"/>
      <c r="W175" s="678"/>
      <c r="X175" s="678"/>
      <c r="Y175" s="687"/>
      <c r="Z175" s="687"/>
      <c r="AA175" s="678"/>
      <c r="AB175" s="678"/>
      <c r="AC175" s="687"/>
      <c r="AD175" s="687"/>
      <c r="AE175" s="687"/>
      <c r="AF175" s="678"/>
      <c r="AG175" s="687"/>
      <c r="AH175" s="687"/>
      <c r="AI175" s="62"/>
      <c r="AJ175" s="171">
        <f>'1. RB-i'!I447</f>
        <v>0</v>
      </c>
      <c r="AK175" s="62">
        <f t="shared" ref="AK175:AK184" si="43">SUM(F175:J175,L175,N175:W175,Y175:Z175,AA175,AC175:AE175,AG175:AH175)</f>
        <v>0</v>
      </c>
      <c r="AL175" s="62">
        <f t="shared" ref="AL175:AL185" si="44">AJ175-AK175</f>
        <v>0</v>
      </c>
    </row>
    <row r="176" spans="1:38" x14ac:dyDescent="0.3">
      <c r="A176" s="62"/>
      <c r="B176" s="62" t="s">
        <v>531</v>
      </c>
      <c r="C176" s="62"/>
      <c r="D176" s="678"/>
      <c r="E176" s="678"/>
      <c r="F176" s="678"/>
      <c r="G176" s="678"/>
      <c r="H176" s="678"/>
      <c r="I176" s="678"/>
      <c r="J176" s="678"/>
      <c r="K176" s="678"/>
      <c r="L176" s="678"/>
      <c r="M176" s="678"/>
      <c r="N176" s="678"/>
      <c r="O176" s="678"/>
      <c r="P176" s="678"/>
      <c r="Q176" s="678"/>
      <c r="R176" s="678"/>
      <c r="S176" s="678"/>
      <c r="T176" s="678"/>
      <c r="U176" s="678"/>
      <c r="V176" s="678"/>
      <c r="W176" s="678"/>
      <c r="X176" s="678"/>
      <c r="Y176" s="687"/>
      <c r="Z176" s="687"/>
      <c r="AA176" s="678"/>
      <c r="AB176" s="678"/>
      <c r="AC176" s="687"/>
      <c r="AD176" s="687"/>
      <c r="AE176" s="687"/>
      <c r="AF176" s="678"/>
      <c r="AG176" s="687"/>
      <c r="AH176" s="678"/>
      <c r="AI176" s="62"/>
      <c r="AJ176" s="171">
        <f>'1. RB-i'!I448</f>
        <v>0</v>
      </c>
      <c r="AK176" s="62">
        <f t="shared" si="43"/>
        <v>0</v>
      </c>
      <c r="AL176" s="62">
        <f t="shared" si="44"/>
        <v>0</v>
      </c>
    </row>
    <row r="177" spans="1:38" x14ac:dyDescent="0.3">
      <c r="A177" s="62"/>
      <c r="B177" s="62" t="s">
        <v>1053</v>
      </c>
      <c r="C177" s="62"/>
      <c r="D177" s="678"/>
      <c r="E177" s="678"/>
      <c r="F177" s="678"/>
      <c r="G177" s="678"/>
      <c r="H177" s="678"/>
      <c r="I177" s="678"/>
      <c r="J177" s="678"/>
      <c r="K177" s="678"/>
      <c r="L177" s="678"/>
      <c r="M177" s="678"/>
      <c r="N177" s="678"/>
      <c r="O177" s="678"/>
      <c r="P177" s="678"/>
      <c r="Q177" s="678"/>
      <c r="R177" s="678"/>
      <c r="S177" s="678"/>
      <c r="T177" s="678"/>
      <c r="U177" s="678"/>
      <c r="V177" s="678"/>
      <c r="W177" s="678"/>
      <c r="X177" s="678"/>
      <c r="Y177" s="687"/>
      <c r="Z177" s="687"/>
      <c r="AA177" s="678"/>
      <c r="AB177" s="678"/>
      <c r="AC177" s="687"/>
      <c r="AD177" s="687"/>
      <c r="AE177" s="687"/>
      <c r="AF177" s="678"/>
      <c r="AG177" s="687"/>
      <c r="AH177" s="678"/>
      <c r="AI177" s="62"/>
      <c r="AJ177" s="171">
        <f>'1. RB-i'!I449</f>
        <v>0</v>
      </c>
      <c r="AK177" s="62">
        <f t="shared" si="43"/>
        <v>0</v>
      </c>
      <c r="AL177" s="62">
        <f t="shared" si="44"/>
        <v>0</v>
      </c>
    </row>
    <row r="178" spans="1:38" x14ac:dyDescent="0.3">
      <c r="A178" s="62"/>
      <c r="B178" s="62" t="s">
        <v>532</v>
      </c>
      <c r="C178" s="62"/>
      <c r="D178" s="678"/>
      <c r="E178" s="678"/>
      <c r="F178" s="678"/>
      <c r="G178" s="678"/>
      <c r="H178" s="678"/>
      <c r="I178" s="678"/>
      <c r="J178" s="678"/>
      <c r="K178" s="678"/>
      <c r="L178" s="678"/>
      <c r="M178" s="678"/>
      <c r="N178" s="678"/>
      <c r="O178" s="678"/>
      <c r="P178" s="678"/>
      <c r="Q178" s="678"/>
      <c r="R178" s="678"/>
      <c r="S178" s="678"/>
      <c r="T178" s="678"/>
      <c r="U178" s="678"/>
      <c r="V178" s="678"/>
      <c r="W178" s="678"/>
      <c r="X178" s="678"/>
      <c r="Y178" s="687"/>
      <c r="Z178" s="687"/>
      <c r="AA178" s="678"/>
      <c r="AB178" s="678"/>
      <c r="AC178" s="687"/>
      <c r="AD178" s="687"/>
      <c r="AE178" s="687"/>
      <c r="AF178" s="678"/>
      <c r="AG178" s="687"/>
      <c r="AH178" s="678"/>
      <c r="AI178" s="62"/>
      <c r="AJ178" s="171">
        <f>'1. RB-i'!I450</f>
        <v>0</v>
      </c>
      <c r="AK178" s="62">
        <f t="shared" si="43"/>
        <v>0</v>
      </c>
      <c r="AL178" s="62">
        <f t="shared" si="44"/>
        <v>0</v>
      </c>
    </row>
    <row r="179" spans="1:38" x14ac:dyDescent="0.3">
      <c r="A179" s="62"/>
      <c r="B179" s="62" t="s">
        <v>533</v>
      </c>
      <c r="C179" s="62"/>
      <c r="D179" s="678"/>
      <c r="E179" s="678"/>
      <c r="F179" s="678"/>
      <c r="G179" s="678"/>
      <c r="H179" s="678"/>
      <c r="I179" s="678"/>
      <c r="J179" s="678"/>
      <c r="K179" s="678"/>
      <c r="L179" s="678"/>
      <c r="M179" s="678"/>
      <c r="N179" s="678"/>
      <c r="O179" s="678"/>
      <c r="P179" s="678"/>
      <c r="Q179" s="678"/>
      <c r="R179" s="678"/>
      <c r="S179" s="678"/>
      <c r="T179" s="678"/>
      <c r="U179" s="678"/>
      <c r="V179" s="678"/>
      <c r="W179" s="678"/>
      <c r="X179" s="678"/>
      <c r="Y179" s="687"/>
      <c r="Z179" s="687"/>
      <c r="AA179" s="678"/>
      <c r="AB179" s="678"/>
      <c r="AC179" s="687"/>
      <c r="AD179" s="687"/>
      <c r="AE179" s="687"/>
      <c r="AF179" s="678"/>
      <c r="AG179" s="687"/>
      <c r="AH179" s="678"/>
      <c r="AI179" s="62"/>
      <c r="AJ179" s="171">
        <f>'1. RB-i'!I451</f>
        <v>0</v>
      </c>
      <c r="AK179" s="62">
        <f t="shared" si="43"/>
        <v>0</v>
      </c>
      <c r="AL179" s="62">
        <f t="shared" si="44"/>
        <v>0</v>
      </c>
    </row>
    <row r="180" spans="1:38" x14ac:dyDescent="0.3">
      <c r="A180" s="62"/>
      <c r="B180" s="507" t="s">
        <v>1324</v>
      </c>
      <c r="C180" s="62"/>
      <c r="D180" s="678"/>
      <c r="E180" s="678"/>
      <c r="F180" s="678"/>
      <c r="G180" s="678"/>
      <c r="H180" s="678"/>
      <c r="I180" s="678"/>
      <c r="J180" s="678"/>
      <c r="K180" s="678"/>
      <c r="L180" s="678"/>
      <c r="M180" s="678"/>
      <c r="N180" s="678"/>
      <c r="O180" s="678"/>
      <c r="P180" s="678"/>
      <c r="Q180" s="678"/>
      <c r="R180" s="678"/>
      <c r="S180" s="678"/>
      <c r="T180" s="678"/>
      <c r="U180" s="678"/>
      <c r="V180" s="678"/>
      <c r="W180" s="678"/>
      <c r="X180" s="678"/>
      <c r="Y180" s="687"/>
      <c r="Z180" s="687"/>
      <c r="AA180" s="678"/>
      <c r="AB180" s="678"/>
      <c r="AC180" s="687"/>
      <c r="AD180" s="687"/>
      <c r="AE180" s="687"/>
      <c r="AF180" s="678"/>
      <c r="AG180" s="687"/>
      <c r="AH180" s="678"/>
      <c r="AI180" s="62"/>
      <c r="AJ180" s="171">
        <f>'1. RB-i'!I452</f>
        <v>0</v>
      </c>
      <c r="AK180" s="62">
        <f t="shared" si="43"/>
        <v>0</v>
      </c>
      <c r="AL180" s="62">
        <f>AJ180-AK180</f>
        <v>0</v>
      </c>
    </row>
    <row r="181" spans="1:38" x14ac:dyDescent="0.3">
      <c r="A181" s="62"/>
      <c r="B181" s="62" t="s">
        <v>107</v>
      </c>
      <c r="C181" s="62"/>
      <c r="D181" s="678"/>
      <c r="E181" s="678"/>
      <c r="F181" s="678"/>
      <c r="G181" s="678"/>
      <c r="H181" s="678"/>
      <c r="I181" s="678"/>
      <c r="J181" s="678"/>
      <c r="K181" s="678"/>
      <c r="L181" s="678"/>
      <c r="M181" s="678"/>
      <c r="N181" s="678"/>
      <c r="O181" s="678"/>
      <c r="P181" s="678"/>
      <c r="Q181" s="678"/>
      <c r="R181" s="678"/>
      <c r="S181" s="678"/>
      <c r="T181" s="678"/>
      <c r="U181" s="678"/>
      <c r="V181" s="678"/>
      <c r="W181" s="678"/>
      <c r="X181" s="678"/>
      <c r="Y181" s="687"/>
      <c r="Z181" s="687"/>
      <c r="AA181" s="678"/>
      <c r="AB181" s="678"/>
      <c r="AC181" s="687"/>
      <c r="AD181" s="687"/>
      <c r="AE181" s="687"/>
      <c r="AF181" s="678"/>
      <c r="AG181" s="687"/>
      <c r="AH181" s="678"/>
      <c r="AI181" s="62"/>
      <c r="AJ181" s="171">
        <f>'1. RB-i'!I453</f>
        <v>0</v>
      </c>
      <c r="AK181" s="62">
        <f t="shared" si="43"/>
        <v>0</v>
      </c>
      <c r="AL181" s="62">
        <f t="shared" si="44"/>
        <v>0</v>
      </c>
    </row>
    <row r="182" spans="1:38" x14ac:dyDescent="0.3">
      <c r="A182" s="62"/>
      <c r="B182" s="62" t="s">
        <v>106</v>
      </c>
      <c r="C182" s="62"/>
      <c r="D182" s="678"/>
      <c r="E182" s="678"/>
      <c r="F182" s="678"/>
      <c r="G182" s="678"/>
      <c r="H182" s="678"/>
      <c r="I182" s="678"/>
      <c r="J182" s="678"/>
      <c r="K182" s="678"/>
      <c r="L182" s="678"/>
      <c r="M182" s="678"/>
      <c r="N182" s="678"/>
      <c r="O182" s="678"/>
      <c r="P182" s="678"/>
      <c r="Q182" s="678"/>
      <c r="R182" s="678"/>
      <c r="S182" s="678"/>
      <c r="T182" s="678"/>
      <c r="U182" s="678"/>
      <c r="V182" s="678"/>
      <c r="W182" s="678"/>
      <c r="X182" s="678"/>
      <c r="Y182" s="687"/>
      <c r="Z182" s="687"/>
      <c r="AA182" s="678"/>
      <c r="AB182" s="678"/>
      <c r="AC182" s="687"/>
      <c r="AD182" s="687"/>
      <c r="AE182" s="687"/>
      <c r="AF182" s="678"/>
      <c r="AG182" s="687"/>
      <c r="AH182" s="678"/>
      <c r="AI182" s="62"/>
      <c r="AJ182" s="171">
        <f>'1. RB-i'!I454</f>
        <v>0</v>
      </c>
      <c r="AK182" s="62">
        <f t="shared" si="43"/>
        <v>0</v>
      </c>
      <c r="AL182" s="62">
        <f t="shared" si="44"/>
        <v>0</v>
      </c>
    </row>
    <row r="183" spans="1:38" x14ac:dyDescent="0.3">
      <c r="A183" s="62"/>
      <c r="B183" s="62" t="s">
        <v>895</v>
      </c>
      <c r="C183" s="62"/>
      <c r="D183" s="678"/>
      <c r="E183" s="678"/>
      <c r="F183" s="678"/>
      <c r="G183" s="678"/>
      <c r="H183" s="678"/>
      <c r="I183" s="678"/>
      <c r="J183" s="678"/>
      <c r="K183" s="678"/>
      <c r="L183" s="678"/>
      <c r="M183" s="678"/>
      <c r="N183" s="678"/>
      <c r="O183" s="678"/>
      <c r="P183" s="678"/>
      <c r="Q183" s="678"/>
      <c r="R183" s="678"/>
      <c r="S183" s="678"/>
      <c r="T183" s="678"/>
      <c r="U183" s="678"/>
      <c r="V183" s="678"/>
      <c r="W183" s="678"/>
      <c r="X183" s="678"/>
      <c r="Y183" s="687"/>
      <c r="Z183" s="687"/>
      <c r="AA183" s="678"/>
      <c r="AB183" s="678"/>
      <c r="AC183" s="687"/>
      <c r="AD183" s="687"/>
      <c r="AE183" s="687"/>
      <c r="AF183" s="678"/>
      <c r="AG183" s="687"/>
      <c r="AH183" s="678"/>
      <c r="AI183" s="62"/>
      <c r="AJ183" s="171">
        <f>'1. RB-i'!I455</f>
        <v>0</v>
      </c>
      <c r="AK183" s="62">
        <f t="shared" si="43"/>
        <v>0</v>
      </c>
      <c r="AL183" s="62"/>
    </row>
    <row r="184" spans="1:38" x14ac:dyDescent="0.3">
      <c r="A184" s="62"/>
      <c r="B184" s="62" t="s">
        <v>108</v>
      </c>
      <c r="C184" s="62"/>
      <c r="D184" s="678"/>
      <c r="E184" s="678"/>
      <c r="F184" s="678"/>
      <c r="G184" s="678"/>
      <c r="H184" s="678"/>
      <c r="I184" s="678"/>
      <c r="J184" s="678"/>
      <c r="K184" s="678"/>
      <c r="L184" s="678"/>
      <c r="M184" s="678"/>
      <c r="N184" s="678"/>
      <c r="O184" s="678"/>
      <c r="P184" s="678"/>
      <c r="Q184" s="678"/>
      <c r="R184" s="678"/>
      <c r="S184" s="678"/>
      <c r="T184" s="678"/>
      <c r="U184" s="678"/>
      <c r="V184" s="678"/>
      <c r="W184" s="678"/>
      <c r="X184" s="678"/>
      <c r="Y184" s="687"/>
      <c r="Z184" s="687"/>
      <c r="AA184" s="678"/>
      <c r="AB184" s="678"/>
      <c r="AC184" s="687"/>
      <c r="AD184" s="687"/>
      <c r="AE184" s="687"/>
      <c r="AF184" s="678"/>
      <c r="AG184" s="687"/>
      <c r="AH184" s="678"/>
      <c r="AI184" s="62"/>
      <c r="AJ184" s="171">
        <f>'1. RB-i'!I456</f>
        <v>0</v>
      </c>
      <c r="AK184" s="62">
        <f t="shared" si="43"/>
        <v>0</v>
      </c>
      <c r="AL184" s="62"/>
    </row>
    <row r="185" spans="1:38" x14ac:dyDescent="0.3">
      <c r="A185" s="62"/>
      <c r="B185" s="62" t="s">
        <v>524</v>
      </c>
      <c r="C185" s="62"/>
      <c r="D185" s="680">
        <v>32893758.539220218</v>
      </c>
      <c r="E185" s="680">
        <v>23445608.289351139</v>
      </c>
      <c r="F185" s="680"/>
      <c r="G185" s="680"/>
      <c r="H185" s="680"/>
      <c r="I185" s="680">
        <v>9448150.2498690765</v>
      </c>
      <c r="J185" s="680">
        <v>0</v>
      </c>
      <c r="K185" s="680">
        <v>0</v>
      </c>
      <c r="L185" s="680">
        <v>138618.23852046242</v>
      </c>
      <c r="M185" s="680">
        <v>4111253.2622524542</v>
      </c>
      <c r="N185" s="680">
        <v>1319806.4305773724</v>
      </c>
      <c r="O185" s="680">
        <v>1176119.7689328657</v>
      </c>
      <c r="P185" s="680">
        <v>324153.85049559252</v>
      </c>
      <c r="Q185" s="680">
        <v>50963.803009714771</v>
      </c>
      <c r="R185" s="680">
        <v>844384.89862101711</v>
      </c>
      <c r="S185" s="680">
        <v>225296.78031913986</v>
      </c>
      <c r="T185" s="680">
        <v>55710.981173553679</v>
      </c>
      <c r="U185" s="680">
        <v>-11278.013016499544</v>
      </c>
      <c r="V185" s="680">
        <v>112591.94031631955</v>
      </c>
      <c r="W185" s="680">
        <v>13502.821823378645</v>
      </c>
      <c r="X185" s="680">
        <v>2056626.6772564026</v>
      </c>
      <c r="Y185" s="680">
        <v>1543458.9894413284</v>
      </c>
      <c r="Z185" s="680">
        <v>513167.68781507399</v>
      </c>
      <c r="AA185" s="680">
        <v>549308.46099777764</v>
      </c>
      <c r="AB185" s="680">
        <v>2805499.6632766193</v>
      </c>
      <c r="AC185" s="680">
        <v>2545738.4722993532</v>
      </c>
      <c r="AD185" s="680">
        <v>259761.19097726606</v>
      </c>
      <c r="AE185" s="680">
        <v>0</v>
      </c>
      <c r="AF185" s="680">
        <v>608829.40932712401</v>
      </c>
      <c r="AG185" s="685">
        <v>608829.40932712401</v>
      </c>
      <c r="AH185" s="171">
        <f t="shared" ref="AH185" si="45">SUM(AH175:AH184)</f>
        <v>0</v>
      </c>
      <c r="AI185" s="62"/>
      <c r="AJ185" s="171">
        <f>'1. RB-i'!I457</f>
        <v>43163894.250851072</v>
      </c>
      <c r="AK185" s="62">
        <f>SUM(E185,I185:J185,L185,N185:W185,Y185:Z185,AA185,AC185:AE185,AG185:AH185)</f>
        <v>43163894.25085105</v>
      </c>
      <c r="AL185" s="62">
        <f t="shared" si="44"/>
        <v>0</v>
      </c>
    </row>
    <row r="186" spans="1:38" x14ac:dyDescent="0.3">
      <c r="A186" s="62"/>
      <c r="B186" s="62"/>
      <c r="C186" s="62"/>
      <c r="D186" s="171"/>
      <c r="E186" s="171"/>
      <c r="F186" s="678"/>
      <c r="G186" s="678"/>
      <c r="H186" s="678"/>
      <c r="I186" s="171"/>
      <c r="J186" s="171"/>
      <c r="K186" s="171"/>
      <c r="L186" s="171"/>
      <c r="M186" s="171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171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62"/>
      <c r="AJ186" s="468"/>
      <c r="AK186" s="62"/>
      <c r="AL186" s="62"/>
    </row>
    <row r="187" spans="1:38" x14ac:dyDescent="0.3">
      <c r="A187" s="62"/>
      <c r="B187" s="62" t="s">
        <v>534</v>
      </c>
      <c r="C187" s="62"/>
      <c r="D187" s="62"/>
      <c r="E187" s="62"/>
      <c r="F187" s="677"/>
      <c r="G187" s="677"/>
      <c r="H187" s="677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>
        <f t="shared" ref="AK187:AK191" si="46">SUM(F187:J187,L187,N187:W187,Y187:Z187,AA187,AC187:AE187,AG187:AH187)</f>
        <v>0</v>
      </c>
      <c r="AL187" s="62">
        <f>AJ187-AK187</f>
        <v>0</v>
      </c>
    </row>
    <row r="188" spans="1:38" x14ac:dyDescent="0.3">
      <c r="A188" s="62"/>
      <c r="B188" s="498" t="s">
        <v>535</v>
      </c>
      <c r="C188" s="498"/>
      <c r="D188" s="62"/>
      <c r="E188" s="62"/>
      <c r="F188" s="677"/>
      <c r="G188" s="677"/>
      <c r="H188" s="677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>
        <f t="shared" si="46"/>
        <v>0</v>
      </c>
      <c r="AL188" s="62">
        <f>AJ188-AK188</f>
        <v>0</v>
      </c>
    </row>
    <row r="189" spans="1:38" x14ac:dyDescent="0.3">
      <c r="A189" s="62"/>
      <c r="B189" s="62" t="s">
        <v>536</v>
      </c>
      <c r="C189" s="62"/>
      <c r="D189" s="62"/>
      <c r="E189" s="62"/>
      <c r="F189" s="677"/>
      <c r="G189" s="677"/>
      <c r="H189" s="677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>
        <f t="shared" si="46"/>
        <v>0</v>
      </c>
      <c r="AL189" s="62">
        <f>AJ189-AK189</f>
        <v>0</v>
      </c>
    </row>
    <row r="190" spans="1:38" x14ac:dyDescent="0.3">
      <c r="A190" s="62"/>
      <c r="B190" s="498" t="s">
        <v>537</v>
      </c>
      <c r="C190" s="498"/>
      <c r="D190" s="62"/>
      <c r="E190" s="62"/>
      <c r="F190" s="677"/>
      <c r="G190" s="677"/>
      <c r="H190" s="677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>
        <f t="shared" si="46"/>
        <v>0</v>
      </c>
      <c r="AL190" s="62">
        <f>AJ190-AK190</f>
        <v>0</v>
      </c>
    </row>
    <row r="191" spans="1:38" x14ac:dyDescent="0.3">
      <c r="A191" s="62"/>
      <c r="B191" s="498" t="s">
        <v>524</v>
      </c>
      <c r="C191" s="498"/>
      <c r="D191" s="171">
        <f>SUM(D187:D190)</f>
        <v>0</v>
      </c>
      <c r="E191" s="171"/>
      <c r="F191" s="678"/>
      <c r="G191" s="678"/>
      <c r="H191" s="678"/>
      <c r="I191" s="171"/>
      <c r="J191" s="171"/>
      <c r="K191" s="171"/>
      <c r="L191" s="171">
        <f>SUM(L187:L190)</f>
        <v>0</v>
      </c>
      <c r="M191" s="171">
        <f>SUM(M187:M190)</f>
        <v>0</v>
      </c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171">
        <f>SUM(X187:X190)</f>
        <v>0</v>
      </c>
      <c r="Y191" s="171"/>
      <c r="Z191" s="171"/>
      <c r="AA191" s="171">
        <f t="shared" ref="AA191:AH191" si="47">SUM(AA187:AA190)</f>
        <v>0</v>
      </c>
      <c r="AB191" s="171">
        <f t="shared" si="47"/>
        <v>0</v>
      </c>
      <c r="AC191" s="171">
        <f t="shared" si="47"/>
        <v>0</v>
      </c>
      <c r="AD191" s="171">
        <f t="shared" si="47"/>
        <v>0</v>
      </c>
      <c r="AE191" s="171">
        <f t="shared" si="47"/>
        <v>0</v>
      </c>
      <c r="AF191" s="171">
        <f t="shared" si="47"/>
        <v>0</v>
      </c>
      <c r="AG191" s="171">
        <f t="shared" si="47"/>
        <v>0</v>
      </c>
      <c r="AH191" s="171">
        <f t="shared" si="47"/>
        <v>0</v>
      </c>
      <c r="AI191" s="62"/>
      <c r="AJ191" s="171">
        <f>SUM(AJ187:AJ190)</f>
        <v>0</v>
      </c>
      <c r="AK191" s="62">
        <f t="shared" si="46"/>
        <v>0</v>
      </c>
      <c r="AL191" s="62">
        <f>AJ191-AK191</f>
        <v>0</v>
      </c>
    </row>
    <row r="192" spans="1:38" x14ac:dyDescent="0.3">
      <c r="A192" s="62"/>
      <c r="B192" s="62"/>
      <c r="C192" s="62"/>
      <c r="D192" s="62"/>
      <c r="E192" s="62"/>
      <c r="F192" s="677"/>
      <c r="G192" s="677"/>
      <c r="H192" s="677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</row>
    <row r="193" spans="1:38" x14ac:dyDescent="0.3">
      <c r="A193" s="463" t="s">
        <v>538</v>
      </c>
      <c r="B193" s="62"/>
      <c r="C193" s="62"/>
      <c r="D193" s="171">
        <f t="shared" ref="D193:AH193" si="48">D142+SUM(D146:D147,D152,D154,D156)+D166+D172+D185+D191</f>
        <v>4002691850.706367</v>
      </c>
      <c r="E193" s="171">
        <f t="shared" si="48"/>
        <v>3768542652.8006301</v>
      </c>
      <c r="F193" s="678"/>
      <c r="G193" s="678"/>
      <c r="H193" s="678"/>
      <c r="I193" s="171">
        <f t="shared" si="48"/>
        <v>127800857.08573601</v>
      </c>
      <c r="J193" s="171">
        <f>J142+SUM(J146:J147,J152,J154,J156)+J166+J172+J185+J191</f>
        <v>106348340.82000001</v>
      </c>
      <c r="K193" s="171">
        <f>K142+SUM(K146:K147,K152,K154,K156)+K166+K172+K185+K191</f>
        <v>0</v>
      </c>
      <c r="L193" s="171">
        <f t="shared" si="48"/>
        <v>947572667.61717868</v>
      </c>
      <c r="M193" s="171">
        <f t="shared" si="48"/>
        <v>2473708363.986165</v>
      </c>
      <c r="N193" s="171">
        <f t="shared" si="48"/>
        <v>421278384.69616479</v>
      </c>
      <c r="O193" s="171">
        <f t="shared" si="48"/>
        <v>701706767.65630925</v>
      </c>
      <c r="P193" s="171">
        <f t="shared" si="48"/>
        <v>187710131.86218944</v>
      </c>
      <c r="Q193" s="171">
        <f t="shared" si="48"/>
        <v>195253376.33043703</v>
      </c>
      <c r="R193" s="171">
        <f t="shared" si="48"/>
        <v>391090995.9255079</v>
      </c>
      <c r="S193" s="171">
        <f t="shared" si="48"/>
        <v>96873608.474751219</v>
      </c>
      <c r="T193" s="171">
        <f t="shared" si="48"/>
        <v>213440844.8824794</v>
      </c>
      <c r="U193" s="171">
        <f t="shared" si="48"/>
        <v>142759858.02316278</v>
      </c>
      <c r="V193" s="171">
        <f>V142+SUM(V146:V147,V152,V154,V156)+V166+V172+V185+V191</f>
        <v>123014285.6485977</v>
      </c>
      <c r="W193" s="171">
        <f>W142+SUM(W146:W147,W152,W154,W156)+W166+W172+W185+W191</f>
        <v>580110.48656534555</v>
      </c>
      <c r="X193" s="171">
        <f t="shared" si="48"/>
        <v>178926208.46877405</v>
      </c>
      <c r="Y193" s="171">
        <f t="shared" si="48"/>
        <v>165250265.89282584</v>
      </c>
      <c r="Z193" s="171">
        <f t="shared" si="48"/>
        <v>13675942.575948212</v>
      </c>
      <c r="AA193" s="171">
        <f t="shared" si="48"/>
        <v>10441490.41569642</v>
      </c>
      <c r="AB193" s="171">
        <f t="shared" si="48"/>
        <v>48965566.058440767</v>
      </c>
      <c r="AC193" s="171">
        <f>AC142+SUM(AC146:AC147,AC152,AC154,AC156)+AC166+AC172+AC185+AC191</f>
        <v>44622185.358902119</v>
      </c>
      <c r="AD193" s="171">
        <f>AD142+SUM(AD146:AD147,AD152,AD154,AD156)+AD166+AD172+AD185+AD191</f>
        <v>4343380.6995386407</v>
      </c>
      <c r="AE193" s="171">
        <f>AE142+SUM(AE146:AE147,AE152,AE154,AE156)+AE166+AE172+AE185+AE191</f>
        <v>0</v>
      </c>
      <c r="AF193" s="171">
        <f t="shared" si="48"/>
        <v>9739653.0432508364</v>
      </c>
      <c r="AG193" s="171">
        <f>AG142+SUM(AG146:AG147,AG152,AG154,AG156)+AG166+AG172+AG185+AG191</f>
        <v>9739653.0432508364</v>
      </c>
      <c r="AH193" s="171">
        <f t="shared" si="48"/>
        <v>-37878786.944044746</v>
      </c>
      <c r="AI193" s="62"/>
      <c r="AJ193" s="171">
        <f>AJ142+SUM(AJ146:AJ147,AJ152,AJ154,AJ156)+AJ166+AJ172+AJ185+AJ191</f>
        <v>7634167011.4761333</v>
      </c>
      <c r="AK193" s="62">
        <f>SUM(E193,I193:J193,L193,N193:W193,Y193:Z193,AA193,AC193:AE193,AG193:AH193)</f>
        <v>7634167013.3518257</v>
      </c>
      <c r="AL193" s="62">
        <f>AJ193-AK193</f>
        <v>-1.8756923675537109</v>
      </c>
    </row>
    <row r="194" spans="1:38" x14ac:dyDescent="0.3">
      <c r="A194" s="62"/>
      <c r="B194" s="62"/>
      <c r="C194" s="62"/>
      <c r="D194" s="62"/>
      <c r="E194" s="62"/>
      <c r="F194" s="677"/>
      <c r="G194" s="677"/>
      <c r="H194" s="677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</row>
    <row r="195" spans="1:38" x14ac:dyDescent="0.3">
      <c r="A195" s="463" t="s">
        <v>128</v>
      </c>
      <c r="B195" s="62"/>
      <c r="C195" s="489"/>
      <c r="D195" s="171">
        <f>D193-D146</f>
        <v>4002691850.706367</v>
      </c>
      <c r="E195" s="171">
        <f>E193-E146</f>
        <v>3768542652.8006301</v>
      </c>
      <c r="F195" s="678"/>
      <c r="G195" s="678"/>
      <c r="H195" s="678"/>
      <c r="I195" s="171">
        <f t="shared" ref="I195:AH195" si="49">I193-I146</f>
        <v>127800857.08573601</v>
      </c>
      <c r="J195" s="171">
        <f t="shared" si="49"/>
        <v>106348340.82000001</v>
      </c>
      <c r="K195" s="171">
        <f t="shared" si="49"/>
        <v>0</v>
      </c>
      <c r="L195" s="171">
        <f t="shared" si="49"/>
        <v>947572667.61717868</v>
      </c>
      <c r="M195" s="171">
        <f t="shared" si="49"/>
        <v>2473708363.986165</v>
      </c>
      <c r="N195" s="171">
        <f t="shared" si="49"/>
        <v>421278384.69616479</v>
      </c>
      <c r="O195" s="171">
        <f t="shared" si="49"/>
        <v>701706767.65630925</v>
      </c>
      <c r="P195" s="171">
        <f t="shared" si="49"/>
        <v>187710131.86218944</v>
      </c>
      <c r="Q195" s="171">
        <f t="shared" si="49"/>
        <v>195253376.33043703</v>
      </c>
      <c r="R195" s="171">
        <f t="shared" si="49"/>
        <v>391090995.9255079</v>
      </c>
      <c r="S195" s="171">
        <f t="shared" si="49"/>
        <v>96873608.474751219</v>
      </c>
      <c r="T195" s="171">
        <f t="shared" si="49"/>
        <v>213440844.8824794</v>
      </c>
      <c r="U195" s="171">
        <f t="shared" si="49"/>
        <v>142759858.02316278</v>
      </c>
      <c r="V195" s="171">
        <f t="shared" si="49"/>
        <v>123014285.6485977</v>
      </c>
      <c r="W195" s="171">
        <f t="shared" si="49"/>
        <v>580110.48656534555</v>
      </c>
      <c r="X195" s="171">
        <f t="shared" si="49"/>
        <v>178926208.46877405</v>
      </c>
      <c r="Y195" s="171">
        <f t="shared" si="49"/>
        <v>165250265.89282584</v>
      </c>
      <c r="Z195" s="171">
        <f t="shared" si="49"/>
        <v>13675942.575948212</v>
      </c>
      <c r="AA195" s="171">
        <f t="shared" si="49"/>
        <v>10441490.41569642</v>
      </c>
      <c r="AB195" s="171">
        <f t="shared" si="49"/>
        <v>48965566.058440767</v>
      </c>
      <c r="AC195" s="171">
        <f t="shared" si="49"/>
        <v>44622185.358902119</v>
      </c>
      <c r="AD195" s="171">
        <f t="shared" si="49"/>
        <v>4343380.6995386407</v>
      </c>
      <c r="AE195" s="171">
        <f t="shared" si="49"/>
        <v>0</v>
      </c>
      <c r="AF195" s="171">
        <f t="shared" si="49"/>
        <v>9739653.0432508364</v>
      </c>
      <c r="AG195" s="171">
        <f t="shared" si="49"/>
        <v>9739653.0432508364</v>
      </c>
      <c r="AH195" s="171">
        <f t="shared" si="49"/>
        <v>-37878786.944044746</v>
      </c>
      <c r="AI195" s="62"/>
      <c r="AJ195" s="171">
        <f>AJ193-AJ146</f>
        <v>7634167011.4761333</v>
      </c>
      <c r="AK195" s="62">
        <f>SUM(E195,I195:J195,L195,N195:W195,Y195:Z195,AA195,AC195:AE195,AG195:AH195)</f>
        <v>7634167013.3518257</v>
      </c>
      <c r="AL195" s="62">
        <f>AJ195-AK195</f>
        <v>-1.8756923675537109</v>
      </c>
    </row>
    <row r="196" spans="1:38" x14ac:dyDescent="0.3">
      <c r="A196" s="62"/>
      <c r="B196" s="62"/>
      <c r="C196" s="62"/>
      <c r="D196" s="62"/>
      <c r="E196" s="62"/>
      <c r="F196" s="677"/>
      <c r="G196" s="677"/>
      <c r="H196" s="677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</row>
    <row r="197" spans="1:38" x14ac:dyDescent="0.3">
      <c r="A197" s="463" t="s">
        <v>1276</v>
      </c>
      <c r="B197" s="62"/>
      <c r="C197" s="62"/>
      <c r="D197" s="62">
        <f>D195-D170</f>
        <v>3896343509.8863668</v>
      </c>
      <c r="E197" s="62">
        <f t="shared" ref="E197:AH197" si="50">E195-E170</f>
        <v>3768542652.8006301</v>
      </c>
      <c r="F197" s="677"/>
      <c r="G197" s="677"/>
      <c r="H197" s="677"/>
      <c r="I197" s="62">
        <f t="shared" si="50"/>
        <v>127800857.08573601</v>
      </c>
      <c r="J197" s="171">
        <f t="shared" si="50"/>
        <v>0</v>
      </c>
      <c r="K197" s="171">
        <f t="shared" si="50"/>
        <v>0</v>
      </c>
      <c r="L197" s="171">
        <f t="shared" si="50"/>
        <v>947572667.61717868</v>
      </c>
      <c r="M197" s="62">
        <f t="shared" si="50"/>
        <v>2473708363.986165</v>
      </c>
      <c r="N197" s="62">
        <f t="shared" si="50"/>
        <v>421278384.69616479</v>
      </c>
      <c r="O197" s="62">
        <f t="shared" si="50"/>
        <v>701706767.65630925</v>
      </c>
      <c r="P197" s="62">
        <f t="shared" si="50"/>
        <v>187710131.86218944</v>
      </c>
      <c r="Q197" s="62">
        <f t="shared" si="50"/>
        <v>195253376.33043703</v>
      </c>
      <c r="R197" s="62">
        <f t="shared" si="50"/>
        <v>391090995.9255079</v>
      </c>
      <c r="S197" s="62">
        <f t="shared" si="50"/>
        <v>96873608.474751219</v>
      </c>
      <c r="T197" s="62">
        <f t="shared" si="50"/>
        <v>213440844.8824794</v>
      </c>
      <c r="U197" s="62">
        <f t="shared" si="50"/>
        <v>142759858.02316278</v>
      </c>
      <c r="V197" s="62">
        <f t="shared" si="50"/>
        <v>123014285.6485977</v>
      </c>
      <c r="W197" s="62">
        <f t="shared" si="50"/>
        <v>580110.48656534555</v>
      </c>
      <c r="X197" s="62">
        <f t="shared" si="50"/>
        <v>178926208.46877405</v>
      </c>
      <c r="Y197" s="62">
        <f t="shared" si="50"/>
        <v>165250265.89282584</v>
      </c>
      <c r="Z197" s="62">
        <f t="shared" si="50"/>
        <v>13675942.575948212</v>
      </c>
      <c r="AA197" s="62">
        <f t="shared" si="50"/>
        <v>10441490.41569642</v>
      </c>
      <c r="AB197" s="62">
        <f t="shared" si="50"/>
        <v>48965566.058440767</v>
      </c>
      <c r="AC197" s="62">
        <f t="shared" si="50"/>
        <v>44622185.358902119</v>
      </c>
      <c r="AD197" s="62">
        <f t="shared" si="50"/>
        <v>4343380.6995386407</v>
      </c>
      <c r="AE197" s="62">
        <f t="shared" si="50"/>
        <v>0</v>
      </c>
      <c r="AF197" s="62">
        <f t="shared" si="50"/>
        <v>9739653.0432508364</v>
      </c>
      <c r="AG197" s="62">
        <f t="shared" si="50"/>
        <v>9739653.0432508364</v>
      </c>
      <c r="AH197" s="62">
        <f t="shared" si="50"/>
        <v>-37878786.944044746</v>
      </c>
      <c r="AI197" s="62"/>
      <c r="AJ197" s="171">
        <f>AJ195-AJ170</f>
        <v>7527818670.6561337</v>
      </c>
      <c r="AK197" s="62">
        <f>SUM(E197,I197:J197,L197,N197:W197,Y197:Z197,AA197,AC197:AE197,AG197:AH197)</f>
        <v>7527818672.531826</v>
      </c>
      <c r="AL197" s="62">
        <f>AJ197-AK197</f>
        <v>-1.8756923675537109</v>
      </c>
    </row>
    <row r="198" spans="1:38" x14ac:dyDescent="0.3">
      <c r="A198" s="62"/>
      <c r="B198" s="62"/>
      <c r="C198" s="62"/>
      <c r="D198" s="62"/>
      <c r="E198" s="62"/>
      <c r="F198" s="62"/>
      <c r="G198" s="62"/>
      <c r="H198" s="62"/>
      <c r="I198" s="62"/>
      <c r="J198" s="171"/>
      <c r="K198" s="171"/>
      <c r="L198" s="171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</row>
    <row r="199" spans="1:38" x14ac:dyDescent="0.3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</row>
    <row r="200" spans="1:38" x14ac:dyDescent="0.3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</row>
    <row r="201" spans="1:38" x14ac:dyDescent="0.3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</row>
    <row r="202" spans="1:38" x14ac:dyDescent="0.3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</row>
    <row r="203" spans="1:38" x14ac:dyDescent="0.3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</row>
    <row r="204" spans="1:38" x14ac:dyDescent="0.3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</row>
    <row r="205" spans="1:38" x14ac:dyDescent="0.3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</row>
    <row r="206" spans="1:38" x14ac:dyDescent="0.3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</row>
    <row r="207" spans="1:38" x14ac:dyDescent="0.3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</row>
    <row r="208" spans="1:38" x14ac:dyDescent="0.3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</row>
    <row r="209" spans="1:38" x14ac:dyDescent="0.3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</row>
    <row r="210" spans="1:38" x14ac:dyDescent="0.3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</row>
    <row r="211" spans="1:38" x14ac:dyDescent="0.3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</row>
    <row r="212" spans="1:38" x14ac:dyDescent="0.3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</row>
    <row r="213" spans="1:38" x14ac:dyDescent="0.3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</row>
    <row r="214" spans="1:38" x14ac:dyDescent="0.3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</row>
    <row r="215" spans="1:38" x14ac:dyDescent="0.3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</row>
    <row r="216" spans="1:38" x14ac:dyDescent="0.3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</row>
    <row r="217" spans="1:38" x14ac:dyDescent="0.3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</row>
    <row r="218" spans="1:38" x14ac:dyDescent="0.3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</row>
    <row r="219" spans="1:38" x14ac:dyDescent="0.3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</row>
    <row r="220" spans="1:38" x14ac:dyDescent="0.3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</row>
    <row r="221" spans="1:38" x14ac:dyDescent="0.3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</row>
    <row r="222" spans="1:38" x14ac:dyDescent="0.3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</row>
    <row r="223" spans="1:38" x14ac:dyDescent="0.3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</row>
    <row r="224" spans="1:38" x14ac:dyDescent="0.3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</row>
    <row r="225" spans="1:38" x14ac:dyDescent="0.3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</row>
    <row r="226" spans="1:38" x14ac:dyDescent="0.3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</row>
    <row r="227" spans="1:38" x14ac:dyDescent="0.3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</row>
    <row r="228" spans="1:38" x14ac:dyDescent="0.3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</row>
    <row r="229" spans="1:38" x14ac:dyDescent="0.3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</row>
    <row r="230" spans="1:38" x14ac:dyDescent="0.3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</row>
    <row r="231" spans="1:38" x14ac:dyDescent="0.3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</row>
    <row r="232" spans="1:38" x14ac:dyDescent="0.3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</row>
    <row r="233" spans="1:38" x14ac:dyDescent="0.3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</row>
    <row r="234" spans="1:38" x14ac:dyDescent="0.3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</row>
    <row r="235" spans="1:38" x14ac:dyDescent="0.3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</row>
    <row r="236" spans="1:38" x14ac:dyDescent="0.3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</row>
    <row r="237" spans="1:38" x14ac:dyDescent="0.3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</row>
    <row r="238" spans="1:38" x14ac:dyDescent="0.3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</row>
    <row r="239" spans="1:38" x14ac:dyDescent="0.3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</row>
    <row r="240" spans="1:38" x14ac:dyDescent="0.3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</row>
    <row r="241" spans="1:38" x14ac:dyDescent="0.3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</row>
    <row r="242" spans="1:38" x14ac:dyDescent="0.3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</row>
    <row r="243" spans="1:38" x14ac:dyDescent="0.3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</row>
    <row r="244" spans="1:38" x14ac:dyDescent="0.3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</row>
    <row r="245" spans="1:38" x14ac:dyDescent="0.3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</row>
    <row r="246" spans="1:38" x14ac:dyDescent="0.3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</row>
    <row r="247" spans="1:38" x14ac:dyDescent="0.3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</row>
    <row r="248" spans="1:38" x14ac:dyDescent="0.3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</row>
    <row r="249" spans="1:38" x14ac:dyDescent="0.3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</row>
    <row r="250" spans="1:38" x14ac:dyDescent="0.3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</row>
    <row r="251" spans="1:38" x14ac:dyDescent="0.3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</row>
    <row r="252" spans="1:38" x14ac:dyDescent="0.3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</row>
    <row r="253" spans="1:38" x14ac:dyDescent="0.3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</row>
    <row r="254" spans="1:38" x14ac:dyDescent="0.3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</row>
    <row r="255" spans="1:38" x14ac:dyDescent="0.3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</row>
    <row r="256" spans="1:38" x14ac:dyDescent="0.3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</row>
    <row r="257" spans="1:38" x14ac:dyDescent="0.3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</row>
    <row r="258" spans="1:38" x14ac:dyDescent="0.3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</row>
    <row r="259" spans="1:38" x14ac:dyDescent="0.3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</row>
    <row r="260" spans="1:38" x14ac:dyDescent="0.3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</row>
    <row r="261" spans="1:38" x14ac:dyDescent="0.3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</row>
    <row r="262" spans="1:38" x14ac:dyDescent="0.3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</row>
    <row r="263" spans="1:38" x14ac:dyDescent="0.3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</row>
    <row r="264" spans="1:38" x14ac:dyDescent="0.3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</row>
    <row r="265" spans="1:38" x14ac:dyDescent="0.3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</row>
    <row r="266" spans="1:38" x14ac:dyDescent="0.3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</row>
    <row r="267" spans="1:38" x14ac:dyDescent="0.3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</row>
    <row r="268" spans="1:38" x14ac:dyDescent="0.3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</row>
    <row r="269" spans="1:38" x14ac:dyDescent="0.3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</row>
    <row r="270" spans="1:38" x14ac:dyDescent="0.3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</row>
    <row r="271" spans="1:38" x14ac:dyDescent="0.3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</row>
    <row r="272" spans="1:38" x14ac:dyDescent="0.3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</row>
    <row r="273" spans="1:38" x14ac:dyDescent="0.3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</row>
    <row r="274" spans="1:38" x14ac:dyDescent="0.3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</row>
    <row r="275" spans="1:38" x14ac:dyDescent="0.3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</row>
    <row r="276" spans="1:38" x14ac:dyDescent="0.3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</row>
    <row r="277" spans="1:38" x14ac:dyDescent="0.3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</row>
    <row r="278" spans="1:38" x14ac:dyDescent="0.3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</row>
    <row r="279" spans="1:38" x14ac:dyDescent="0.3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</row>
    <row r="280" spans="1:38" x14ac:dyDescent="0.3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</row>
    <row r="281" spans="1:38" x14ac:dyDescent="0.3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</row>
    <row r="282" spans="1:38" x14ac:dyDescent="0.3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</row>
    <row r="283" spans="1:38" x14ac:dyDescent="0.3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</row>
    <row r="284" spans="1:38" x14ac:dyDescent="0.3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</row>
    <row r="285" spans="1:38" x14ac:dyDescent="0.3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</row>
    <row r="286" spans="1:38" x14ac:dyDescent="0.3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</row>
    <row r="287" spans="1:38" x14ac:dyDescent="0.3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</row>
    <row r="288" spans="1:38" x14ac:dyDescent="0.3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</row>
    <row r="289" spans="1:38" x14ac:dyDescent="0.3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</row>
    <row r="290" spans="1:38" x14ac:dyDescent="0.3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</row>
    <row r="291" spans="1:38" x14ac:dyDescent="0.3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</row>
    <row r="292" spans="1:38" x14ac:dyDescent="0.3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</row>
    <row r="293" spans="1:38" x14ac:dyDescent="0.3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</row>
    <row r="294" spans="1:38" x14ac:dyDescent="0.3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</row>
    <row r="295" spans="1:38" x14ac:dyDescent="0.3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</row>
    <row r="296" spans="1:38" x14ac:dyDescent="0.3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</row>
    <row r="297" spans="1:38" x14ac:dyDescent="0.3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</row>
    <row r="298" spans="1:38" x14ac:dyDescent="0.3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</row>
    <row r="299" spans="1:38" x14ac:dyDescent="0.3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</row>
    <row r="300" spans="1:38" x14ac:dyDescent="0.3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</row>
    <row r="301" spans="1:38" x14ac:dyDescent="0.3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</row>
    <row r="302" spans="1:38" x14ac:dyDescent="0.3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</row>
    <row r="303" spans="1:38" x14ac:dyDescent="0.3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</row>
    <row r="304" spans="1:38" x14ac:dyDescent="0.3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</row>
    <row r="305" spans="1:38" x14ac:dyDescent="0.3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</row>
    <row r="306" spans="1:38" x14ac:dyDescent="0.3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</row>
    <row r="307" spans="1:38" x14ac:dyDescent="0.3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</row>
    <row r="308" spans="1:38" x14ac:dyDescent="0.3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</row>
    <row r="309" spans="1:38" x14ac:dyDescent="0.3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</row>
    <row r="310" spans="1:38" x14ac:dyDescent="0.3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</row>
    <row r="311" spans="1:38" x14ac:dyDescent="0.3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</row>
    <row r="312" spans="1:38" x14ac:dyDescent="0.3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  <c r="AJ312" s="62"/>
      <c r="AK312" s="62"/>
      <c r="AL312" s="62"/>
    </row>
    <row r="313" spans="1:38" x14ac:dyDescent="0.3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</row>
    <row r="314" spans="1:38" x14ac:dyDescent="0.3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</row>
    <row r="315" spans="1:38" x14ac:dyDescent="0.3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  <c r="AJ315" s="62"/>
      <c r="AK315" s="62"/>
      <c r="AL315" s="62"/>
    </row>
    <row r="316" spans="1:38" x14ac:dyDescent="0.3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  <c r="AJ316" s="62"/>
      <c r="AK316" s="62"/>
      <c r="AL316" s="62"/>
    </row>
    <row r="317" spans="1:38" x14ac:dyDescent="0.3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  <c r="AJ317" s="62"/>
      <c r="AK317" s="62"/>
      <c r="AL317" s="62"/>
    </row>
    <row r="318" spans="1:38" x14ac:dyDescent="0.3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  <c r="AJ318" s="62"/>
      <c r="AK318" s="62"/>
      <c r="AL318" s="62"/>
    </row>
    <row r="319" spans="1:38" x14ac:dyDescent="0.3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  <c r="AJ319" s="62"/>
      <c r="AK319" s="62"/>
      <c r="AL319" s="62"/>
    </row>
    <row r="320" spans="1:38" x14ac:dyDescent="0.3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  <c r="AJ320" s="62"/>
      <c r="AK320" s="62"/>
      <c r="AL320" s="62"/>
    </row>
    <row r="321" spans="1:38" x14ac:dyDescent="0.3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  <c r="AJ321" s="62"/>
      <c r="AK321" s="62"/>
      <c r="AL321" s="62"/>
    </row>
  </sheetData>
  <customSheetViews>
    <customSheetView guid="{121E4431-22F3-11D5-8242-00600818425F}" scale="75" showRuler="0">
      <pane xSplit="2" ySplit="7" topLeftCell="C36" activePane="bottomRight" state="frozen"/>
      <selection pane="bottomRight" activeCell="D59" sqref="D59"/>
      <rowBreaks count="3" manualBreakCount="3">
        <brk id="58" max="16383" man="1"/>
        <brk id="133" max="16383" man="1"/>
        <brk id="198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180" verticalDpi="18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showRuler="0">
      <pane xSplit="2" ySplit="7" topLeftCell="C87" activePane="bottomRight" state="frozen"/>
      <selection pane="bottomRight" activeCell="D91" sqref="D91"/>
      <rowBreaks count="3" manualBreakCount="3">
        <brk id="56" max="16383" man="1"/>
        <brk id="104" max="16383" man="1"/>
        <brk id="157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180" verticalDpi="18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showRuler="0">
      <pane xSplit="2" ySplit="7" topLeftCell="C87" activePane="bottomRight" state="frozen"/>
      <selection pane="bottomRight" activeCell="D91" sqref="D91"/>
      <rowBreaks count="3" manualBreakCount="3">
        <brk id="56" max="16383" man="1"/>
        <brk id="104" max="16383" man="1"/>
        <brk id="157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180" verticalDpi="18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62" fitToHeight="0" orientation="landscape" horizontalDpi="180" verticalDpi="180" r:id="rId4"/>
  <headerFooter alignWithMargins="0">
    <oddFooter>&amp;L&amp;8&amp;F&amp;C&amp;8&amp;A
page &amp;P&amp;R&amp;8&amp;D
&amp;T</oddFooter>
  </headerFooter>
  <rowBreaks count="3" manualBreakCount="3">
    <brk id="64" max="16383" man="1"/>
    <brk id="99" max="16383" man="1"/>
    <brk id="143" max="16383" man="1"/>
  </rowBreaks>
  <colBreaks count="2" manualBreakCount="2">
    <brk id="12" max="196" man="1"/>
    <brk id="23" max="19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N776"/>
  <sheetViews>
    <sheetView zoomScale="70" zoomScaleNormal="70" workbookViewId="0">
      <pane xSplit="2" ySplit="7" topLeftCell="C8" activePane="bottomRight" state="frozen"/>
      <selection activeCell="C368" sqref="C368"/>
      <selection pane="topRight" activeCell="C368" sqref="C368"/>
      <selection pane="bottomLeft" activeCell="C368" sqref="C368"/>
      <selection pane="bottomRight" activeCell="C8" sqref="C8"/>
    </sheetView>
  </sheetViews>
  <sheetFormatPr defaultColWidth="8.81640625" defaultRowHeight="13" x14ac:dyDescent="0.3"/>
  <cols>
    <col min="1" max="1" width="9.453125" style="4" customWidth="1"/>
    <col min="2" max="2" width="34.453125" style="4" customWidth="1"/>
    <col min="3" max="3" width="11" style="4" customWidth="1"/>
    <col min="4" max="4" width="15.81640625" style="4" bestFit="1" customWidth="1"/>
    <col min="5" max="5" width="17.453125" style="4" bestFit="1" customWidth="1"/>
    <col min="6" max="6" width="15.453125" style="4" bestFit="1" customWidth="1"/>
    <col min="7" max="7" width="15.54296875" style="4" bestFit="1" customWidth="1"/>
    <col min="8" max="9" width="14" style="4" customWidth="1"/>
    <col min="10" max="10" width="15.453125" style="4" bestFit="1" customWidth="1"/>
    <col min="11" max="13" width="14" style="4" customWidth="1"/>
    <col min="14" max="14" width="13.1796875" style="4" customWidth="1"/>
    <col min="15" max="15" width="14.54296875" style="4" customWidth="1"/>
    <col min="16" max="16" width="12.453125" style="4" bestFit="1" customWidth="1"/>
    <col min="17" max="17" width="14.453125" style="4" bestFit="1" customWidth="1"/>
    <col min="18" max="18" width="13.453125" style="4" bestFit="1" customWidth="1"/>
    <col min="19" max="19" width="12.81640625" style="4" customWidth="1"/>
    <col min="20" max="20" width="12.453125" style="4" bestFit="1" customWidth="1"/>
    <col min="21" max="21" width="13.453125" style="4" bestFit="1" customWidth="1"/>
    <col min="22" max="22" width="14" style="4" bestFit="1" customWidth="1"/>
    <col min="23" max="23" width="12.453125" style="4" bestFit="1" customWidth="1"/>
    <col min="24" max="24" width="12.54296875" style="4" bestFit="1" customWidth="1"/>
    <col min="25" max="25" width="10.453125" style="4" customWidth="1"/>
    <col min="26" max="26" width="12.54296875" style="4" bestFit="1" customWidth="1"/>
    <col min="27" max="28" width="11.54296875" style="4" customWidth="1"/>
    <col min="29" max="29" width="11.54296875" style="4" bestFit="1" customWidth="1"/>
    <col min="30" max="30" width="20.453125" style="4" bestFit="1" customWidth="1"/>
    <col min="31" max="31" width="19.453125" style="4" bestFit="1" customWidth="1"/>
    <col min="32" max="33" width="11.54296875" style="4" customWidth="1"/>
    <col min="34" max="34" width="12.1796875" style="4" bestFit="1" customWidth="1"/>
    <col min="35" max="35" width="12" style="4" customWidth="1"/>
    <col min="36" max="36" width="11.54296875" style="4" bestFit="1" customWidth="1"/>
    <col min="37" max="16384" width="8.81640625" style="4"/>
  </cols>
  <sheetData>
    <row r="1" spans="1:40" x14ac:dyDescent="0.3">
      <c r="A1" s="343" t="s">
        <v>154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345"/>
    </row>
    <row r="2" spans="1:40" x14ac:dyDescent="0.3">
      <c r="A2" s="346" t="s">
        <v>351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347"/>
    </row>
    <row r="3" spans="1:40" x14ac:dyDescent="0.3">
      <c r="A3" s="346" t="s">
        <v>1307</v>
      </c>
      <c r="B3" s="191"/>
      <c r="C3" s="191"/>
      <c r="D3" s="191"/>
      <c r="E3" s="191"/>
      <c r="F3" s="256"/>
      <c r="G3" s="445"/>
      <c r="H3" s="445"/>
      <c r="I3" s="445"/>
      <c r="J3" s="445"/>
      <c r="K3" s="445"/>
      <c r="L3" s="445"/>
      <c r="M3" s="445"/>
      <c r="N3" s="256"/>
      <c r="O3" s="257" t="s">
        <v>367</v>
      </c>
      <c r="P3" s="258"/>
      <c r="Q3" s="258"/>
      <c r="R3" s="258"/>
      <c r="S3" s="258"/>
      <c r="T3" s="258"/>
      <c r="U3" s="258"/>
      <c r="V3" s="258"/>
      <c r="W3" s="258"/>
      <c r="X3" s="259"/>
      <c r="Y3" s="259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347"/>
      <c r="AL3" s="31"/>
    </row>
    <row r="4" spans="1:40" x14ac:dyDescent="0.3">
      <c r="A4" s="261"/>
      <c r="B4" s="263"/>
      <c r="C4" s="215"/>
      <c r="D4" s="270"/>
      <c r="E4" s="270"/>
      <c r="F4" s="257" t="s">
        <v>544</v>
      </c>
      <c r="G4" s="258"/>
      <c r="H4" s="258"/>
      <c r="I4" s="258"/>
      <c r="J4" s="258"/>
      <c r="K4" s="259"/>
      <c r="L4" s="258"/>
      <c r="M4" s="259"/>
      <c r="N4" s="262"/>
      <c r="O4" s="191"/>
      <c r="P4" s="257" t="s">
        <v>922</v>
      </c>
      <c r="Q4" s="258"/>
      <c r="R4" s="258"/>
      <c r="S4" s="259"/>
      <c r="T4" s="264" t="s">
        <v>923</v>
      </c>
      <c r="U4" s="265"/>
      <c r="V4" s="265"/>
      <c r="W4" s="265"/>
      <c r="X4" s="266"/>
      <c r="Y4" s="265"/>
      <c r="Z4" s="257" t="s">
        <v>907</v>
      </c>
      <c r="AA4" s="258"/>
      <c r="AB4" s="259"/>
      <c r="AC4" s="191"/>
      <c r="AD4" s="257" t="s">
        <v>85</v>
      </c>
      <c r="AE4" s="258"/>
      <c r="AF4" s="258"/>
      <c r="AG4" s="258"/>
      <c r="AH4" s="257" t="s">
        <v>912</v>
      </c>
      <c r="AI4" s="259"/>
      <c r="AJ4" s="347"/>
      <c r="AL4" s="31"/>
    </row>
    <row r="5" spans="1:40" x14ac:dyDescent="0.3">
      <c r="A5" s="268"/>
      <c r="B5" s="191"/>
      <c r="C5" s="186" t="s">
        <v>1091</v>
      </c>
      <c r="D5" s="417" t="s">
        <v>1096</v>
      </c>
      <c r="E5" s="200"/>
      <c r="F5" s="419" t="s">
        <v>357</v>
      </c>
      <c r="G5" s="417" t="s">
        <v>924</v>
      </c>
      <c r="H5" s="417"/>
      <c r="I5" s="417"/>
      <c r="J5" s="417"/>
      <c r="K5" s="417" t="s">
        <v>924</v>
      </c>
      <c r="L5" s="269"/>
      <c r="M5" s="197" t="s">
        <v>79</v>
      </c>
      <c r="N5" s="198" t="s">
        <v>357</v>
      </c>
      <c r="O5" s="199" t="s">
        <v>357</v>
      </c>
      <c r="P5" s="270"/>
      <c r="Q5" s="271" t="s">
        <v>925</v>
      </c>
      <c r="R5" s="271" t="s">
        <v>926</v>
      </c>
      <c r="S5" s="271"/>
      <c r="T5" s="270" t="s">
        <v>925</v>
      </c>
      <c r="U5" s="271" t="s">
        <v>926</v>
      </c>
      <c r="V5" s="271"/>
      <c r="W5" s="263"/>
      <c r="X5" s="263"/>
      <c r="Y5" s="216" t="s">
        <v>1010</v>
      </c>
      <c r="Z5" s="271" t="s">
        <v>357</v>
      </c>
      <c r="AA5" s="270"/>
      <c r="AB5" s="270" t="s">
        <v>994</v>
      </c>
      <c r="AC5" s="215" t="s">
        <v>357</v>
      </c>
      <c r="AD5" s="215" t="s">
        <v>357</v>
      </c>
      <c r="AE5" s="215" t="s">
        <v>86</v>
      </c>
      <c r="AF5" s="215" t="s">
        <v>1003</v>
      </c>
      <c r="AG5" s="272"/>
      <c r="AH5" s="215" t="s">
        <v>911</v>
      </c>
      <c r="AI5" s="215"/>
      <c r="AJ5" s="217" t="s">
        <v>357</v>
      </c>
      <c r="AL5" s="5" t="s">
        <v>357</v>
      </c>
    </row>
    <row r="6" spans="1:40" x14ac:dyDescent="0.3">
      <c r="A6" s="268" t="s">
        <v>358</v>
      </c>
      <c r="B6" s="417" t="s">
        <v>359</v>
      </c>
      <c r="C6" s="186" t="s">
        <v>1092</v>
      </c>
      <c r="D6" s="200" t="s">
        <v>1093</v>
      </c>
      <c r="E6" s="186" t="s">
        <v>1094</v>
      </c>
      <c r="F6" s="186" t="s">
        <v>544</v>
      </c>
      <c r="G6" s="417" t="s">
        <v>928</v>
      </c>
      <c r="H6" s="417" t="s">
        <v>1140</v>
      </c>
      <c r="I6" s="417" t="s">
        <v>1139</v>
      </c>
      <c r="J6" s="417" t="s">
        <v>947</v>
      </c>
      <c r="K6" s="417" t="s">
        <v>927</v>
      </c>
      <c r="L6" s="417" t="s">
        <v>617</v>
      </c>
      <c r="M6" s="187" t="s">
        <v>80</v>
      </c>
      <c r="N6" s="198" t="s">
        <v>366</v>
      </c>
      <c r="O6" s="199" t="s">
        <v>367</v>
      </c>
      <c r="P6" s="200" t="s">
        <v>929</v>
      </c>
      <c r="Q6" s="417" t="s">
        <v>930</v>
      </c>
      <c r="R6" s="417" t="s">
        <v>930</v>
      </c>
      <c r="S6" s="417" t="s">
        <v>931</v>
      </c>
      <c r="T6" s="200" t="s">
        <v>930</v>
      </c>
      <c r="U6" s="417" t="s">
        <v>930</v>
      </c>
      <c r="V6" s="417" t="s">
        <v>931</v>
      </c>
      <c r="W6" s="417" t="s">
        <v>456</v>
      </c>
      <c r="X6" s="417" t="s">
        <v>932</v>
      </c>
      <c r="Y6" s="187" t="s">
        <v>1011</v>
      </c>
      <c r="Z6" s="417" t="s">
        <v>907</v>
      </c>
      <c r="AA6" s="200" t="s">
        <v>907</v>
      </c>
      <c r="AB6" s="200" t="s">
        <v>995</v>
      </c>
      <c r="AC6" s="186" t="s">
        <v>84</v>
      </c>
      <c r="AD6" s="186" t="s">
        <v>82</v>
      </c>
      <c r="AE6" s="186" t="s">
        <v>87</v>
      </c>
      <c r="AF6" s="186" t="s">
        <v>1004</v>
      </c>
      <c r="AG6" s="186" t="s">
        <v>1005</v>
      </c>
      <c r="AH6" s="186" t="s">
        <v>912</v>
      </c>
      <c r="AI6" s="186" t="s">
        <v>1006</v>
      </c>
      <c r="AJ6" s="219" t="s">
        <v>913</v>
      </c>
      <c r="AL6" s="5" t="s">
        <v>365</v>
      </c>
      <c r="AM6" s="6" t="s">
        <v>933</v>
      </c>
      <c r="AN6" s="6" t="s">
        <v>824</v>
      </c>
    </row>
    <row r="7" spans="1:40" ht="13.5" thickBot="1" x14ac:dyDescent="0.35">
      <c r="A7" s="278" t="s">
        <v>368</v>
      </c>
      <c r="B7" s="284"/>
      <c r="C7" s="234"/>
      <c r="D7" s="281"/>
      <c r="E7" s="281"/>
      <c r="F7" s="234" t="s">
        <v>815</v>
      </c>
      <c r="G7" s="282" t="s">
        <v>816</v>
      </c>
      <c r="H7" s="282"/>
      <c r="I7" s="282"/>
      <c r="J7" s="282"/>
      <c r="K7" s="282" t="s">
        <v>817</v>
      </c>
      <c r="L7" s="282" t="s">
        <v>818</v>
      </c>
      <c r="M7" s="282" t="s">
        <v>819</v>
      </c>
      <c r="N7" s="234" t="s">
        <v>820</v>
      </c>
      <c r="O7" s="282" t="s">
        <v>821</v>
      </c>
      <c r="P7" s="281" t="s">
        <v>822</v>
      </c>
      <c r="Q7" s="282" t="s">
        <v>823</v>
      </c>
      <c r="R7" s="282" t="s">
        <v>908</v>
      </c>
      <c r="S7" s="282" t="s">
        <v>914</v>
      </c>
      <c r="T7" s="281" t="s">
        <v>915</v>
      </c>
      <c r="U7" s="282" t="s">
        <v>916</v>
      </c>
      <c r="V7" s="282" t="s">
        <v>917</v>
      </c>
      <c r="W7" s="282" t="s">
        <v>918</v>
      </c>
      <c r="X7" s="282" t="s">
        <v>934</v>
      </c>
      <c r="Y7" s="283" t="s">
        <v>935</v>
      </c>
      <c r="Z7" s="282" t="s">
        <v>936</v>
      </c>
      <c r="AA7" s="282" t="s">
        <v>937</v>
      </c>
      <c r="AB7" s="234" t="s">
        <v>938</v>
      </c>
      <c r="AC7" s="234" t="s">
        <v>939</v>
      </c>
      <c r="AD7" s="234" t="s">
        <v>985</v>
      </c>
      <c r="AE7" s="234" t="s">
        <v>986</v>
      </c>
      <c r="AF7" s="234" t="s">
        <v>987</v>
      </c>
      <c r="AG7" s="234" t="s">
        <v>988</v>
      </c>
      <c r="AH7" s="234" t="s">
        <v>989</v>
      </c>
      <c r="AI7" s="234" t="s">
        <v>990</v>
      </c>
      <c r="AJ7" s="235" t="s">
        <v>991</v>
      </c>
      <c r="AL7" s="45"/>
    </row>
    <row r="8" spans="1:40" x14ac:dyDescent="0.3">
      <c r="F8" s="5"/>
      <c r="G8" s="5"/>
      <c r="H8" s="674"/>
      <c r="I8" s="674"/>
      <c r="J8" s="674"/>
      <c r="K8" s="5"/>
      <c r="L8" s="5"/>
      <c r="M8" s="5"/>
      <c r="N8" s="5"/>
      <c r="O8" s="6"/>
      <c r="P8" s="5"/>
      <c r="Q8" s="5"/>
      <c r="R8" s="5"/>
      <c r="S8" s="5"/>
      <c r="T8" s="5"/>
      <c r="U8" s="5"/>
      <c r="V8" s="5"/>
      <c r="W8" s="5"/>
      <c r="X8" s="5"/>
      <c r="Y8" s="5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</row>
    <row r="9" spans="1:40" x14ac:dyDescent="0.3">
      <c r="A9" s="499" t="s">
        <v>811</v>
      </c>
      <c r="B9" s="62"/>
      <c r="C9" s="62"/>
      <c r="D9" s="62"/>
      <c r="E9" s="62"/>
      <c r="F9" s="520"/>
      <c r="G9" s="520"/>
      <c r="H9" s="670"/>
      <c r="I9" s="670"/>
      <c r="J9" s="67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0"/>
      <c r="Z9" s="520"/>
      <c r="AA9" s="520"/>
      <c r="AB9" s="520"/>
      <c r="AC9" s="520"/>
      <c r="AD9" s="520"/>
      <c r="AE9" s="520"/>
      <c r="AF9" s="520"/>
      <c r="AG9" s="520"/>
      <c r="AH9" s="520"/>
      <c r="AI9" s="520"/>
      <c r="AJ9" s="520"/>
      <c r="AK9" s="62"/>
      <c r="AL9" s="62"/>
      <c r="AM9" s="62"/>
      <c r="AN9" s="62"/>
    </row>
    <row r="10" spans="1:40" x14ac:dyDescent="0.3">
      <c r="A10" s="499"/>
      <c r="B10" s="62"/>
      <c r="C10" s="62"/>
      <c r="D10" s="62"/>
      <c r="E10" s="62"/>
      <c r="F10" s="520"/>
      <c r="G10" s="520"/>
      <c r="H10" s="670"/>
      <c r="I10" s="670"/>
      <c r="J10" s="670"/>
      <c r="K10" s="520"/>
      <c r="L10" s="520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20"/>
      <c r="Z10" s="520"/>
      <c r="AA10" s="520"/>
      <c r="AB10" s="520"/>
      <c r="AC10" s="520"/>
      <c r="AD10" s="520"/>
      <c r="AE10" s="520"/>
      <c r="AF10" s="520"/>
      <c r="AG10" s="520"/>
      <c r="AH10" s="520"/>
      <c r="AI10" s="520"/>
      <c r="AJ10" s="520"/>
      <c r="AK10" s="62"/>
      <c r="AL10" s="62"/>
      <c r="AM10" s="62"/>
      <c r="AN10" s="62"/>
    </row>
    <row r="11" spans="1:40" x14ac:dyDescent="0.3">
      <c r="A11" s="499" t="s">
        <v>1142</v>
      </c>
      <c r="B11" s="62"/>
      <c r="C11" s="62"/>
      <c r="D11" s="62"/>
      <c r="E11" s="62"/>
      <c r="F11" s="520"/>
      <c r="G11" s="520"/>
      <c r="H11" s="670"/>
      <c r="I11" s="670"/>
      <c r="J11" s="670"/>
      <c r="K11" s="520"/>
      <c r="L11" s="520"/>
      <c r="M11" s="520"/>
      <c r="N11" s="520"/>
      <c r="O11" s="520"/>
      <c r="P11" s="520"/>
      <c r="Q11" s="520"/>
      <c r="R11" s="520"/>
      <c r="S11" s="520"/>
      <c r="T11" s="520"/>
      <c r="U11" s="520"/>
      <c r="V11" s="520"/>
      <c r="W11" s="520"/>
      <c r="X11" s="520"/>
      <c r="Y11" s="520"/>
      <c r="Z11" s="520"/>
      <c r="AA11" s="520"/>
      <c r="AB11" s="520"/>
      <c r="AC11" s="520"/>
      <c r="AD11" s="520"/>
      <c r="AE11" s="520"/>
      <c r="AF11" s="520"/>
      <c r="AG11" s="520"/>
      <c r="AH11" s="520"/>
      <c r="AI11" s="520"/>
      <c r="AJ11" s="520"/>
      <c r="AK11" s="62"/>
      <c r="AL11" s="62"/>
      <c r="AM11" s="62"/>
      <c r="AN11" s="62"/>
    </row>
    <row r="12" spans="1:40" x14ac:dyDescent="0.3">
      <c r="A12" s="499" t="s">
        <v>1143</v>
      </c>
      <c r="B12" s="62" t="s">
        <v>1144</v>
      </c>
      <c r="C12" s="62" t="s">
        <v>19</v>
      </c>
      <c r="D12" s="62"/>
      <c r="E12" s="62"/>
      <c r="F12" s="521">
        <f t="shared" ref="F12:F14" si="0">G12+K12+L12+M12</f>
        <v>1</v>
      </c>
      <c r="G12" s="521">
        <v>1</v>
      </c>
      <c r="H12" s="671"/>
      <c r="I12" s="671"/>
      <c r="J12" s="671"/>
      <c r="K12" s="521">
        <v>0</v>
      </c>
      <c r="L12" s="521"/>
      <c r="M12" s="520"/>
      <c r="N12" s="520"/>
      <c r="O12" s="520"/>
      <c r="P12" s="520"/>
      <c r="Q12" s="520"/>
      <c r="R12" s="520"/>
      <c r="S12" s="520"/>
      <c r="T12" s="520"/>
      <c r="U12" s="520"/>
      <c r="V12" s="520"/>
      <c r="W12" s="520"/>
      <c r="X12" s="520"/>
      <c r="Y12" s="520"/>
      <c r="Z12" s="520"/>
      <c r="AA12" s="520"/>
      <c r="AB12" s="520"/>
      <c r="AC12" s="520"/>
      <c r="AD12" s="520"/>
      <c r="AE12" s="520"/>
      <c r="AF12" s="520"/>
      <c r="AG12" s="520"/>
      <c r="AH12" s="520"/>
      <c r="AI12" s="520"/>
      <c r="AJ12" s="520"/>
      <c r="AK12" s="62"/>
      <c r="AL12" s="62"/>
      <c r="AM12" s="62"/>
      <c r="AN12" s="62"/>
    </row>
    <row r="13" spans="1:40" x14ac:dyDescent="0.3">
      <c r="A13" s="499" t="s">
        <v>1145</v>
      </c>
      <c r="B13" s="62" t="s">
        <v>1146</v>
      </c>
      <c r="C13" s="62" t="s">
        <v>19</v>
      </c>
      <c r="D13" s="62"/>
      <c r="E13" s="62"/>
      <c r="F13" s="521">
        <f t="shared" si="0"/>
        <v>1</v>
      </c>
      <c r="G13" s="521">
        <v>1</v>
      </c>
      <c r="H13" s="671"/>
      <c r="I13" s="671"/>
      <c r="J13" s="671"/>
      <c r="K13" s="521">
        <v>0</v>
      </c>
      <c r="L13" s="521"/>
      <c r="M13" s="520"/>
      <c r="N13" s="520"/>
      <c r="O13" s="520"/>
      <c r="P13" s="520"/>
      <c r="Q13" s="520"/>
      <c r="R13" s="520"/>
      <c r="S13" s="520"/>
      <c r="T13" s="520"/>
      <c r="U13" s="520"/>
      <c r="V13" s="520"/>
      <c r="W13" s="520"/>
      <c r="X13" s="520"/>
      <c r="Y13" s="520"/>
      <c r="Z13" s="520"/>
      <c r="AA13" s="520"/>
      <c r="AB13" s="520"/>
      <c r="AC13" s="520"/>
      <c r="AD13" s="520"/>
      <c r="AE13" s="520"/>
      <c r="AF13" s="520"/>
      <c r="AG13" s="520"/>
      <c r="AH13" s="520"/>
      <c r="AI13" s="520"/>
      <c r="AJ13" s="520"/>
      <c r="AK13" s="62"/>
      <c r="AL13" s="62"/>
      <c r="AM13" s="62"/>
      <c r="AN13" s="62"/>
    </row>
    <row r="14" spans="1:40" x14ac:dyDescent="0.3">
      <c r="A14" s="499" t="s">
        <v>1147</v>
      </c>
      <c r="B14" s="62" t="s">
        <v>1148</v>
      </c>
      <c r="C14" s="62" t="s">
        <v>19</v>
      </c>
      <c r="D14" s="62"/>
      <c r="E14" s="62"/>
      <c r="F14" s="521">
        <f t="shared" si="0"/>
        <v>1</v>
      </c>
      <c r="G14" s="521">
        <v>1</v>
      </c>
      <c r="H14" s="671"/>
      <c r="I14" s="671"/>
      <c r="J14" s="671"/>
      <c r="K14" s="521">
        <v>0</v>
      </c>
      <c r="L14" s="521"/>
      <c r="M14" s="520"/>
      <c r="N14" s="520"/>
      <c r="O14" s="520"/>
      <c r="P14" s="520"/>
      <c r="Q14" s="520"/>
      <c r="R14" s="520"/>
      <c r="S14" s="520"/>
      <c r="T14" s="520"/>
      <c r="U14" s="520"/>
      <c r="V14" s="520"/>
      <c r="W14" s="520"/>
      <c r="X14" s="520"/>
      <c r="Y14" s="520"/>
      <c r="Z14" s="520"/>
      <c r="AA14" s="520"/>
      <c r="AB14" s="520"/>
      <c r="AC14" s="520"/>
      <c r="AD14" s="520"/>
      <c r="AE14" s="520"/>
      <c r="AF14" s="520"/>
      <c r="AG14" s="520"/>
      <c r="AH14" s="520"/>
      <c r="AI14" s="520"/>
      <c r="AJ14" s="520"/>
      <c r="AK14" s="62"/>
      <c r="AL14" s="62"/>
      <c r="AM14" s="62"/>
      <c r="AN14" s="62"/>
    </row>
    <row r="15" spans="1:40" x14ac:dyDescent="0.3">
      <c r="A15" s="499"/>
      <c r="B15" s="62"/>
      <c r="C15" s="62"/>
      <c r="D15" s="62"/>
      <c r="E15" s="62"/>
      <c r="F15" s="520"/>
      <c r="G15" s="520"/>
      <c r="H15" s="670"/>
      <c r="I15" s="670"/>
      <c r="J15" s="670"/>
      <c r="K15" s="520"/>
      <c r="L15" s="520"/>
      <c r="M15" s="520"/>
      <c r="N15" s="520"/>
      <c r="O15" s="520"/>
      <c r="P15" s="520"/>
      <c r="Q15" s="520"/>
      <c r="R15" s="520"/>
      <c r="S15" s="520"/>
      <c r="T15" s="520"/>
      <c r="U15" s="520"/>
      <c r="V15" s="520"/>
      <c r="W15" s="520"/>
      <c r="X15" s="520"/>
      <c r="Y15" s="520"/>
      <c r="Z15" s="520"/>
      <c r="AA15" s="520"/>
      <c r="AB15" s="520"/>
      <c r="AC15" s="520"/>
      <c r="AD15" s="520"/>
      <c r="AE15" s="520"/>
      <c r="AF15" s="520"/>
      <c r="AG15" s="520"/>
      <c r="AH15" s="520"/>
      <c r="AI15" s="520"/>
      <c r="AJ15" s="520"/>
      <c r="AK15" s="62"/>
      <c r="AL15" s="62"/>
      <c r="AM15" s="62"/>
      <c r="AN15" s="62"/>
    </row>
    <row r="16" spans="1:40" x14ac:dyDescent="0.3">
      <c r="A16" s="498"/>
      <c r="B16" s="62" t="s">
        <v>1149</v>
      </c>
      <c r="C16" s="62"/>
      <c r="D16" s="62"/>
      <c r="E16" s="62"/>
      <c r="F16" s="520"/>
      <c r="G16" s="520"/>
      <c r="H16" s="670"/>
      <c r="I16" s="670"/>
      <c r="J16" s="670"/>
      <c r="K16" s="520"/>
      <c r="L16" s="520"/>
      <c r="M16" s="520"/>
      <c r="N16" s="520"/>
      <c r="O16" s="520"/>
      <c r="P16" s="520"/>
      <c r="Q16" s="520"/>
      <c r="R16" s="520"/>
      <c r="S16" s="520"/>
      <c r="T16" s="520"/>
      <c r="U16" s="520"/>
      <c r="V16" s="520"/>
      <c r="W16" s="520"/>
      <c r="X16" s="520"/>
      <c r="Y16" s="520"/>
      <c r="Z16" s="520"/>
      <c r="AA16" s="520"/>
      <c r="AB16" s="520"/>
      <c r="AC16" s="520"/>
      <c r="AD16" s="520"/>
      <c r="AE16" s="520"/>
      <c r="AF16" s="520"/>
      <c r="AG16" s="520"/>
      <c r="AH16" s="520"/>
      <c r="AI16" s="520"/>
      <c r="AJ16" s="520"/>
      <c r="AK16" s="62"/>
      <c r="AL16" s="62"/>
      <c r="AM16" s="62"/>
      <c r="AN16" s="62"/>
    </row>
    <row r="17" spans="1:40" x14ac:dyDescent="0.3">
      <c r="A17" s="498"/>
      <c r="B17" s="62"/>
      <c r="C17" s="62"/>
      <c r="D17" s="62"/>
      <c r="E17" s="62"/>
      <c r="F17" s="520"/>
      <c r="G17" s="520"/>
      <c r="H17" s="670"/>
      <c r="I17" s="670"/>
      <c r="J17" s="670"/>
      <c r="K17" s="520"/>
      <c r="L17" s="520"/>
      <c r="M17" s="520"/>
      <c r="N17" s="520"/>
      <c r="O17" s="520"/>
      <c r="P17" s="520"/>
      <c r="Q17" s="520"/>
      <c r="R17" s="520"/>
      <c r="S17" s="520"/>
      <c r="T17" s="520"/>
      <c r="U17" s="520"/>
      <c r="V17" s="520"/>
      <c r="W17" s="520"/>
      <c r="X17" s="520"/>
      <c r="Y17" s="520"/>
      <c r="Z17" s="520"/>
      <c r="AA17" s="520"/>
      <c r="AB17" s="520"/>
      <c r="AC17" s="520"/>
      <c r="AD17" s="520"/>
      <c r="AE17" s="520"/>
      <c r="AF17" s="520"/>
      <c r="AG17" s="520"/>
      <c r="AH17" s="520"/>
      <c r="AI17" s="520"/>
      <c r="AJ17" s="520"/>
      <c r="AK17" s="62"/>
      <c r="AL17" s="62"/>
      <c r="AM17" s="62"/>
      <c r="AN17" s="62"/>
    </row>
    <row r="18" spans="1:40" x14ac:dyDescent="0.3">
      <c r="A18" s="463" t="s">
        <v>370</v>
      </c>
      <c r="B18" s="62"/>
      <c r="C18" s="62"/>
      <c r="D18" s="62"/>
      <c r="E18" s="62"/>
      <c r="F18" s="520"/>
      <c r="G18" s="520"/>
      <c r="H18" s="670"/>
      <c r="I18" s="670"/>
      <c r="J18" s="670"/>
      <c r="K18" s="520"/>
      <c r="L18" s="520"/>
      <c r="M18" s="520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  <c r="Y18" s="520"/>
      <c r="Z18" s="520"/>
      <c r="AA18" s="520"/>
      <c r="AB18" s="520"/>
      <c r="AC18" s="520"/>
      <c r="AD18" s="520"/>
      <c r="AE18" s="520"/>
      <c r="AF18" s="520"/>
      <c r="AG18" s="520"/>
      <c r="AH18" s="520"/>
      <c r="AI18" s="520"/>
      <c r="AJ18" s="520"/>
      <c r="AK18" s="62"/>
      <c r="AL18" s="62"/>
      <c r="AM18" s="62"/>
      <c r="AN18" s="62"/>
    </row>
    <row r="19" spans="1:40" x14ac:dyDescent="0.3">
      <c r="A19" s="503" t="s">
        <v>371</v>
      </c>
      <c r="B19" s="504" t="s">
        <v>372</v>
      </c>
      <c r="C19" s="62" t="s">
        <v>19</v>
      </c>
      <c r="D19" s="62"/>
      <c r="E19" s="62"/>
      <c r="F19" s="672"/>
      <c r="G19" s="672"/>
      <c r="H19" s="673"/>
      <c r="I19" s="672"/>
      <c r="J19" s="673"/>
      <c r="K19" s="521">
        <v>0</v>
      </c>
      <c r="L19" s="521"/>
      <c r="M19" s="521"/>
      <c r="N19" s="523"/>
      <c r="O19" s="523"/>
      <c r="P19" s="523"/>
      <c r="Q19" s="523"/>
      <c r="R19" s="523"/>
      <c r="S19" s="523"/>
      <c r="T19" s="523"/>
      <c r="U19" s="523"/>
      <c r="V19" s="523"/>
      <c r="W19" s="523"/>
      <c r="X19" s="523"/>
      <c r="Y19" s="523"/>
      <c r="Z19" s="523"/>
      <c r="AA19" s="523"/>
      <c r="AB19" s="523"/>
      <c r="AC19" s="523"/>
      <c r="AD19" s="523"/>
      <c r="AE19" s="523"/>
      <c r="AF19" s="523"/>
      <c r="AG19" s="523"/>
      <c r="AH19" s="523"/>
      <c r="AI19" s="523"/>
      <c r="AJ19" s="523"/>
      <c r="AK19" s="62"/>
      <c r="AL19" s="62"/>
      <c r="AM19" s="62"/>
      <c r="AN19" s="62"/>
    </row>
    <row r="20" spans="1:40" x14ac:dyDescent="0.3">
      <c r="A20" s="503" t="s">
        <v>373</v>
      </c>
      <c r="B20" s="503" t="s">
        <v>374</v>
      </c>
      <c r="C20" s="62" t="s">
        <v>19</v>
      </c>
      <c r="D20" s="62"/>
      <c r="E20" s="62"/>
      <c r="F20" s="672"/>
      <c r="G20" s="672"/>
      <c r="H20" s="673"/>
      <c r="I20" s="672"/>
      <c r="J20" s="673"/>
      <c r="K20" s="521">
        <v>0</v>
      </c>
      <c r="L20" s="521"/>
      <c r="M20" s="521"/>
      <c r="N20" s="523"/>
      <c r="O20" s="523"/>
      <c r="P20" s="523"/>
      <c r="Q20" s="523"/>
      <c r="R20" s="523"/>
      <c r="S20" s="523"/>
      <c r="T20" s="523"/>
      <c r="U20" s="523"/>
      <c r="V20" s="523"/>
      <c r="W20" s="523"/>
      <c r="X20" s="523"/>
      <c r="Y20" s="523"/>
      <c r="Z20" s="523"/>
      <c r="AA20" s="523"/>
      <c r="AB20" s="523"/>
      <c r="AC20" s="523"/>
      <c r="AD20" s="523"/>
      <c r="AE20" s="523"/>
      <c r="AF20" s="523"/>
      <c r="AG20" s="523"/>
      <c r="AH20" s="523"/>
      <c r="AI20" s="523"/>
      <c r="AJ20" s="523"/>
      <c r="AK20" s="62"/>
      <c r="AL20" s="62"/>
      <c r="AM20" s="62"/>
      <c r="AN20" s="62"/>
    </row>
    <row r="21" spans="1:40" x14ac:dyDescent="0.3">
      <c r="A21" s="503" t="s">
        <v>375</v>
      </c>
      <c r="B21" s="503" t="s">
        <v>376</v>
      </c>
      <c r="C21" s="62" t="s">
        <v>19</v>
      </c>
      <c r="D21" s="62"/>
      <c r="E21" s="62"/>
      <c r="F21" s="672"/>
      <c r="G21" s="672"/>
      <c r="H21" s="673"/>
      <c r="I21" s="672"/>
      <c r="J21" s="673"/>
      <c r="K21" s="521">
        <v>0</v>
      </c>
      <c r="L21" s="521"/>
      <c r="M21" s="521"/>
      <c r="N21" s="523"/>
      <c r="O21" s="523"/>
      <c r="P21" s="523"/>
      <c r="Q21" s="523"/>
      <c r="R21" s="523"/>
      <c r="S21" s="523"/>
      <c r="T21" s="523"/>
      <c r="U21" s="523"/>
      <c r="V21" s="523"/>
      <c r="W21" s="523"/>
      <c r="X21" s="523"/>
      <c r="Y21" s="523"/>
      <c r="Z21" s="523"/>
      <c r="AA21" s="523"/>
      <c r="AB21" s="523"/>
      <c r="AC21" s="523"/>
      <c r="AD21" s="523"/>
      <c r="AE21" s="523"/>
      <c r="AF21" s="523"/>
      <c r="AG21" s="523"/>
      <c r="AH21" s="523"/>
      <c r="AI21" s="523"/>
      <c r="AJ21" s="523"/>
      <c r="AK21" s="62"/>
      <c r="AL21" s="62"/>
      <c r="AM21" s="62"/>
      <c r="AN21" s="62"/>
    </row>
    <row r="22" spans="1:40" x14ac:dyDescent="0.3">
      <c r="A22" s="503" t="s">
        <v>377</v>
      </c>
      <c r="B22" s="504" t="s">
        <v>378</v>
      </c>
      <c r="C22" s="62" t="s">
        <v>19</v>
      </c>
      <c r="D22" s="62"/>
      <c r="E22" s="62"/>
      <c r="F22" s="671"/>
      <c r="G22" s="671"/>
      <c r="H22" s="673"/>
      <c r="I22" s="672"/>
      <c r="J22" s="673"/>
      <c r="K22" s="521">
        <v>0</v>
      </c>
      <c r="L22" s="521"/>
      <c r="M22" s="521"/>
      <c r="N22" s="523"/>
      <c r="O22" s="523"/>
      <c r="P22" s="523"/>
      <c r="Q22" s="523"/>
      <c r="R22" s="523"/>
      <c r="S22" s="523"/>
      <c r="T22" s="523"/>
      <c r="U22" s="523"/>
      <c r="V22" s="523"/>
      <c r="W22" s="523"/>
      <c r="X22" s="523"/>
      <c r="Y22" s="523"/>
      <c r="Z22" s="523"/>
      <c r="AA22" s="523"/>
      <c r="AB22" s="523"/>
      <c r="AC22" s="523"/>
      <c r="AD22" s="523"/>
      <c r="AE22" s="523"/>
      <c r="AF22" s="523"/>
      <c r="AG22" s="523"/>
      <c r="AH22" s="523"/>
      <c r="AI22" s="523"/>
      <c r="AJ22" s="523"/>
      <c r="AK22" s="62"/>
      <c r="AL22" s="62"/>
      <c r="AM22" s="62"/>
      <c r="AN22" s="62"/>
    </row>
    <row r="23" spans="1:40" x14ac:dyDescent="0.3">
      <c r="A23" s="503" t="s">
        <v>379</v>
      </c>
      <c r="B23" s="504" t="s">
        <v>380</v>
      </c>
      <c r="C23" s="62" t="s">
        <v>19</v>
      </c>
      <c r="D23" s="62"/>
      <c r="E23" s="62"/>
      <c r="F23" s="672"/>
      <c r="G23" s="672"/>
      <c r="H23" s="673"/>
      <c r="I23" s="672"/>
      <c r="J23" s="673"/>
      <c r="K23" s="521">
        <v>0</v>
      </c>
      <c r="L23" s="521"/>
      <c r="M23" s="521"/>
      <c r="N23" s="523"/>
      <c r="O23" s="523"/>
      <c r="P23" s="523"/>
      <c r="Q23" s="523"/>
      <c r="R23" s="523"/>
      <c r="S23" s="523"/>
      <c r="T23" s="523"/>
      <c r="U23" s="523"/>
      <c r="V23" s="523"/>
      <c r="W23" s="523"/>
      <c r="X23" s="523"/>
      <c r="Y23" s="523"/>
      <c r="Z23" s="523"/>
      <c r="AA23" s="523"/>
      <c r="AB23" s="523"/>
      <c r="AC23" s="523"/>
      <c r="AD23" s="523"/>
      <c r="AE23" s="523"/>
      <c r="AF23" s="523"/>
      <c r="AG23" s="523"/>
      <c r="AH23" s="523"/>
      <c r="AI23" s="523"/>
      <c r="AJ23" s="523"/>
      <c r="AK23" s="62"/>
      <c r="AL23" s="62"/>
      <c r="AM23" s="62"/>
      <c r="AN23" s="62"/>
    </row>
    <row r="24" spans="1:40" x14ac:dyDescent="0.3">
      <c r="A24" s="503" t="s">
        <v>381</v>
      </c>
      <c r="B24" s="504" t="s">
        <v>382</v>
      </c>
      <c r="C24" s="62" t="s">
        <v>19</v>
      </c>
      <c r="D24" s="62"/>
      <c r="E24" s="62"/>
      <c r="F24" s="672"/>
      <c r="G24" s="672"/>
      <c r="H24" s="673"/>
      <c r="I24" s="672"/>
      <c r="J24" s="673"/>
      <c r="K24" s="521">
        <v>0</v>
      </c>
      <c r="L24" s="521"/>
      <c r="M24" s="521"/>
      <c r="N24" s="523"/>
      <c r="O24" s="523"/>
      <c r="P24" s="523"/>
      <c r="Q24" s="523"/>
      <c r="R24" s="523"/>
      <c r="S24" s="523"/>
      <c r="T24" s="523"/>
      <c r="U24" s="523"/>
      <c r="V24" s="523"/>
      <c r="W24" s="523"/>
      <c r="X24" s="523"/>
      <c r="Y24" s="523"/>
      <c r="Z24" s="523"/>
      <c r="AA24" s="523"/>
      <c r="AB24" s="523"/>
      <c r="AC24" s="523"/>
      <c r="AD24" s="523"/>
      <c r="AE24" s="523"/>
      <c r="AF24" s="523"/>
      <c r="AG24" s="523"/>
      <c r="AH24" s="523"/>
      <c r="AI24" s="523"/>
      <c r="AJ24" s="523"/>
      <c r="AK24" s="62"/>
      <c r="AL24" s="62"/>
      <c r="AM24" s="62"/>
      <c r="AN24" s="62"/>
    </row>
    <row r="25" spans="1:40" x14ac:dyDescent="0.3">
      <c r="A25" s="503" t="s">
        <v>383</v>
      </c>
      <c r="B25" s="504" t="s">
        <v>384</v>
      </c>
      <c r="C25" s="62" t="s">
        <v>19</v>
      </c>
      <c r="D25" s="62"/>
      <c r="E25" s="62"/>
      <c r="F25" s="672"/>
      <c r="G25" s="672"/>
      <c r="H25" s="673"/>
      <c r="I25" s="672"/>
      <c r="J25" s="673"/>
      <c r="K25" s="521">
        <v>0</v>
      </c>
      <c r="L25" s="521"/>
      <c r="M25" s="521"/>
      <c r="N25" s="523"/>
      <c r="O25" s="523"/>
      <c r="P25" s="523"/>
      <c r="Q25" s="523"/>
      <c r="R25" s="523"/>
      <c r="S25" s="523"/>
      <c r="T25" s="523"/>
      <c r="U25" s="523"/>
      <c r="V25" s="523"/>
      <c r="W25" s="523"/>
      <c r="X25" s="523"/>
      <c r="Y25" s="523"/>
      <c r="Z25" s="523"/>
      <c r="AA25" s="523"/>
      <c r="AB25" s="523"/>
      <c r="AC25" s="523"/>
      <c r="AD25" s="523"/>
      <c r="AE25" s="523"/>
      <c r="AF25" s="523"/>
      <c r="AG25" s="523"/>
      <c r="AH25" s="523"/>
      <c r="AI25" s="523"/>
      <c r="AJ25" s="523"/>
      <c r="AK25" s="62"/>
      <c r="AL25" s="62"/>
      <c r="AM25" s="62"/>
      <c r="AN25" s="62"/>
    </row>
    <row r="26" spans="1:40" x14ac:dyDescent="0.3">
      <c r="A26" s="62"/>
      <c r="B26" s="62"/>
      <c r="C26" s="62"/>
      <c r="D26" s="62"/>
      <c r="E26" s="62"/>
      <c r="F26" s="520"/>
      <c r="G26" s="520"/>
      <c r="H26" s="670"/>
      <c r="I26" s="670"/>
      <c r="J26" s="670"/>
      <c r="K26" s="520"/>
      <c r="L26" s="520"/>
      <c r="M26" s="520"/>
      <c r="N26" s="520"/>
      <c r="O26" s="520"/>
      <c r="P26" s="520"/>
      <c r="Q26" s="520"/>
      <c r="R26" s="520"/>
      <c r="S26" s="520"/>
      <c r="T26" s="520"/>
      <c r="U26" s="520"/>
      <c r="V26" s="520"/>
      <c r="W26" s="520"/>
      <c r="X26" s="520"/>
      <c r="Y26" s="520"/>
      <c r="Z26" s="520"/>
      <c r="AA26" s="520"/>
      <c r="AB26" s="520"/>
      <c r="AC26" s="520"/>
      <c r="AD26" s="520"/>
      <c r="AE26" s="520"/>
      <c r="AF26" s="520"/>
      <c r="AG26" s="520"/>
      <c r="AH26" s="520"/>
      <c r="AI26" s="520"/>
      <c r="AJ26" s="520"/>
      <c r="AK26" s="62"/>
      <c r="AL26" s="62"/>
      <c r="AM26" s="62"/>
      <c r="AN26" s="62"/>
    </row>
    <row r="27" spans="1:40" x14ac:dyDescent="0.3">
      <c r="A27" s="62"/>
      <c r="B27" s="62" t="s">
        <v>385</v>
      </c>
      <c r="C27" s="62"/>
      <c r="D27" s="62"/>
      <c r="E27" s="62"/>
      <c r="F27" s="523"/>
      <c r="G27" s="523"/>
      <c r="H27" s="673"/>
      <c r="I27" s="673"/>
      <c r="J27" s="673"/>
      <c r="K27" s="523"/>
      <c r="L27" s="523"/>
      <c r="M27" s="523"/>
      <c r="N27" s="523"/>
      <c r="O27" s="523"/>
      <c r="P27" s="520"/>
      <c r="Q27" s="520"/>
      <c r="R27" s="520"/>
      <c r="S27" s="520"/>
      <c r="T27" s="520"/>
      <c r="U27" s="520"/>
      <c r="V27" s="520"/>
      <c r="W27" s="520"/>
      <c r="X27" s="520"/>
      <c r="Y27" s="520"/>
      <c r="Z27" s="520"/>
      <c r="AA27" s="520"/>
      <c r="AB27" s="520"/>
      <c r="AC27" s="520"/>
      <c r="AD27" s="520"/>
      <c r="AE27" s="520"/>
      <c r="AF27" s="520"/>
      <c r="AG27" s="520"/>
      <c r="AH27" s="520"/>
      <c r="AI27" s="520"/>
      <c r="AJ27" s="520"/>
      <c r="AK27" s="62"/>
      <c r="AL27" s="62"/>
      <c r="AM27" s="62"/>
      <c r="AN27" s="62"/>
    </row>
    <row r="28" spans="1:40" x14ac:dyDescent="0.3">
      <c r="A28" s="62"/>
      <c r="B28" s="62"/>
      <c r="C28" s="62"/>
      <c r="D28" s="62"/>
      <c r="E28" s="62"/>
      <c r="F28" s="520"/>
      <c r="G28" s="520"/>
      <c r="H28" s="670"/>
      <c r="I28" s="670"/>
      <c r="J28" s="670"/>
      <c r="K28" s="520"/>
      <c r="L28" s="520"/>
      <c r="M28" s="520"/>
      <c r="N28" s="520"/>
      <c r="O28" s="520"/>
      <c r="P28" s="520"/>
      <c r="Q28" s="520"/>
      <c r="R28" s="520"/>
      <c r="S28" s="520"/>
      <c r="T28" s="520"/>
      <c r="U28" s="520"/>
      <c r="V28" s="520"/>
      <c r="W28" s="520"/>
      <c r="X28" s="520"/>
      <c r="Y28" s="520"/>
      <c r="Z28" s="520"/>
      <c r="AA28" s="520"/>
      <c r="AB28" s="520"/>
      <c r="AC28" s="520"/>
      <c r="AD28" s="520"/>
      <c r="AE28" s="520"/>
      <c r="AF28" s="520"/>
      <c r="AG28" s="520"/>
      <c r="AH28" s="520"/>
      <c r="AI28" s="520"/>
      <c r="AJ28" s="520"/>
      <c r="AK28" s="62"/>
      <c r="AL28" s="62"/>
      <c r="AM28" s="62"/>
      <c r="AN28" s="62"/>
    </row>
    <row r="29" spans="1:40" x14ac:dyDescent="0.3">
      <c r="A29" s="463" t="s">
        <v>386</v>
      </c>
      <c r="B29" s="62"/>
      <c r="C29" s="62"/>
      <c r="D29" s="62"/>
      <c r="E29" s="62"/>
      <c r="F29" s="520"/>
      <c r="G29" s="520"/>
      <c r="H29" s="670"/>
      <c r="I29" s="670"/>
      <c r="J29" s="670"/>
      <c r="K29" s="520"/>
      <c r="L29" s="520"/>
      <c r="M29" s="520"/>
      <c r="N29" s="520"/>
      <c r="O29" s="520"/>
      <c r="P29" s="520"/>
      <c r="Q29" s="520"/>
      <c r="R29" s="520"/>
      <c r="S29" s="520"/>
      <c r="T29" s="520"/>
      <c r="U29" s="520"/>
      <c r="V29" s="520"/>
      <c r="W29" s="520"/>
      <c r="X29" s="520"/>
      <c r="Y29" s="520"/>
      <c r="Z29" s="520"/>
      <c r="AA29" s="520"/>
      <c r="AB29" s="520"/>
      <c r="AC29" s="520"/>
      <c r="AD29" s="520"/>
      <c r="AE29" s="520"/>
      <c r="AF29" s="520"/>
      <c r="AG29" s="520"/>
      <c r="AH29" s="520"/>
      <c r="AI29" s="520"/>
      <c r="AJ29" s="520"/>
      <c r="AK29" s="62"/>
      <c r="AL29" s="62"/>
      <c r="AM29" s="62"/>
      <c r="AN29" s="62"/>
    </row>
    <row r="30" spans="1:40" x14ac:dyDescent="0.3">
      <c r="A30" s="500" t="s">
        <v>387</v>
      </c>
      <c r="B30" s="501" t="s">
        <v>372</v>
      </c>
      <c r="C30" s="62" t="s">
        <v>19</v>
      </c>
      <c r="D30" s="62"/>
      <c r="E30" s="62"/>
      <c r="F30" s="521">
        <f t="shared" ref="F30:F37" si="1">G30+K30+L30+M30</f>
        <v>1</v>
      </c>
      <c r="G30" s="521">
        <v>1</v>
      </c>
      <c r="H30" s="671"/>
      <c r="I30" s="671"/>
      <c r="J30" s="671"/>
      <c r="K30" s="521">
        <v>0</v>
      </c>
      <c r="L30" s="521"/>
      <c r="M30" s="521"/>
      <c r="N30" s="523"/>
      <c r="O30" s="523"/>
      <c r="P30" s="520"/>
      <c r="Q30" s="520"/>
      <c r="R30" s="520"/>
      <c r="S30" s="520"/>
      <c r="T30" s="520"/>
      <c r="U30" s="520"/>
      <c r="V30" s="520"/>
      <c r="W30" s="520"/>
      <c r="X30" s="520"/>
      <c r="Y30" s="520"/>
      <c r="Z30" s="520"/>
      <c r="AA30" s="520"/>
      <c r="AB30" s="520"/>
      <c r="AC30" s="520"/>
      <c r="AD30" s="520"/>
      <c r="AE30" s="520"/>
      <c r="AF30" s="520"/>
      <c r="AG30" s="520"/>
      <c r="AH30" s="520"/>
      <c r="AI30" s="520"/>
      <c r="AJ30" s="520"/>
      <c r="AK30" s="62"/>
      <c r="AL30" s="62"/>
      <c r="AM30" s="62"/>
      <c r="AN30" s="62"/>
    </row>
    <row r="31" spans="1:40" x14ac:dyDescent="0.3">
      <c r="A31" s="500" t="s">
        <v>388</v>
      </c>
      <c r="B31" s="502" t="s">
        <v>374</v>
      </c>
      <c r="C31" s="62" t="s">
        <v>19</v>
      </c>
      <c r="D31" s="62"/>
      <c r="E31" s="62"/>
      <c r="F31" s="521">
        <f t="shared" si="1"/>
        <v>1</v>
      </c>
      <c r="G31" s="521">
        <v>1</v>
      </c>
      <c r="H31" s="671"/>
      <c r="I31" s="671"/>
      <c r="J31" s="671"/>
      <c r="K31" s="521">
        <v>0</v>
      </c>
      <c r="L31" s="521"/>
      <c r="M31" s="521"/>
      <c r="N31" s="523"/>
      <c r="O31" s="523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20"/>
      <c r="AF31" s="520"/>
      <c r="AG31" s="520"/>
      <c r="AH31" s="520"/>
      <c r="AI31" s="520"/>
      <c r="AJ31" s="520"/>
      <c r="AK31" s="62"/>
      <c r="AL31" s="62"/>
      <c r="AM31" s="62"/>
      <c r="AN31" s="62"/>
    </row>
    <row r="32" spans="1:40" x14ac:dyDescent="0.3">
      <c r="A32" s="500" t="s">
        <v>389</v>
      </c>
      <c r="B32" s="502" t="s">
        <v>390</v>
      </c>
      <c r="C32" s="62" t="s">
        <v>19</v>
      </c>
      <c r="D32" s="62"/>
      <c r="E32" s="62"/>
      <c r="F32" s="521">
        <f t="shared" si="1"/>
        <v>1</v>
      </c>
      <c r="G32" s="521">
        <v>1</v>
      </c>
      <c r="H32" s="671"/>
      <c r="I32" s="671"/>
      <c r="J32" s="671"/>
      <c r="K32" s="521">
        <v>0</v>
      </c>
      <c r="L32" s="521"/>
      <c r="M32" s="521"/>
      <c r="N32" s="523"/>
      <c r="O32" s="523"/>
      <c r="P32" s="520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0"/>
      <c r="AD32" s="520"/>
      <c r="AE32" s="520"/>
      <c r="AF32" s="520"/>
      <c r="AG32" s="520"/>
      <c r="AH32" s="520"/>
      <c r="AI32" s="520"/>
      <c r="AJ32" s="520"/>
      <c r="AK32" s="62"/>
      <c r="AL32" s="62"/>
      <c r="AM32" s="62"/>
      <c r="AN32" s="62"/>
    </row>
    <row r="33" spans="1:40" x14ac:dyDescent="0.3">
      <c r="A33" s="500" t="s">
        <v>391</v>
      </c>
      <c r="B33" s="501" t="s">
        <v>378</v>
      </c>
      <c r="C33" s="62" t="s">
        <v>19</v>
      </c>
      <c r="D33" s="62"/>
      <c r="E33" s="62"/>
      <c r="F33" s="521">
        <f t="shared" si="1"/>
        <v>1</v>
      </c>
      <c r="G33" s="521">
        <v>1</v>
      </c>
      <c r="H33" s="671"/>
      <c r="I33" s="671"/>
      <c r="J33" s="671"/>
      <c r="K33" s="521">
        <v>0</v>
      </c>
      <c r="L33" s="521"/>
      <c r="M33" s="521"/>
      <c r="N33" s="523"/>
      <c r="O33" s="523"/>
      <c r="P33" s="520"/>
      <c r="Q33" s="520"/>
      <c r="R33" s="520"/>
      <c r="S33" s="520"/>
      <c r="T33" s="520"/>
      <c r="U33" s="520"/>
      <c r="V33" s="520"/>
      <c r="W33" s="520"/>
      <c r="X33" s="520"/>
      <c r="Y33" s="520"/>
      <c r="Z33" s="520"/>
      <c r="AA33" s="520"/>
      <c r="AB33" s="520"/>
      <c r="AC33" s="520"/>
      <c r="AD33" s="520"/>
      <c r="AE33" s="520"/>
      <c r="AF33" s="520"/>
      <c r="AG33" s="520"/>
      <c r="AH33" s="520"/>
      <c r="AI33" s="520"/>
      <c r="AJ33" s="520"/>
      <c r="AK33" s="62"/>
      <c r="AL33" s="62"/>
      <c r="AM33" s="62"/>
      <c r="AN33" s="62"/>
    </row>
    <row r="34" spans="1:40" x14ac:dyDescent="0.3">
      <c r="A34" s="500" t="s">
        <v>392</v>
      </c>
      <c r="B34" s="501" t="s">
        <v>380</v>
      </c>
      <c r="C34" s="62" t="s">
        <v>19</v>
      </c>
      <c r="D34" s="62"/>
      <c r="E34" s="62"/>
      <c r="F34" s="521">
        <f t="shared" si="1"/>
        <v>1</v>
      </c>
      <c r="G34" s="521">
        <v>1</v>
      </c>
      <c r="H34" s="671"/>
      <c r="I34" s="671"/>
      <c r="J34" s="671"/>
      <c r="K34" s="521">
        <v>0</v>
      </c>
      <c r="L34" s="521"/>
      <c r="M34" s="521"/>
      <c r="N34" s="523"/>
      <c r="O34" s="523"/>
      <c r="P34" s="520"/>
      <c r="Q34" s="520"/>
      <c r="R34" s="520"/>
      <c r="S34" s="520"/>
      <c r="T34" s="520"/>
      <c r="U34" s="520"/>
      <c r="V34" s="520"/>
      <c r="W34" s="520"/>
      <c r="X34" s="520"/>
      <c r="Y34" s="520"/>
      <c r="Z34" s="520"/>
      <c r="AA34" s="520"/>
      <c r="AB34" s="520"/>
      <c r="AC34" s="520"/>
      <c r="AD34" s="520"/>
      <c r="AE34" s="520"/>
      <c r="AF34" s="520"/>
      <c r="AG34" s="520"/>
      <c r="AH34" s="520"/>
      <c r="AI34" s="520"/>
      <c r="AJ34" s="520"/>
      <c r="AK34" s="62"/>
      <c r="AL34" s="62"/>
      <c r="AM34" s="62"/>
      <c r="AN34" s="62"/>
    </row>
    <row r="35" spans="1:40" x14ac:dyDescent="0.3">
      <c r="A35" s="500" t="s">
        <v>393</v>
      </c>
      <c r="B35" s="501" t="s">
        <v>382</v>
      </c>
      <c r="C35" s="62" t="s">
        <v>19</v>
      </c>
      <c r="D35" s="62"/>
      <c r="E35" s="62"/>
      <c r="F35" s="521">
        <f t="shared" si="1"/>
        <v>1</v>
      </c>
      <c r="G35" s="521">
        <v>1</v>
      </c>
      <c r="H35" s="671"/>
      <c r="I35" s="671"/>
      <c r="J35" s="671"/>
      <c r="K35" s="521">
        <v>0</v>
      </c>
      <c r="L35" s="521"/>
      <c r="M35" s="521"/>
      <c r="N35" s="523"/>
      <c r="O35" s="523"/>
      <c r="P35" s="520"/>
      <c r="Q35" s="520"/>
      <c r="R35" s="520"/>
      <c r="S35" s="520"/>
      <c r="T35" s="520"/>
      <c r="U35" s="520"/>
      <c r="V35" s="520"/>
      <c r="W35" s="520"/>
      <c r="X35" s="520"/>
      <c r="Y35" s="520"/>
      <c r="Z35" s="520"/>
      <c r="AA35" s="520"/>
      <c r="AB35" s="520"/>
      <c r="AC35" s="520"/>
      <c r="AD35" s="520"/>
      <c r="AE35" s="520"/>
      <c r="AF35" s="520"/>
      <c r="AG35" s="520"/>
      <c r="AH35" s="520"/>
      <c r="AI35" s="520"/>
      <c r="AJ35" s="520"/>
      <c r="AK35" s="62"/>
      <c r="AL35" s="62"/>
      <c r="AM35" s="62"/>
      <c r="AN35" s="62"/>
    </row>
    <row r="36" spans="1:40" x14ac:dyDescent="0.3">
      <c r="A36" s="500" t="s">
        <v>1150</v>
      </c>
      <c r="B36" s="501" t="s">
        <v>384</v>
      </c>
      <c r="C36" s="62" t="s">
        <v>19</v>
      </c>
      <c r="D36" s="62"/>
      <c r="E36" s="62"/>
      <c r="F36" s="521">
        <f t="shared" ref="F36" si="2">G36+K36+L36+M36</f>
        <v>1</v>
      </c>
      <c r="G36" s="521">
        <v>1</v>
      </c>
      <c r="H36" s="671"/>
      <c r="I36" s="671"/>
      <c r="J36" s="671"/>
      <c r="K36" s="521">
        <v>0</v>
      </c>
      <c r="L36" s="521"/>
      <c r="M36" s="521"/>
      <c r="N36" s="523"/>
      <c r="O36" s="523"/>
      <c r="P36" s="520"/>
      <c r="Q36" s="520"/>
      <c r="R36" s="520"/>
      <c r="S36" s="520"/>
      <c r="T36" s="520"/>
      <c r="U36" s="520"/>
      <c r="V36" s="520"/>
      <c r="W36" s="520"/>
      <c r="X36" s="520"/>
      <c r="Y36" s="520"/>
      <c r="Z36" s="520"/>
      <c r="AA36" s="520"/>
      <c r="AB36" s="520"/>
      <c r="AC36" s="520"/>
      <c r="AD36" s="520"/>
      <c r="AE36" s="520"/>
      <c r="AF36" s="520"/>
      <c r="AG36" s="520"/>
      <c r="AH36" s="520"/>
      <c r="AI36" s="520"/>
      <c r="AJ36" s="520"/>
      <c r="AK36" s="62"/>
      <c r="AL36" s="62"/>
      <c r="AM36" s="62"/>
      <c r="AN36" s="62"/>
    </row>
    <row r="37" spans="1:40" s="1" customFormat="1" x14ac:dyDescent="0.3">
      <c r="A37" s="500"/>
      <c r="B37" s="501" t="s">
        <v>91</v>
      </c>
      <c r="C37" s="62"/>
      <c r="D37" s="62"/>
      <c r="E37" s="62"/>
      <c r="F37" s="521">
        <f t="shared" si="1"/>
        <v>1</v>
      </c>
      <c r="G37" s="521">
        <v>1</v>
      </c>
      <c r="H37" s="671"/>
      <c r="I37" s="671"/>
      <c r="J37" s="671"/>
      <c r="K37" s="521">
        <v>0</v>
      </c>
      <c r="L37" s="521"/>
      <c r="M37" s="521"/>
      <c r="N37" s="523"/>
      <c r="O37" s="523"/>
      <c r="P37" s="520"/>
      <c r="Q37" s="520"/>
      <c r="R37" s="520"/>
      <c r="S37" s="520"/>
      <c r="T37" s="520"/>
      <c r="U37" s="520"/>
      <c r="V37" s="520"/>
      <c r="W37" s="520"/>
      <c r="X37" s="520"/>
      <c r="Y37" s="520"/>
      <c r="Z37" s="520"/>
      <c r="AA37" s="520"/>
      <c r="AB37" s="520"/>
      <c r="AC37" s="520"/>
      <c r="AD37" s="520"/>
      <c r="AE37" s="520"/>
      <c r="AF37" s="520"/>
      <c r="AG37" s="520"/>
      <c r="AH37" s="520"/>
      <c r="AI37" s="520"/>
      <c r="AJ37" s="520"/>
      <c r="AK37" s="62"/>
      <c r="AL37" s="62"/>
      <c r="AM37" s="62"/>
      <c r="AN37" s="62"/>
    </row>
    <row r="38" spans="1:40" x14ac:dyDescent="0.3">
      <c r="A38" s="62"/>
      <c r="B38" s="62"/>
      <c r="C38" s="62"/>
      <c r="D38" s="62"/>
      <c r="E38" s="62"/>
      <c r="F38" s="520"/>
      <c r="G38" s="520"/>
      <c r="H38" s="670"/>
      <c r="I38" s="670"/>
      <c r="J38" s="670"/>
      <c r="K38" s="520"/>
      <c r="L38" s="520"/>
      <c r="M38" s="520"/>
      <c r="N38" s="520"/>
      <c r="O38" s="520"/>
      <c r="P38" s="520"/>
      <c r="Q38" s="520"/>
      <c r="R38" s="520"/>
      <c r="S38" s="520"/>
      <c r="T38" s="520"/>
      <c r="U38" s="520"/>
      <c r="V38" s="520"/>
      <c r="W38" s="520"/>
      <c r="X38" s="520"/>
      <c r="Y38" s="520"/>
      <c r="Z38" s="520"/>
      <c r="AA38" s="520"/>
      <c r="AB38" s="520"/>
      <c r="AC38" s="520"/>
      <c r="AD38" s="520"/>
      <c r="AE38" s="520"/>
      <c r="AF38" s="520"/>
      <c r="AG38" s="520"/>
      <c r="AH38" s="520"/>
      <c r="AI38" s="520"/>
      <c r="AJ38" s="520"/>
      <c r="AK38" s="62"/>
      <c r="AL38" s="62"/>
      <c r="AM38" s="62"/>
      <c r="AN38" s="62"/>
    </row>
    <row r="39" spans="1:40" x14ac:dyDescent="0.3">
      <c r="A39" s="62"/>
      <c r="B39" s="62" t="s">
        <v>394</v>
      </c>
      <c r="C39" s="62"/>
      <c r="D39" s="62"/>
      <c r="E39" s="62"/>
      <c r="F39" s="523"/>
      <c r="G39" s="523"/>
      <c r="H39" s="673"/>
      <c r="I39" s="673"/>
      <c r="J39" s="673"/>
      <c r="K39" s="523"/>
      <c r="L39" s="523"/>
      <c r="M39" s="523"/>
      <c r="N39" s="523"/>
      <c r="O39" s="523"/>
      <c r="P39" s="520"/>
      <c r="Q39" s="520"/>
      <c r="R39" s="520"/>
      <c r="S39" s="520"/>
      <c r="T39" s="520"/>
      <c r="U39" s="520"/>
      <c r="V39" s="520"/>
      <c r="W39" s="520"/>
      <c r="X39" s="520"/>
      <c r="Y39" s="520"/>
      <c r="Z39" s="520"/>
      <c r="AA39" s="520"/>
      <c r="AB39" s="520"/>
      <c r="AC39" s="520"/>
      <c r="AD39" s="520"/>
      <c r="AE39" s="520"/>
      <c r="AF39" s="520"/>
      <c r="AG39" s="520"/>
      <c r="AH39" s="520"/>
      <c r="AI39" s="520"/>
      <c r="AJ39" s="520"/>
      <c r="AK39" s="62"/>
      <c r="AL39" s="62"/>
      <c r="AM39" s="62"/>
      <c r="AN39" s="62"/>
    </row>
    <row r="40" spans="1:40" x14ac:dyDescent="0.3">
      <c r="A40" s="62"/>
      <c r="B40" s="62"/>
      <c r="C40" s="62"/>
      <c r="D40" s="62"/>
      <c r="E40" s="62"/>
      <c r="F40" s="520"/>
      <c r="G40" s="520"/>
      <c r="H40" s="670"/>
      <c r="I40" s="670"/>
      <c r="J40" s="670"/>
      <c r="K40" s="520"/>
      <c r="L40" s="520"/>
      <c r="M40" s="520"/>
      <c r="N40" s="520"/>
      <c r="O40" s="520"/>
      <c r="P40" s="520"/>
      <c r="Q40" s="520"/>
      <c r="R40" s="520"/>
      <c r="S40" s="520"/>
      <c r="T40" s="520"/>
      <c r="U40" s="520"/>
      <c r="V40" s="520"/>
      <c r="W40" s="520"/>
      <c r="X40" s="520"/>
      <c r="Y40" s="520"/>
      <c r="Z40" s="520"/>
      <c r="AA40" s="520"/>
      <c r="AB40" s="520"/>
      <c r="AC40" s="520"/>
      <c r="AD40" s="520"/>
      <c r="AE40" s="520"/>
      <c r="AF40" s="520"/>
      <c r="AG40" s="520"/>
      <c r="AH40" s="520"/>
      <c r="AI40" s="520"/>
      <c r="AJ40" s="520"/>
      <c r="AK40" s="62"/>
      <c r="AL40" s="62"/>
      <c r="AM40" s="62"/>
      <c r="AN40" s="62"/>
    </row>
    <row r="41" spans="1:40" x14ac:dyDescent="0.3">
      <c r="A41" s="463" t="s">
        <v>395</v>
      </c>
      <c r="B41" s="62"/>
      <c r="C41" s="62"/>
      <c r="D41" s="62"/>
      <c r="E41" s="62"/>
      <c r="F41" s="520"/>
      <c r="G41" s="520"/>
      <c r="H41" s="670"/>
      <c r="I41" s="670"/>
      <c r="J41" s="670"/>
      <c r="K41" s="520"/>
      <c r="L41" s="520"/>
      <c r="M41" s="520"/>
      <c r="N41" s="520"/>
      <c r="O41" s="520"/>
      <c r="P41" s="520"/>
      <c r="Q41" s="520"/>
      <c r="R41" s="520"/>
      <c r="S41" s="520"/>
      <c r="T41" s="520"/>
      <c r="U41" s="520"/>
      <c r="V41" s="520"/>
      <c r="W41" s="520"/>
      <c r="X41" s="520"/>
      <c r="Y41" s="520"/>
      <c r="Z41" s="520"/>
      <c r="AA41" s="520"/>
      <c r="AB41" s="520"/>
      <c r="AC41" s="520"/>
      <c r="AD41" s="520"/>
      <c r="AE41" s="520"/>
      <c r="AF41" s="520"/>
      <c r="AG41" s="520"/>
      <c r="AH41" s="520"/>
      <c r="AI41" s="520"/>
      <c r="AJ41" s="520"/>
      <c r="AK41" s="62"/>
      <c r="AL41" s="62"/>
      <c r="AM41" s="62"/>
      <c r="AN41" s="62"/>
    </row>
    <row r="42" spans="1:40" x14ac:dyDescent="0.3">
      <c r="A42" s="503" t="s">
        <v>396</v>
      </c>
      <c r="B42" s="504" t="s">
        <v>372</v>
      </c>
      <c r="C42" s="62"/>
      <c r="D42" s="62"/>
      <c r="E42" s="62"/>
      <c r="F42" s="521">
        <f t="shared" ref="F42:F48" si="3">G42+K42+L42+M42</f>
        <v>1</v>
      </c>
      <c r="G42" s="521">
        <v>1</v>
      </c>
      <c r="H42" s="671"/>
      <c r="I42" s="671"/>
      <c r="J42" s="671"/>
      <c r="K42" s="521"/>
      <c r="L42" s="521"/>
      <c r="M42" s="521"/>
      <c r="N42" s="523"/>
      <c r="O42" s="523"/>
      <c r="P42" s="520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0"/>
      <c r="AD42" s="520"/>
      <c r="AE42" s="520"/>
      <c r="AF42" s="520"/>
      <c r="AG42" s="520"/>
      <c r="AH42" s="520"/>
      <c r="AI42" s="520"/>
      <c r="AJ42" s="520"/>
      <c r="AK42" s="62"/>
      <c r="AL42" s="62"/>
      <c r="AM42" s="62"/>
      <c r="AN42" s="62"/>
    </row>
    <row r="43" spans="1:40" x14ac:dyDescent="0.3">
      <c r="A43" s="503" t="s">
        <v>397</v>
      </c>
      <c r="B43" s="503" t="s">
        <v>374</v>
      </c>
      <c r="C43" s="498"/>
      <c r="D43" s="498"/>
      <c r="E43" s="498"/>
      <c r="F43" s="521">
        <f t="shared" si="3"/>
        <v>1</v>
      </c>
      <c r="G43" s="521">
        <v>1</v>
      </c>
      <c r="H43" s="671"/>
      <c r="I43" s="671"/>
      <c r="J43" s="671"/>
      <c r="K43" s="521"/>
      <c r="L43" s="521"/>
      <c r="M43" s="521"/>
      <c r="N43" s="523"/>
      <c r="O43" s="523"/>
      <c r="P43" s="520"/>
      <c r="Q43" s="520"/>
      <c r="R43" s="520"/>
      <c r="S43" s="520"/>
      <c r="T43" s="520"/>
      <c r="U43" s="520"/>
      <c r="V43" s="520"/>
      <c r="W43" s="520"/>
      <c r="X43" s="520"/>
      <c r="Y43" s="520"/>
      <c r="Z43" s="520"/>
      <c r="AA43" s="520"/>
      <c r="AB43" s="520"/>
      <c r="AC43" s="520"/>
      <c r="AD43" s="520"/>
      <c r="AE43" s="520"/>
      <c r="AF43" s="520"/>
      <c r="AG43" s="520"/>
      <c r="AH43" s="520"/>
      <c r="AI43" s="520"/>
      <c r="AJ43" s="520"/>
      <c r="AK43" s="62"/>
      <c r="AL43" s="62"/>
      <c r="AM43" s="62"/>
      <c r="AN43" s="62"/>
    </row>
    <row r="44" spans="1:40" x14ac:dyDescent="0.3">
      <c r="A44" s="503" t="s">
        <v>398</v>
      </c>
      <c r="B44" s="504" t="s">
        <v>1321</v>
      </c>
      <c r="C44" s="62"/>
      <c r="D44" s="62"/>
      <c r="E44" s="62"/>
      <c r="F44" s="521">
        <f t="shared" si="3"/>
        <v>1</v>
      </c>
      <c r="G44" s="521">
        <v>1</v>
      </c>
      <c r="H44" s="671"/>
      <c r="I44" s="671"/>
      <c r="J44" s="671"/>
      <c r="K44" s="521"/>
      <c r="L44" s="521"/>
      <c r="M44" s="521"/>
      <c r="N44" s="523"/>
      <c r="O44" s="523"/>
      <c r="P44" s="520"/>
      <c r="Q44" s="520"/>
      <c r="R44" s="520"/>
      <c r="S44" s="520"/>
      <c r="T44" s="520"/>
      <c r="U44" s="520"/>
      <c r="V44" s="520"/>
      <c r="W44" s="520"/>
      <c r="X44" s="520"/>
      <c r="Y44" s="520"/>
      <c r="Z44" s="520"/>
      <c r="AA44" s="520"/>
      <c r="AB44" s="520"/>
      <c r="AC44" s="520"/>
      <c r="AD44" s="520"/>
      <c r="AE44" s="520"/>
      <c r="AF44" s="520"/>
      <c r="AG44" s="520"/>
      <c r="AH44" s="520"/>
      <c r="AI44" s="520"/>
      <c r="AJ44" s="520"/>
      <c r="AK44" s="62"/>
      <c r="AL44" s="62"/>
      <c r="AM44" s="62"/>
      <c r="AN44" s="62"/>
    </row>
    <row r="45" spans="1:40" x14ac:dyDescent="0.3">
      <c r="A45" s="503" t="s">
        <v>399</v>
      </c>
      <c r="B45" s="504" t="s">
        <v>497</v>
      </c>
      <c r="C45" s="62"/>
      <c r="D45" s="62"/>
      <c r="E45" s="62"/>
      <c r="F45" s="521">
        <f t="shared" si="3"/>
        <v>1</v>
      </c>
      <c r="G45" s="521">
        <v>1</v>
      </c>
      <c r="H45" s="671"/>
      <c r="I45" s="671"/>
      <c r="J45" s="671"/>
      <c r="K45" s="521"/>
      <c r="L45" s="521"/>
      <c r="M45" s="521"/>
      <c r="N45" s="523"/>
      <c r="O45" s="523"/>
      <c r="P45" s="520"/>
      <c r="Q45" s="520"/>
      <c r="R45" s="520"/>
      <c r="S45" s="520"/>
      <c r="T45" s="520"/>
      <c r="U45" s="520"/>
      <c r="V45" s="520"/>
      <c r="W45" s="520"/>
      <c r="X45" s="520"/>
      <c r="Y45" s="520"/>
      <c r="Z45" s="520"/>
      <c r="AA45" s="520"/>
      <c r="AB45" s="520"/>
      <c r="AC45" s="520"/>
      <c r="AD45" s="520"/>
      <c r="AE45" s="520"/>
      <c r="AF45" s="520"/>
      <c r="AG45" s="520"/>
      <c r="AH45" s="520"/>
      <c r="AI45" s="520"/>
      <c r="AJ45" s="520"/>
      <c r="AK45" s="62"/>
      <c r="AL45" s="62"/>
      <c r="AM45" s="62"/>
      <c r="AN45" s="62"/>
    </row>
    <row r="46" spans="1:40" x14ac:dyDescent="0.3">
      <c r="A46" s="503" t="s">
        <v>401</v>
      </c>
      <c r="B46" s="504" t="s">
        <v>402</v>
      </c>
      <c r="C46" s="62"/>
      <c r="D46" s="62"/>
      <c r="E46" s="62"/>
      <c r="F46" s="521">
        <f t="shared" si="3"/>
        <v>1</v>
      </c>
      <c r="G46" s="521">
        <v>1</v>
      </c>
      <c r="H46" s="671"/>
      <c r="I46" s="671"/>
      <c r="J46" s="671"/>
      <c r="K46" s="521"/>
      <c r="L46" s="521"/>
      <c r="M46" s="521"/>
      <c r="N46" s="523"/>
      <c r="O46" s="523"/>
      <c r="P46" s="520"/>
      <c r="Q46" s="520"/>
      <c r="R46" s="520"/>
      <c r="S46" s="520"/>
      <c r="T46" s="520"/>
      <c r="U46" s="520"/>
      <c r="V46" s="520"/>
      <c r="W46" s="520"/>
      <c r="X46" s="520"/>
      <c r="Y46" s="520"/>
      <c r="Z46" s="520"/>
      <c r="AA46" s="520"/>
      <c r="AB46" s="520"/>
      <c r="AC46" s="520"/>
      <c r="AD46" s="520"/>
      <c r="AE46" s="520"/>
      <c r="AF46" s="520"/>
      <c r="AG46" s="520"/>
      <c r="AH46" s="520"/>
      <c r="AI46" s="520"/>
      <c r="AJ46" s="520"/>
      <c r="AK46" s="62"/>
      <c r="AL46" s="62"/>
      <c r="AM46" s="62"/>
      <c r="AN46" s="62"/>
    </row>
    <row r="47" spans="1:40" x14ac:dyDescent="0.3">
      <c r="A47" s="503" t="s">
        <v>403</v>
      </c>
      <c r="B47" s="504" t="s">
        <v>404</v>
      </c>
      <c r="C47" s="62"/>
      <c r="D47" s="62"/>
      <c r="E47" s="62"/>
      <c r="F47" s="521">
        <f t="shared" si="3"/>
        <v>1</v>
      </c>
      <c r="G47" s="521">
        <v>1</v>
      </c>
      <c r="H47" s="671"/>
      <c r="I47" s="671"/>
      <c r="J47" s="671"/>
      <c r="K47" s="521"/>
      <c r="L47" s="521"/>
      <c r="M47" s="521"/>
      <c r="N47" s="523"/>
      <c r="O47" s="523"/>
      <c r="P47" s="520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0"/>
      <c r="AD47" s="520"/>
      <c r="AE47" s="520"/>
      <c r="AF47" s="520"/>
      <c r="AG47" s="520"/>
      <c r="AH47" s="520"/>
      <c r="AI47" s="520"/>
      <c r="AJ47" s="520"/>
      <c r="AK47" s="62"/>
      <c r="AL47" s="62"/>
      <c r="AM47" s="62"/>
      <c r="AN47" s="62"/>
    </row>
    <row r="48" spans="1:40" x14ac:dyDescent="0.3">
      <c r="A48" s="503" t="s">
        <v>405</v>
      </c>
      <c r="B48" s="504" t="s">
        <v>406</v>
      </c>
      <c r="C48" s="62"/>
      <c r="D48" s="62"/>
      <c r="E48" s="62"/>
      <c r="F48" s="521">
        <f t="shared" si="3"/>
        <v>1</v>
      </c>
      <c r="G48" s="521">
        <v>1</v>
      </c>
      <c r="H48" s="671"/>
      <c r="I48" s="671"/>
      <c r="J48" s="671"/>
      <c r="K48" s="521"/>
      <c r="L48" s="521"/>
      <c r="M48" s="521"/>
      <c r="N48" s="523"/>
      <c r="O48" s="523"/>
      <c r="P48" s="520"/>
      <c r="Q48" s="520"/>
      <c r="R48" s="520"/>
      <c r="S48" s="520"/>
      <c r="T48" s="520"/>
      <c r="U48" s="520"/>
      <c r="V48" s="520"/>
      <c r="W48" s="520"/>
      <c r="X48" s="520"/>
      <c r="Y48" s="520"/>
      <c r="Z48" s="520"/>
      <c r="AA48" s="520"/>
      <c r="AB48" s="520"/>
      <c r="AC48" s="520"/>
      <c r="AD48" s="520"/>
      <c r="AE48" s="520"/>
      <c r="AF48" s="520"/>
      <c r="AG48" s="520"/>
      <c r="AH48" s="520"/>
      <c r="AI48" s="520"/>
      <c r="AJ48" s="520"/>
      <c r="AK48" s="62"/>
      <c r="AL48" s="62"/>
      <c r="AM48" s="62"/>
      <c r="AN48" s="62"/>
    </row>
    <row r="49" spans="1:40" x14ac:dyDescent="0.3">
      <c r="A49" s="62"/>
      <c r="B49" s="62"/>
      <c r="C49" s="62"/>
      <c r="D49" s="62"/>
      <c r="E49" s="62"/>
      <c r="F49" s="520"/>
      <c r="G49" s="520"/>
      <c r="H49" s="670"/>
      <c r="I49" s="670"/>
      <c r="J49" s="670"/>
      <c r="K49" s="520"/>
      <c r="L49" s="520"/>
      <c r="M49" s="520"/>
      <c r="N49" s="520"/>
      <c r="O49" s="520"/>
      <c r="P49" s="520"/>
      <c r="Q49" s="520"/>
      <c r="R49" s="520"/>
      <c r="S49" s="520"/>
      <c r="T49" s="520"/>
      <c r="U49" s="520"/>
      <c r="V49" s="520"/>
      <c r="W49" s="520"/>
      <c r="X49" s="520"/>
      <c r="Y49" s="520"/>
      <c r="Z49" s="520"/>
      <c r="AA49" s="520"/>
      <c r="AB49" s="520"/>
      <c r="AC49" s="520"/>
      <c r="AD49" s="520"/>
      <c r="AE49" s="520"/>
      <c r="AF49" s="520"/>
      <c r="AG49" s="520"/>
      <c r="AH49" s="520"/>
      <c r="AI49" s="520"/>
      <c r="AJ49" s="520"/>
      <c r="AK49" s="62"/>
      <c r="AL49" s="62"/>
      <c r="AM49" s="62"/>
      <c r="AN49" s="62"/>
    </row>
    <row r="50" spans="1:40" x14ac:dyDescent="0.3">
      <c r="A50" s="62"/>
      <c r="B50" s="62" t="s">
        <v>407</v>
      </c>
      <c r="C50" s="62"/>
      <c r="D50" s="62"/>
      <c r="E50" s="62"/>
      <c r="F50" s="523"/>
      <c r="G50" s="523"/>
      <c r="H50" s="673"/>
      <c r="I50" s="673"/>
      <c r="J50" s="673"/>
      <c r="K50" s="523"/>
      <c r="L50" s="523"/>
      <c r="M50" s="523"/>
      <c r="N50" s="523"/>
      <c r="O50" s="523"/>
      <c r="P50" s="520"/>
      <c r="Q50" s="520"/>
      <c r="R50" s="520"/>
      <c r="S50" s="520"/>
      <c r="T50" s="520"/>
      <c r="U50" s="520"/>
      <c r="V50" s="520"/>
      <c r="W50" s="520"/>
      <c r="X50" s="520"/>
      <c r="Y50" s="520"/>
      <c r="Z50" s="520"/>
      <c r="AA50" s="520"/>
      <c r="AB50" s="520"/>
      <c r="AC50" s="520"/>
      <c r="AD50" s="520"/>
      <c r="AE50" s="520"/>
      <c r="AF50" s="520"/>
      <c r="AG50" s="520"/>
      <c r="AH50" s="520"/>
      <c r="AI50" s="520"/>
      <c r="AJ50" s="520"/>
      <c r="AK50" s="62"/>
      <c r="AL50" s="62"/>
      <c r="AM50" s="62"/>
      <c r="AN50" s="62"/>
    </row>
    <row r="51" spans="1:40" x14ac:dyDescent="0.3">
      <c r="A51" s="62"/>
      <c r="B51" s="62"/>
      <c r="C51" s="62"/>
      <c r="D51" s="62"/>
      <c r="E51" s="62"/>
      <c r="F51" s="520"/>
      <c r="G51" s="520"/>
      <c r="H51" s="670"/>
      <c r="I51" s="670"/>
      <c r="J51" s="670"/>
      <c r="K51" s="520"/>
      <c r="L51" s="520"/>
      <c r="M51" s="520"/>
      <c r="N51" s="520"/>
      <c r="O51" s="520"/>
      <c r="P51" s="520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0"/>
      <c r="AD51" s="520"/>
      <c r="AE51" s="520"/>
      <c r="AF51" s="520"/>
      <c r="AG51" s="520"/>
      <c r="AH51" s="520"/>
      <c r="AI51" s="520"/>
      <c r="AJ51" s="520"/>
      <c r="AK51" s="62"/>
      <c r="AL51" s="62"/>
      <c r="AM51" s="62"/>
      <c r="AN51" s="62"/>
    </row>
    <row r="52" spans="1:40" x14ac:dyDescent="0.3">
      <c r="A52" s="463" t="s">
        <v>408</v>
      </c>
      <c r="B52" s="62"/>
      <c r="C52" s="62"/>
      <c r="D52" s="62"/>
      <c r="E52" s="62"/>
      <c r="F52" s="520"/>
      <c r="G52" s="520"/>
      <c r="H52" s="670"/>
      <c r="I52" s="670"/>
      <c r="J52" s="670"/>
      <c r="K52" s="520"/>
      <c r="L52" s="520"/>
      <c r="M52" s="520"/>
      <c r="N52" s="520"/>
      <c r="O52" s="520"/>
      <c r="P52" s="520"/>
      <c r="Q52" s="520"/>
      <c r="R52" s="520"/>
      <c r="S52" s="520"/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62"/>
      <c r="AL52" s="62"/>
      <c r="AM52" s="62"/>
      <c r="AN52" s="62"/>
    </row>
    <row r="53" spans="1:40" x14ac:dyDescent="0.3">
      <c r="A53" s="504" t="s">
        <v>409</v>
      </c>
      <c r="B53" s="504" t="s">
        <v>372</v>
      </c>
      <c r="C53" s="62" t="s">
        <v>19</v>
      </c>
      <c r="D53" s="62"/>
      <c r="E53" s="62"/>
      <c r="F53" s="521">
        <f t="shared" ref="F53:F59" si="4">G53+K53+L53+M53</f>
        <v>1</v>
      </c>
      <c r="G53" s="521">
        <v>1</v>
      </c>
      <c r="H53" s="671"/>
      <c r="I53" s="671"/>
      <c r="J53" s="671"/>
      <c r="K53" s="521">
        <v>0</v>
      </c>
      <c r="L53" s="521"/>
      <c r="M53" s="521"/>
      <c r="N53" s="523"/>
      <c r="O53" s="523"/>
      <c r="P53" s="520"/>
      <c r="Q53" s="520"/>
      <c r="R53" s="520"/>
      <c r="S53" s="520"/>
      <c r="T53" s="520"/>
      <c r="U53" s="520"/>
      <c r="V53" s="520"/>
      <c r="W53" s="520"/>
      <c r="X53" s="520"/>
      <c r="Y53" s="520"/>
      <c r="Z53" s="520"/>
      <c r="AA53" s="520"/>
      <c r="AB53" s="520"/>
      <c r="AC53" s="520"/>
      <c r="AD53" s="520"/>
      <c r="AE53" s="520"/>
      <c r="AF53" s="520"/>
      <c r="AG53" s="520"/>
      <c r="AH53" s="520"/>
      <c r="AI53" s="520"/>
      <c r="AJ53" s="520"/>
      <c r="AK53" s="62"/>
      <c r="AL53" s="62"/>
      <c r="AM53" s="62"/>
      <c r="AN53" s="62"/>
    </row>
    <row r="54" spans="1:40" x14ac:dyDescent="0.3">
      <c r="A54" s="504" t="s">
        <v>410</v>
      </c>
      <c r="B54" s="503" t="s">
        <v>374</v>
      </c>
      <c r="C54" s="62" t="s">
        <v>19</v>
      </c>
      <c r="D54" s="62"/>
      <c r="E54" s="62"/>
      <c r="F54" s="521">
        <f t="shared" si="4"/>
        <v>1</v>
      </c>
      <c r="G54" s="521">
        <v>1</v>
      </c>
      <c r="H54" s="671"/>
      <c r="I54" s="671"/>
      <c r="J54" s="671"/>
      <c r="K54" s="521">
        <v>0</v>
      </c>
      <c r="L54" s="521"/>
      <c r="M54" s="521"/>
      <c r="N54" s="523"/>
      <c r="O54" s="523"/>
      <c r="P54" s="520"/>
      <c r="Q54" s="520"/>
      <c r="R54" s="520"/>
      <c r="S54" s="520"/>
      <c r="T54" s="520"/>
      <c r="U54" s="520"/>
      <c r="V54" s="520"/>
      <c r="W54" s="520"/>
      <c r="X54" s="520"/>
      <c r="Y54" s="520"/>
      <c r="Z54" s="520"/>
      <c r="AA54" s="520"/>
      <c r="AB54" s="520"/>
      <c r="AC54" s="520"/>
      <c r="AD54" s="520"/>
      <c r="AE54" s="520"/>
      <c r="AF54" s="520"/>
      <c r="AG54" s="520"/>
      <c r="AH54" s="520"/>
      <c r="AI54" s="520"/>
      <c r="AJ54" s="520"/>
      <c r="AK54" s="62"/>
      <c r="AL54" s="62"/>
      <c r="AM54" s="62"/>
      <c r="AN54" s="62"/>
    </row>
    <row r="55" spans="1:40" x14ac:dyDescent="0.3">
      <c r="A55" s="504" t="s">
        <v>411</v>
      </c>
      <c r="B55" s="504" t="s">
        <v>412</v>
      </c>
      <c r="C55" s="62" t="s">
        <v>19</v>
      </c>
      <c r="D55" s="62"/>
      <c r="E55" s="62"/>
      <c r="F55" s="521">
        <f t="shared" si="4"/>
        <v>1</v>
      </c>
      <c r="G55" s="521">
        <v>1</v>
      </c>
      <c r="H55" s="671"/>
      <c r="I55" s="671"/>
      <c r="J55" s="671"/>
      <c r="K55" s="521">
        <v>0</v>
      </c>
      <c r="L55" s="521"/>
      <c r="M55" s="521"/>
      <c r="N55" s="523"/>
      <c r="O55" s="523"/>
      <c r="P55" s="520"/>
      <c r="Q55" s="520"/>
      <c r="R55" s="520"/>
      <c r="S55" s="520"/>
      <c r="T55" s="520"/>
      <c r="U55" s="520"/>
      <c r="V55" s="520"/>
      <c r="W55" s="520"/>
      <c r="X55" s="520"/>
      <c r="Y55" s="520"/>
      <c r="Z55" s="520"/>
      <c r="AA55" s="520"/>
      <c r="AB55" s="520"/>
      <c r="AC55" s="520"/>
      <c r="AD55" s="520"/>
      <c r="AE55" s="520"/>
      <c r="AF55" s="520"/>
      <c r="AG55" s="520"/>
      <c r="AH55" s="520"/>
      <c r="AI55" s="520"/>
      <c r="AJ55" s="520"/>
      <c r="AK55" s="62"/>
      <c r="AL55" s="62"/>
      <c r="AM55" s="62"/>
      <c r="AN55" s="62"/>
    </row>
    <row r="56" spans="1:40" x14ac:dyDescent="0.3">
      <c r="A56" s="504" t="s">
        <v>413</v>
      </c>
      <c r="B56" s="504" t="s">
        <v>414</v>
      </c>
      <c r="C56" s="62" t="s">
        <v>19</v>
      </c>
      <c r="D56" s="62"/>
      <c r="E56" s="62"/>
      <c r="F56" s="521">
        <f t="shared" si="4"/>
        <v>1</v>
      </c>
      <c r="G56" s="521">
        <v>1</v>
      </c>
      <c r="H56" s="671"/>
      <c r="I56" s="671"/>
      <c r="J56" s="671"/>
      <c r="K56" s="521">
        <v>0</v>
      </c>
      <c r="L56" s="521"/>
      <c r="M56" s="521"/>
      <c r="N56" s="523"/>
      <c r="O56" s="523"/>
      <c r="P56" s="520"/>
      <c r="Q56" s="520"/>
      <c r="R56" s="520"/>
      <c r="S56" s="520"/>
      <c r="T56" s="520"/>
      <c r="U56" s="520"/>
      <c r="V56" s="520"/>
      <c r="W56" s="520"/>
      <c r="X56" s="520"/>
      <c r="Y56" s="520"/>
      <c r="Z56" s="520"/>
      <c r="AA56" s="520"/>
      <c r="AB56" s="520"/>
      <c r="AC56" s="520"/>
      <c r="AD56" s="520"/>
      <c r="AE56" s="520"/>
      <c r="AF56" s="520"/>
      <c r="AG56" s="520"/>
      <c r="AH56" s="520"/>
      <c r="AI56" s="520"/>
      <c r="AJ56" s="520"/>
      <c r="AK56" s="62"/>
      <c r="AL56" s="62"/>
      <c r="AM56" s="62"/>
      <c r="AN56" s="62"/>
    </row>
    <row r="57" spans="1:40" x14ac:dyDescent="0.3">
      <c r="A57" s="504" t="s">
        <v>415</v>
      </c>
      <c r="B57" s="503" t="s">
        <v>416</v>
      </c>
      <c r="C57" s="62" t="s">
        <v>19</v>
      </c>
      <c r="D57" s="62"/>
      <c r="E57" s="62"/>
      <c r="F57" s="521">
        <f t="shared" si="4"/>
        <v>1</v>
      </c>
      <c r="G57" s="521">
        <v>1</v>
      </c>
      <c r="H57" s="671"/>
      <c r="I57" s="671"/>
      <c r="J57" s="671"/>
      <c r="K57" s="521">
        <v>0</v>
      </c>
      <c r="L57" s="521"/>
      <c r="M57" s="521"/>
      <c r="N57" s="523"/>
      <c r="O57" s="523"/>
      <c r="P57" s="520"/>
      <c r="Q57" s="520"/>
      <c r="R57" s="520"/>
      <c r="S57" s="520"/>
      <c r="T57" s="520"/>
      <c r="U57" s="520"/>
      <c r="V57" s="520"/>
      <c r="W57" s="520"/>
      <c r="X57" s="520"/>
      <c r="Y57" s="520"/>
      <c r="Z57" s="520"/>
      <c r="AA57" s="520"/>
      <c r="AB57" s="520"/>
      <c r="AC57" s="520"/>
      <c r="AD57" s="520"/>
      <c r="AE57" s="520"/>
      <c r="AF57" s="520"/>
      <c r="AG57" s="520"/>
      <c r="AH57" s="520"/>
      <c r="AI57" s="520"/>
      <c r="AJ57" s="520"/>
      <c r="AK57" s="62"/>
      <c r="AL57" s="62"/>
      <c r="AM57" s="62"/>
      <c r="AN57" s="62"/>
    </row>
    <row r="58" spans="1:40" x14ac:dyDescent="0.3">
      <c r="A58" s="504" t="s">
        <v>417</v>
      </c>
      <c r="B58" s="504" t="s">
        <v>418</v>
      </c>
      <c r="C58" s="62" t="s">
        <v>19</v>
      </c>
      <c r="D58" s="62"/>
      <c r="E58" s="62"/>
      <c r="F58" s="521">
        <f t="shared" si="4"/>
        <v>1</v>
      </c>
      <c r="G58" s="521">
        <v>1</v>
      </c>
      <c r="H58" s="671"/>
      <c r="I58" s="671"/>
      <c r="J58" s="671"/>
      <c r="K58" s="521">
        <v>0</v>
      </c>
      <c r="L58" s="521"/>
      <c r="M58" s="521"/>
      <c r="N58" s="523"/>
      <c r="O58" s="523"/>
      <c r="P58" s="520"/>
      <c r="Q58" s="520"/>
      <c r="R58" s="520"/>
      <c r="S58" s="520"/>
      <c r="T58" s="520"/>
      <c r="U58" s="520"/>
      <c r="V58" s="520"/>
      <c r="W58" s="520"/>
      <c r="X58" s="520"/>
      <c r="Y58" s="520"/>
      <c r="Z58" s="520"/>
      <c r="AA58" s="520"/>
      <c r="AB58" s="520"/>
      <c r="AC58" s="520"/>
      <c r="AD58" s="520"/>
      <c r="AE58" s="520"/>
      <c r="AF58" s="520"/>
      <c r="AG58" s="520"/>
      <c r="AH58" s="520"/>
      <c r="AI58" s="520"/>
      <c r="AJ58" s="520"/>
      <c r="AK58" s="62"/>
      <c r="AL58" s="62"/>
      <c r="AM58" s="62"/>
      <c r="AN58" s="62"/>
    </row>
    <row r="59" spans="1:40" x14ac:dyDescent="0.3">
      <c r="A59" s="504" t="s">
        <v>419</v>
      </c>
      <c r="B59" s="504" t="s">
        <v>420</v>
      </c>
      <c r="C59" s="62" t="s">
        <v>19</v>
      </c>
      <c r="D59" s="62"/>
      <c r="E59" s="62"/>
      <c r="F59" s="521">
        <f t="shared" si="4"/>
        <v>1</v>
      </c>
      <c r="G59" s="521">
        <v>1</v>
      </c>
      <c r="H59" s="671"/>
      <c r="I59" s="671"/>
      <c r="J59" s="671"/>
      <c r="K59" s="521">
        <v>0</v>
      </c>
      <c r="L59" s="521"/>
      <c r="M59" s="521"/>
      <c r="N59" s="523"/>
      <c r="O59" s="523"/>
      <c r="P59" s="520"/>
      <c r="Q59" s="520"/>
      <c r="R59" s="520"/>
      <c r="S59" s="520"/>
      <c r="T59" s="520"/>
      <c r="U59" s="520"/>
      <c r="V59" s="520"/>
      <c r="W59" s="520"/>
      <c r="X59" s="520"/>
      <c r="Y59" s="520"/>
      <c r="Z59" s="520"/>
      <c r="AA59" s="520"/>
      <c r="AB59" s="520"/>
      <c r="AC59" s="520"/>
      <c r="AD59" s="520"/>
      <c r="AE59" s="520"/>
      <c r="AF59" s="520"/>
      <c r="AG59" s="520"/>
      <c r="AH59" s="520"/>
      <c r="AI59" s="520"/>
      <c r="AJ59" s="520"/>
      <c r="AK59" s="62"/>
      <c r="AL59" s="62"/>
      <c r="AM59" s="62"/>
      <c r="AN59" s="62"/>
    </row>
    <row r="60" spans="1:40" x14ac:dyDescent="0.3">
      <c r="A60" s="504"/>
      <c r="B60" s="504"/>
      <c r="C60" s="62"/>
      <c r="D60" s="62"/>
      <c r="E60" s="62"/>
      <c r="F60" s="520"/>
      <c r="G60" s="520"/>
      <c r="H60" s="670"/>
      <c r="I60" s="670"/>
      <c r="J60" s="670"/>
      <c r="K60" s="520"/>
      <c r="L60" s="520"/>
      <c r="M60" s="520"/>
      <c r="N60" s="520"/>
      <c r="O60" s="520"/>
      <c r="P60" s="520"/>
      <c r="Q60" s="520"/>
      <c r="R60" s="520"/>
      <c r="S60" s="520"/>
      <c r="T60" s="520"/>
      <c r="U60" s="520"/>
      <c r="V60" s="520"/>
      <c r="W60" s="520"/>
      <c r="X60" s="520"/>
      <c r="Y60" s="520"/>
      <c r="Z60" s="520"/>
      <c r="AA60" s="520"/>
      <c r="AB60" s="520"/>
      <c r="AC60" s="520"/>
      <c r="AD60" s="520"/>
      <c r="AE60" s="520"/>
      <c r="AF60" s="520"/>
      <c r="AG60" s="520"/>
      <c r="AH60" s="520"/>
      <c r="AI60" s="520"/>
      <c r="AJ60" s="520"/>
      <c r="AK60" s="62"/>
      <c r="AL60" s="62"/>
      <c r="AM60" s="62"/>
      <c r="AN60" s="62"/>
    </row>
    <row r="61" spans="1:40" x14ac:dyDescent="0.3">
      <c r="A61" s="62"/>
      <c r="B61" s="62" t="s">
        <v>421</v>
      </c>
      <c r="C61" s="62"/>
      <c r="D61" s="62"/>
      <c r="E61" s="62"/>
      <c r="F61" s="523"/>
      <c r="G61" s="523"/>
      <c r="H61" s="673"/>
      <c r="I61" s="673"/>
      <c r="J61" s="673"/>
      <c r="K61" s="523"/>
      <c r="L61" s="523"/>
      <c r="M61" s="523"/>
      <c r="N61" s="523"/>
      <c r="O61" s="523"/>
      <c r="P61" s="520"/>
      <c r="Q61" s="520"/>
      <c r="R61" s="520"/>
      <c r="S61" s="520"/>
      <c r="T61" s="520"/>
      <c r="U61" s="520"/>
      <c r="V61" s="520"/>
      <c r="W61" s="520"/>
      <c r="X61" s="520"/>
      <c r="Y61" s="520"/>
      <c r="Z61" s="520"/>
      <c r="AA61" s="520"/>
      <c r="AB61" s="520"/>
      <c r="AC61" s="520"/>
      <c r="AD61" s="520"/>
      <c r="AE61" s="520"/>
      <c r="AF61" s="520"/>
      <c r="AG61" s="520"/>
      <c r="AH61" s="520"/>
      <c r="AI61" s="520"/>
      <c r="AJ61" s="520"/>
      <c r="AK61" s="62"/>
      <c r="AL61" s="62"/>
      <c r="AM61" s="62"/>
      <c r="AN61" s="62"/>
    </row>
    <row r="62" spans="1:40" x14ac:dyDescent="0.3">
      <c r="A62" s="62"/>
      <c r="B62" s="62"/>
      <c r="C62" s="62"/>
      <c r="D62" s="62"/>
      <c r="E62" s="62"/>
      <c r="F62" s="520"/>
      <c r="G62" s="520"/>
      <c r="H62" s="670"/>
      <c r="I62" s="670"/>
      <c r="J62" s="670"/>
      <c r="K62" s="520"/>
      <c r="L62" s="520"/>
      <c r="M62" s="520"/>
      <c r="N62" s="520"/>
      <c r="O62" s="520"/>
      <c r="P62" s="520"/>
      <c r="Q62" s="520"/>
      <c r="R62" s="520"/>
      <c r="S62" s="520"/>
      <c r="T62" s="520"/>
      <c r="U62" s="520"/>
      <c r="V62" s="520"/>
      <c r="W62" s="520"/>
      <c r="X62" s="520"/>
      <c r="Y62" s="520"/>
      <c r="Z62" s="520"/>
      <c r="AA62" s="520"/>
      <c r="AB62" s="520"/>
      <c r="AC62" s="520"/>
      <c r="AD62" s="520"/>
      <c r="AE62" s="520"/>
      <c r="AF62" s="520"/>
      <c r="AG62" s="520"/>
      <c r="AH62" s="520"/>
      <c r="AI62" s="520"/>
      <c r="AJ62" s="520"/>
      <c r="AK62" s="62"/>
      <c r="AL62" s="62"/>
      <c r="AM62" s="62"/>
      <c r="AN62" s="62"/>
    </row>
    <row r="63" spans="1:40" x14ac:dyDescent="0.3">
      <c r="A63" s="62"/>
      <c r="B63" s="498" t="s">
        <v>422</v>
      </c>
      <c r="C63" s="498"/>
      <c r="D63" s="498"/>
      <c r="E63" s="498"/>
      <c r="F63" s="523"/>
      <c r="G63" s="523"/>
      <c r="H63" s="673"/>
      <c r="I63" s="673"/>
      <c r="J63" s="673"/>
      <c r="K63" s="523"/>
      <c r="L63" s="523"/>
      <c r="M63" s="523"/>
      <c r="N63" s="523"/>
      <c r="O63" s="523"/>
      <c r="P63" s="520"/>
      <c r="Q63" s="520"/>
      <c r="R63" s="520"/>
      <c r="S63" s="520"/>
      <c r="T63" s="520"/>
      <c r="U63" s="520"/>
      <c r="V63" s="520"/>
      <c r="W63" s="520"/>
      <c r="X63" s="520"/>
      <c r="Y63" s="520"/>
      <c r="Z63" s="520"/>
      <c r="AA63" s="520"/>
      <c r="AB63" s="520"/>
      <c r="AC63" s="520"/>
      <c r="AD63" s="520"/>
      <c r="AE63" s="520"/>
      <c r="AF63" s="520"/>
      <c r="AG63" s="520"/>
      <c r="AH63" s="520"/>
      <c r="AI63" s="520"/>
      <c r="AJ63" s="520"/>
      <c r="AK63" s="62"/>
      <c r="AL63" s="62"/>
      <c r="AM63" s="62"/>
      <c r="AN63" s="62"/>
    </row>
    <row r="64" spans="1:40" x14ac:dyDescent="0.3">
      <c r="A64" s="62"/>
      <c r="B64" s="62"/>
      <c r="C64" s="62"/>
      <c r="D64" s="62"/>
      <c r="E64" s="62"/>
      <c r="F64" s="520"/>
      <c r="G64" s="520"/>
      <c r="H64" s="670"/>
      <c r="I64" s="670"/>
      <c r="J64" s="670"/>
      <c r="K64" s="520"/>
      <c r="L64" s="520"/>
      <c r="M64" s="520"/>
      <c r="N64" s="520"/>
      <c r="O64" s="520"/>
      <c r="P64" s="520"/>
      <c r="Q64" s="520"/>
      <c r="R64" s="520"/>
      <c r="S64" s="520"/>
      <c r="T64" s="520"/>
      <c r="U64" s="520"/>
      <c r="V64" s="520"/>
      <c r="W64" s="520"/>
      <c r="X64" s="520"/>
      <c r="Y64" s="520"/>
      <c r="Z64" s="520"/>
      <c r="AA64" s="520"/>
      <c r="AB64" s="520"/>
      <c r="AC64" s="520"/>
      <c r="AD64" s="520"/>
      <c r="AE64" s="520"/>
      <c r="AF64" s="520"/>
      <c r="AG64" s="520"/>
      <c r="AH64" s="520"/>
      <c r="AI64" s="520"/>
      <c r="AJ64" s="520"/>
      <c r="AK64" s="62"/>
      <c r="AL64" s="62"/>
      <c r="AM64" s="62"/>
      <c r="AN64" s="62"/>
    </row>
    <row r="65" spans="1:40" x14ac:dyDescent="0.3">
      <c r="A65" s="499" t="s">
        <v>423</v>
      </c>
      <c r="B65" s="62"/>
      <c r="C65" s="62"/>
      <c r="D65" s="62"/>
      <c r="E65" s="62"/>
      <c r="F65" s="520"/>
      <c r="G65" s="520"/>
      <c r="H65" s="670"/>
      <c r="I65" s="670"/>
      <c r="J65" s="670"/>
      <c r="K65" s="520"/>
      <c r="L65" s="520"/>
      <c r="M65" s="520"/>
      <c r="N65" s="520"/>
      <c r="O65" s="520"/>
      <c r="P65" s="520"/>
      <c r="Q65" s="520"/>
      <c r="R65" s="520"/>
      <c r="S65" s="520"/>
      <c r="T65" s="520"/>
      <c r="U65" s="520"/>
      <c r="V65" s="520"/>
      <c r="W65" s="520"/>
      <c r="X65" s="520"/>
      <c r="Y65" s="520"/>
      <c r="Z65" s="520"/>
      <c r="AA65" s="520"/>
      <c r="AB65" s="520"/>
      <c r="AC65" s="520"/>
      <c r="AD65" s="520"/>
      <c r="AE65" s="520"/>
      <c r="AF65" s="520"/>
      <c r="AG65" s="520"/>
      <c r="AH65" s="520"/>
      <c r="AI65" s="520"/>
      <c r="AJ65" s="520"/>
      <c r="AK65" s="62"/>
      <c r="AL65" s="62"/>
      <c r="AM65" s="62"/>
      <c r="AN65" s="62"/>
    </row>
    <row r="66" spans="1:40" x14ac:dyDescent="0.3">
      <c r="A66" s="503" t="s">
        <v>424</v>
      </c>
      <c r="B66" s="504" t="s">
        <v>425</v>
      </c>
      <c r="C66" s="62" t="s">
        <v>19</v>
      </c>
      <c r="D66" s="62"/>
      <c r="E66" s="62"/>
      <c r="F66" s="521">
        <f>G66+K66+L66+M66</f>
        <v>1</v>
      </c>
      <c r="G66" s="521">
        <v>1</v>
      </c>
      <c r="H66" s="671"/>
      <c r="I66" s="671"/>
      <c r="J66" s="671"/>
      <c r="K66" s="521">
        <v>0</v>
      </c>
      <c r="L66" s="521"/>
      <c r="M66" s="521"/>
      <c r="N66" s="521">
        <v>1</v>
      </c>
      <c r="O66" s="521">
        <f>SUM(P66:Y66)</f>
        <v>1</v>
      </c>
      <c r="P66" s="521">
        <v>1</v>
      </c>
      <c r="Q66" s="520"/>
      <c r="R66" s="520"/>
      <c r="S66" s="520"/>
      <c r="T66" s="520"/>
      <c r="U66" s="520"/>
      <c r="V66" s="520"/>
      <c r="W66" s="520"/>
      <c r="X66" s="520"/>
      <c r="Y66" s="520"/>
      <c r="Z66" s="520"/>
      <c r="AA66" s="520"/>
      <c r="AB66" s="520"/>
      <c r="AC66" s="520"/>
      <c r="AD66" s="520"/>
      <c r="AE66" s="520"/>
      <c r="AF66" s="520"/>
      <c r="AG66" s="520"/>
      <c r="AH66" s="520"/>
      <c r="AI66" s="520"/>
      <c r="AJ66" s="520"/>
      <c r="AK66" s="62"/>
      <c r="AL66" s="62"/>
      <c r="AM66" s="62"/>
      <c r="AN66" s="62"/>
    </row>
    <row r="67" spans="1:40" x14ac:dyDescent="0.3">
      <c r="A67" s="503" t="s">
        <v>426</v>
      </c>
      <c r="B67" s="504" t="s">
        <v>374</v>
      </c>
      <c r="C67" s="62" t="s">
        <v>19</v>
      </c>
      <c r="D67" s="62"/>
      <c r="E67" s="62"/>
      <c r="F67" s="523"/>
      <c r="G67" s="523"/>
      <c r="H67" s="673"/>
      <c r="I67" s="673"/>
      <c r="J67" s="673"/>
      <c r="K67" s="523"/>
      <c r="L67" s="523"/>
      <c r="M67" s="523"/>
      <c r="N67" s="524"/>
      <c r="O67" s="524"/>
      <c r="P67" s="525"/>
      <c r="Q67" s="520"/>
      <c r="R67" s="520"/>
      <c r="S67" s="520"/>
      <c r="T67" s="520"/>
      <c r="U67" s="520"/>
      <c r="V67" s="520"/>
      <c r="W67" s="520"/>
      <c r="X67" s="520"/>
      <c r="Y67" s="520"/>
      <c r="Z67" s="520"/>
      <c r="AA67" s="520"/>
      <c r="AB67" s="520"/>
      <c r="AC67" s="520"/>
      <c r="AD67" s="520"/>
      <c r="AE67" s="520"/>
      <c r="AF67" s="520"/>
      <c r="AG67" s="520"/>
      <c r="AH67" s="520"/>
      <c r="AI67" s="520"/>
      <c r="AJ67" s="520"/>
      <c r="AK67" s="62"/>
      <c r="AL67" s="62"/>
      <c r="AM67" s="62"/>
      <c r="AN67" s="62"/>
    </row>
    <row r="68" spans="1:40" x14ac:dyDescent="0.3">
      <c r="A68" s="503" t="s">
        <v>427</v>
      </c>
      <c r="B68" s="504" t="s">
        <v>428</v>
      </c>
      <c r="C68" s="62" t="s">
        <v>19</v>
      </c>
      <c r="D68" s="62"/>
      <c r="E68" s="62"/>
      <c r="F68" s="521">
        <f>G68+K68+L68+M68</f>
        <v>1</v>
      </c>
      <c r="G68" s="521">
        <v>1</v>
      </c>
      <c r="H68" s="671"/>
      <c r="I68" s="671"/>
      <c r="J68" s="671"/>
      <c r="K68" s="521">
        <v>0</v>
      </c>
      <c r="L68" s="521"/>
      <c r="M68" s="521"/>
      <c r="N68" s="521">
        <v>1</v>
      </c>
      <c r="O68" s="521">
        <f>SUM(P68:Y68)</f>
        <v>1</v>
      </c>
      <c r="P68" s="521">
        <v>1</v>
      </c>
      <c r="Q68" s="520"/>
      <c r="R68" s="520"/>
      <c r="S68" s="520"/>
      <c r="T68" s="520"/>
      <c r="U68" s="520"/>
      <c r="V68" s="520"/>
      <c r="W68" s="520"/>
      <c r="X68" s="520"/>
      <c r="Y68" s="520"/>
      <c r="Z68" s="520"/>
      <c r="AA68" s="520"/>
      <c r="AB68" s="520"/>
      <c r="AC68" s="520"/>
      <c r="AD68" s="520"/>
      <c r="AE68" s="520"/>
      <c r="AF68" s="520"/>
      <c r="AG68" s="520"/>
      <c r="AH68" s="520"/>
      <c r="AI68" s="520"/>
      <c r="AJ68" s="520"/>
      <c r="AK68" s="62"/>
      <c r="AL68" s="62"/>
      <c r="AM68" s="62"/>
      <c r="AN68" s="62"/>
    </row>
    <row r="69" spans="1:40" x14ac:dyDescent="0.3">
      <c r="A69" s="503" t="s">
        <v>429</v>
      </c>
      <c r="B69" s="504" t="s">
        <v>430</v>
      </c>
      <c r="C69" s="62" t="s">
        <v>19</v>
      </c>
      <c r="D69" s="62"/>
      <c r="E69" s="62"/>
      <c r="F69" s="523"/>
      <c r="G69" s="523"/>
      <c r="H69" s="673"/>
      <c r="I69" s="673"/>
      <c r="J69" s="673"/>
      <c r="K69" s="523"/>
      <c r="L69" s="523"/>
      <c r="M69" s="523"/>
      <c r="N69" s="521">
        <v>1</v>
      </c>
      <c r="O69" s="524"/>
      <c r="P69" s="525"/>
      <c r="Q69" s="520"/>
      <c r="R69" s="520"/>
      <c r="S69" s="520"/>
      <c r="T69" s="520"/>
      <c r="U69" s="520"/>
      <c r="V69" s="520"/>
      <c r="W69" s="520"/>
      <c r="X69" s="520"/>
      <c r="Y69" s="520"/>
      <c r="Z69" s="520"/>
      <c r="AA69" s="520"/>
      <c r="AB69" s="520"/>
      <c r="AC69" s="520"/>
      <c r="AD69" s="520"/>
      <c r="AE69" s="520"/>
      <c r="AF69" s="520"/>
      <c r="AG69" s="520"/>
      <c r="AH69" s="520"/>
      <c r="AI69" s="520"/>
      <c r="AJ69" s="520"/>
      <c r="AK69" s="62"/>
      <c r="AL69" s="62"/>
      <c r="AM69" s="62"/>
      <c r="AN69" s="62"/>
    </row>
    <row r="70" spans="1:40" x14ac:dyDescent="0.3">
      <c r="A70" s="503" t="s">
        <v>431</v>
      </c>
      <c r="B70" s="504" t="s">
        <v>432</v>
      </c>
      <c r="C70" s="62" t="s">
        <v>19</v>
      </c>
      <c r="D70" s="62"/>
      <c r="E70" s="62"/>
      <c r="F70" s="523"/>
      <c r="G70" s="523"/>
      <c r="H70" s="673"/>
      <c r="I70" s="673"/>
      <c r="J70" s="673"/>
      <c r="K70" s="523"/>
      <c r="L70" s="523"/>
      <c r="M70" s="523"/>
      <c r="N70" s="521">
        <v>1</v>
      </c>
      <c r="O70" s="524"/>
      <c r="P70" s="525"/>
      <c r="Q70" s="520"/>
      <c r="R70" s="520"/>
      <c r="S70" s="520"/>
      <c r="T70" s="520"/>
      <c r="U70" s="520"/>
      <c r="V70" s="520"/>
      <c r="W70" s="520"/>
      <c r="X70" s="520"/>
      <c r="Y70" s="520"/>
      <c r="Z70" s="520"/>
      <c r="AA70" s="520"/>
      <c r="AB70" s="520"/>
      <c r="AC70" s="520"/>
      <c r="AD70" s="520"/>
      <c r="AE70" s="520"/>
      <c r="AF70" s="520"/>
      <c r="AG70" s="520"/>
      <c r="AH70" s="520"/>
      <c r="AI70" s="520"/>
      <c r="AJ70" s="520"/>
      <c r="AK70" s="62"/>
      <c r="AL70" s="62"/>
      <c r="AM70" s="62"/>
      <c r="AN70" s="62"/>
    </row>
    <row r="71" spans="1:40" x14ac:dyDescent="0.3">
      <c r="A71" s="503" t="s">
        <v>433</v>
      </c>
      <c r="B71" s="504" t="s">
        <v>434</v>
      </c>
      <c r="C71" s="62" t="s">
        <v>19</v>
      </c>
      <c r="D71" s="62"/>
      <c r="E71" s="62"/>
      <c r="F71" s="523"/>
      <c r="G71" s="523"/>
      <c r="H71" s="673"/>
      <c r="I71" s="673"/>
      <c r="J71" s="673"/>
      <c r="K71" s="523"/>
      <c r="L71" s="523"/>
      <c r="M71" s="523"/>
      <c r="N71" s="521">
        <v>1</v>
      </c>
      <c r="O71" s="524"/>
      <c r="P71" s="525"/>
      <c r="Q71" s="520"/>
      <c r="R71" s="520"/>
      <c r="S71" s="520"/>
      <c r="T71" s="520"/>
      <c r="U71" s="520"/>
      <c r="V71" s="520"/>
      <c r="W71" s="520"/>
      <c r="X71" s="520"/>
      <c r="Y71" s="520"/>
      <c r="Z71" s="520"/>
      <c r="AA71" s="520"/>
      <c r="AB71" s="520"/>
      <c r="AC71" s="520"/>
      <c r="AD71" s="520"/>
      <c r="AE71" s="520"/>
      <c r="AF71" s="520"/>
      <c r="AG71" s="520"/>
      <c r="AH71" s="520"/>
      <c r="AI71" s="520"/>
      <c r="AJ71" s="520"/>
      <c r="AK71" s="62"/>
      <c r="AL71" s="62"/>
      <c r="AM71" s="62"/>
      <c r="AN71" s="62"/>
    </row>
    <row r="72" spans="1:40" x14ac:dyDescent="0.3">
      <c r="A72" s="503" t="s">
        <v>435</v>
      </c>
      <c r="B72" s="504" t="s">
        <v>1322</v>
      </c>
      <c r="C72" s="62" t="s">
        <v>19</v>
      </c>
      <c r="D72" s="62"/>
      <c r="E72" s="62"/>
      <c r="F72" s="523"/>
      <c r="G72" s="523"/>
      <c r="H72" s="673"/>
      <c r="I72" s="673"/>
      <c r="J72" s="673"/>
      <c r="K72" s="523"/>
      <c r="L72" s="523"/>
      <c r="M72" s="523"/>
      <c r="N72" s="521">
        <v>1</v>
      </c>
      <c r="O72" s="524"/>
      <c r="P72" s="525"/>
      <c r="Q72" s="520"/>
      <c r="R72" s="520"/>
      <c r="S72" s="520"/>
      <c r="T72" s="520"/>
      <c r="U72" s="520"/>
      <c r="V72" s="520"/>
      <c r="W72" s="520"/>
      <c r="X72" s="520"/>
      <c r="Y72" s="520"/>
      <c r="Z72" s="520"/>
      <c r="AA72" s="520"/>
      <c r="AB72" s="520"/>
      <c r="AC72" s="520"/>
      <c r="AD72" s="520"/>
      <c r="AE72" s="520"/>
      <c r="AF72" s="520"/>
      <c r="AG72" s="520"/>
      <c r="AH72" s="520"/>
      <c r="AI72" s="520"/>
      <c r="AJ72" s="520"/>
      <c r="AK72" s="62"/>
      <c r="AL72" s="62"/>
      <c r="AM72" s="62"/>
      <c r="AN72" s="62"/>
    </row>
    <row r="73" spans="1:40" x14ac:dyDescent="0.3">
      <c r="A73" s="503" t="s">
        <v>894</v>
      </c>
      <c r="B73" s="503" t="s">
        <v>437</v>
      </c>
      <c r="C73" s="62" t="s">
        <v>19</v>
      </c>
      <c r="D73" s="62"/>
      <c r="E73" s="62"/>
      <c r="F73" s="523"/>
      <c r="G73" s="523"/>
      <c r="H73" s="673"/>
      <c r="I73" s="673"/>
      <c r="J73" s="673"/>
      <c r="K73" s="523"/>
      <c r="L73" s="523"/>
      <c r="M73" s="523"/>
      <c r="N73" s="521">
        <v>1</v>
      </c>
      <c r="O73" s="524"/>
      <c r="P73" s="525"/>
      <c r="Q73" s="520"/>
      <c r="R73" s="520"/>
      <c r="S73" s="520"/>
      <c r="T73" s="520"/>
      <c r="U73" s="520"/>
      <c r="V73" s="520"/>
      <c r="W73" s="520"/>
      <c r="X73" s="520"/>
      <c r="Y73" s="520"/>
      <c r="Z73" s="520"/>
      <c r="AA73" s="520"/>
      <c r="AB73" s="520"/>
      <c r="AC73" s="520"/>
      <c r="AD73" s="520"/>
      <c r="AE73" s="520"/>
      <c r="AF73" s="520"/>
      <c r="AG73" s="520"/>
      <c r="AH73" s="520"/>
      <c r="AI73" s="520"/>
      <c r="AJ73" s="520"/>
      <c r="AK73" s="62"/>
      <c r="AL73" s="62"/>
      <c r="AM73" s="62"/>
      <c r="AN73" s="62"/>
    </row>
    <row r="74" spans="1:40" x14ac:dyDescent="0.3">
      <c r="A74" s="503" t="s">
        <v>438</v>
      </c>
      <c r="B74" s="504" t="s">
        <v>439</v>
      </c>
      <c r="C74" s="62" t="s">
        <v>19</v>
      </c>
      <c r="D74" s="62"/>
      <c r="E74" s="62"/>
      <c r="F74" s="523"/>
      <c r="G74" s="523"/>
      <c r="H74" s="673"/>
      <c r="I74" s="673"/>
      <c r="J74" s="673"/>
      <c r="K74" s="523"/>
      <c r="L74" s="523"/>
      <c r="M74" s="523"/>
      <c r="N74" s="521">
        <v>1</v>
      </c>
      <c r="O74" s="524"/>
      <c r="P74" s="525"/>
      <c r="Q74" s="520"/>
      <c r="R74" s="520"/>
      <c r="S74" s="520"/>
      <c r="T74" s="520"/>
      <c r="U74" s="520"/>
      <c r="V74" s="520"/>
      <c r="W74" s="520"/>
      <c r="X74" s="520"/>
      <c r="Y74" s="520"/>
      <c r="Z74" s="520"/>
      <c r="AA74" s="520"/>
      <c r="AB74" s="520"/>
      <c r="AC74" s="520"/>
      <c r="AD74" s="520"/>
      <c r="AE74" s="520"/>
      <c r="AF74" s="520"/>
      <c r="AG74" s="520"/>
      <c r="AH74" s="520"/>
      <c r="AI74" s="520"/>
      <c r="AJ74" s="520"/>
      <c r="AK74" s="62"/>
      <c r="AL74" s="62"/>
      <c r="AM74" s="62"/>
      <c r="AN74" s="62"/>
    </row>
    <row r="75" spans="1:40" x14ac:dyDescent="0.3">
      <c r="A75" s="498"/>
      <c r="B75" s="62"/>
      <c r="C75" s="62"/>
      <c r="D75" s="62"/>
      <c r="E75" s="62"/>
      <c r="F75" s="520"/>
      <c r="G75" s="520"/>
      <c r="H75" s="670"/>
      <c r="I75" s="670"/>
      <c r="J75" s="670"/>
      <c r="K75" s="520"/>
      <c r="L75" s="520"/>
      <c r="M75" s="520"/>
      <c r="N75" s="520"/>
      <c r="O75" s="520"/>
      <c r="P75" s="520"/>
      <c r="Q75" s="520"/>
      <c r="R75" s="520"/>
      <c r="S75" s="520"/>
      <c r="T75" s="520"/>
      <c r="U75" s="520"/>
      <c r="V75" s="520"/>
      <c r="W75" s="520"/>
      <c r="X75" s="520"/>
      <c r="Y75" s="520"/>
      <c r="Z75" s="520"/>
      <c r="AA75" s="520"/>
      <c r="AB75" s="520"/>
      <c r="AC75" s="520"/>
      <c r="AD75" s="520"/>
      <c r="AE75" s="520"/>
      <c r="AF75" s="520"/>
      <c r="AG75" s="520"/>
      <c r="AH75" s="520"/>
      <c r="AI75" s="520"/>
      <c r="AJ75" s="520"/>
      <c r="AK75" s="62"/>
      <c r="AL75" s="62"/>
      <c r="AM75" s="62"/>
      <c r="AN75" s="62"/>
    </row>
    <row r="76" spans="1:40" x14ac:dyDescent="0.3">
      <c r="A76" s="62"/>
      <c r="B76" s="498" t="s">
        <v>440</v>
      </c>
      <c r="C76" s="498"/>
      <c r="D76" s="498"/>
      <c r="E76" s="498"/>
      <c r="F76" s="523"/>
      <c r="G76" s="523"/>
      <c r="H76" s="673"/>
      <c r="I76" s="673"/>
      <c r="J76" s="673"/>
      <c r="K76" s="523"/>
      <c r="L76" s="523"/>
      <c r="M76" s="523"/>
      <c r="N76" s="523"/>
      <c r="O76" s="523"/>
      <c r="P76" s="520"/>
      <c r="Q76" s="520"/>
      <c r="R76" s="520"/>
      <c r="S76" s="520"/>
      <c r="T76" s="520"/>
      <c r="U76" s="520"/>
      <c r="V76" s="520"/>
      <c r="W76" s="520"/>
      <c r="X76" s="520"/>
      <c r="Y76" s="520"/>
      <c r="Z76" s="520"/>
      <c r="AA76" s="520"/>
      <c r="AB76" s="520"/>
      <c r="AC76" s="520"/>
      <c r="AD76" s="520"/>
      <c r="AE76" s="520"/>
      <c r="AF76" s="520"/>
      <c r="AG76" s="520"/>
      <c r="AH76" s="520"/>
      <c r="AI76" s="520"/>
      <c r="AJ76" s="520"/>
      <c r="AK76" s="62"/>
      <c r="AL76" s="62"/>
      <c r="AM76" s="62"/>
      <c r="AN76" s="62"/>
    </row>
    <row r="77" spans="1:40" x14ac:dyDescent="0.3">
      <c r="A77" s="62"/>
      <c r="B77" s="62"/>
      <c r="C77" s="62"/>
      <c r="D77" s="62"/>
      <c r="E77" s="62"/>
      <c r="F77" s="520"/>
      <c r="G77" s="520"/>
      <c r="H77" s="670"/>
      <c r="I77" s="670"/>
      <c r="J77" s="670"/>
      <c r="K77" s="520"/>
      <c r="L77" s="520"/>
      <c r="M77" s="520"/>
      <c r="N77" s="520"/>
      <c r="O77" s="520"/>
      <c r="P77" s="520"/>
      <c r="Q77" s="520"/>
      <c r="R77" s="520"/>
      <c r="S77" s="520"/>
      <c r="T77" s="520"/>
      <c r="U77" s="520"/>
      <c r="V77" s="520"/>
      <c r="W77" s="520"/>
      <c r="X77" s="520"/>
      <c r="Y77" s="520"/>
      <c r="Z77" s="520"/>
      <c r="AA77" s="520"/>
      <c r="AB77" s="520"/>
      <c r="AC77" s="520"/>
      <c r="AD77" s="520"/>
      <c r="AE77" s="520"/>
      <c r="AF77" s="520"/>
      <c r="AG77" s="520"/>
      <c r="AH77" s="520"/>
      <c r="AI77" s="520"/>
      <c r="AJ77" s="520"/>
      <c r="AK77" s="62"/>
      <c r="AL77" s="62"/>
      <c r="AM77" s="62"/>
      <c r="AN77" s="62"/>
    </row>
    <row r="78" spans="1:40" x14ac:dyDescent="0.3">
      <c r="A78" s="499" t="s">
        <v>441</v>
      </c>
      <c r="B78" s="62"/>
      <c r="C78" s="62"/>
      <c r="D78" s="62"/>
      <c r="E78" s="62"/>
      <c r="F78" s="520"/>
      <c r="G78" s="520"/>
      <c r="H78" s="670"/>
      <c r="I78" s="670"/>
      <c r="J78" s="670"/>
      <c r="K78" s="520"/>
      <c r="L78" s="520"/>
      <c r="M78" s="520"/>
      <c r="N78" s="520"/>
      <c r="O78" s="520"/>
      <c r="P78" s="520"/>
      <c r="Q78" s="520"/>
      <c r="R78" s="520"/>
      <c r="S78" s="520"/>
      <c r="T78" s="520"/>
      <c r="U78" s="520"/>
      <c r="V78" s="520"/>
      <c r="W78" s="520"/>
      <c r="X78" s="520"/>
      <c r="Y78" s="520"/>
      <c r="Z78" s="520"/>
      <c r="AA78" s="520"/>
      <c r="AB78" s="520"/>
      <c r="AC78" s="520"/>
      <c r="AD78" s="520"/>
      <c r="AE78" s="520"/>
      <c r="AF78" s="520"/>
      <c r="AG78" s="520"/>
      <c r="AH78" s="520"/>
      <c r="AI78" s="520"/>
      <c r="AJ78" s="520"/>
      <c r="AK78" s="62"/>
      <c r="AL78" s="62"/>
      <c r="AM78" s="62"/>
      <c r="AN78" s="62"/>
    </row>
    <row r="79" spans="1:40" x14ac:dyDescent="0.3">
      <c r="A79" s="503" t="s">
        <v>442</v>
      </c>
      <c r="B79" s="504" t="s">
        <v>425</v>
      </c>
      <c r="C79" s="62" t="s">
        <v>19</v>
      </c>
      <c r="D79" s="62"/>
      <c r="E79" s="62"/>
      <c r="F79" s="523"/>
      <c r="G79" s="523"/>
      <c r="H79" s="673"/>
      <c r="I79" s="673"/>
      <c r="J79" s="673"/>
      <c r="K79" s="523"/>
      <c r="L79" s="523"/>
      <c r="M79" s="523"/>
      <c r="N79" s="521">
        <v>1</v>
      </c>
      <c r="O79" s="521">
        <f>SUM(P79:Y79)</f>
        <v>1</v>
      </c>
      <c r="P79" s="521">
        <v>1</v>
      </c>
      <c r="Q79" s="521"/>
      <c r="R79" s="521"/>
      <c r="S79" s="521"/>
      <c r="T79" s="521"/>
      <c r="U79" s="521"/>
      <c r="V79" s="521"/>
      <c r="W79" s="521"/>
      <c r="X79" s="521"/>
      <c r="Y79" s="521"/>
      <c r="Z79" s="521">
        <f>SUM(AA79:AB79)</f>
        <v>1</v>
      </c>
      <c r="AA79" s="521">
        <v>1</v>
      </c>
      <c r="AB79" s="520"/>
      <c r="AC79" s="520"/>
      <c r="AD79" s="520"/>
      <c r="AE79" s="520"/>
      <c r="AF79" s="520"/>
      <c r="AG79" s="520"/>
      <c r="AH79" s="521">
        <f t="shared" ref="AH79:AH92" si="5">SUM(AI79:AI79)</f>
        <v>0</v>
      </c>
      <c r="AI79" s="520"/>
      <c r="AJ79" s="520"/>
      <c r="AK79" s="62"/>
      <c r="AL79" s="62"/>
      <c r="AM79" s="62"/>
      <c r="AN79" s="62"/>
    </row>
    <row r="80" spans="1:40" x14ac:dyDescent="0.3">
      <c r="A80" s="503" t="s">
        <v>443</v>
      </c>
      <c r="B80" s="503" t="s">
        <v>374</v>
      </c>
      <c r="C80" s="62" t="s">
        <v>19</v>
      </c>
      <c r="D80" s="62"/>
      <c r="E80" s="62"/>
      <c r="F80" s="523"/>
      <c r="G80" s="523"/>
      <c r="H80" s="673"/>
      <c r="I80" s="673"/>
      <c r="J80" s="673"/>
      <c r="K80" s="523"/>
      <c r="L80" s="523"/>
      <c r="M80" s="523"/>
      <c r="N80" s="521"/>
      <c r="O80" s="521">
        <f>SUM(P80:Y80)</f>
        <v>1</v>
      </c>
      <c r="P80" s="521">
        <v>1</v>
      </c>
      <c r="Q80" s="521"/>
      <c r="R80" s="521"/>
      <c r="S80" s="521"/>
      <c r="T80" s="521"/>
      <c r="U80" s="521"/>
      <c r="V80" s="521"/>
      <c r="W80" s="521"/>
      <c r="X80" s="521"/>
      <c r="Y80" s="521"/>
      <c r="Z80" s="521">
        <f t="shared" ref="Z80:Z92" si="6">SUM(AA80:AB80)</f>
        <v>1</v>
      </c>
      <c r="AA80" s="521">
        <v>1</v>
      </c>
      <c r="AB80" s="520"/>
      <c r="AC80" s="520"/>
      <c r="AD80" s="520"/>
      <c r="AE80" s="520"/>
      <c r="AF80" s="520"/>
      <c r="AG80" s="520"/>
      <c r="AH80" s="521">
        <f t="shared" si="5"/>
        <v>0</v>
      </c>
      <c r="AI80" s="520"/>
      <c r="AJ80" s="520"/>
      <c r="AK80" s="62"/>
      <c r="AL80" s="62"/>
      <c r="AM80" s="62"/>
      <c r="AN80" s="62"/>
    </row>
    <row r="81" spans="1:40" x14ac:dyDescent="0.3">
      <c r="A81" s="503" t="s">
        <v>444</v>
      </c>
      <c r="B81" s="504" t="s">
        <v>428</v>
      </c>
      <c r="C81" s="62" t="s">
        <v>19</v>
      </c>
      <c r="D81" s="62"/>
      <c r="E81" s="62"/>
      <c r="F81" s="523"/>
      <c r="G81" s="523"/>
      <c r="H81" s="673"/>
      <c r="I81" s="673"/>
      <c r="J81" s="673"/>
      <c r="K81" s="523"/>
      <c r="L81" s="523"/>
      <c r="M81" s="523"/>
      <c r="N81" s="521">
        <v>1</v>
      </c>
      <c r="O81" s="521">
        <f>SUM(P81:Y81)</f>
        <v>1</v>
      </c>
      <c r="P81" s="521">
        <v>1</v>
      </c>
      <c r="Q81" s="521"/>
      <c r="R81" s="521"/>
      <c r="S81" s="521"/>
      <c r="T81" s="521"/>
      <c r="U81" s="521"/>
      <c r="V81" s="521"/>
      <c r="W81" s="521"/>
      <c r="X81" s="521"/>
      <c r="Y81" s="521"/>
      <c r="Z81" s="521">
        <f t="shared" si="6"/>
        <v>1</v>
      </c>
      <c r="AA81" s="521">
        <v>1</v>
      </c>
      <c r="AB81" s="520"/>
      <c r="AC81" s="520"/>
      <c r="AD81" s="520"/>
      <c r="AE81" s="520"/>
      <c r="AF81" s="520"/>
      <c r="AG81" s="520"/>
      <c r="AH81" s="521">
        <f t="shared" si="5"/>
        <v>0</v>
      </c>
      <c r="AI81" s="520"/>
      <c r="AJ81" s="520"/>
      <c r="AK81" s="62"/>
      <c r="AL81" s="62"/>
      <c r="AM81" s="62"/>
      <c r="AN81" s="62"/>
    </row>
    <row r="82" spans="1:40" x14ac:dyDescent="0.3">
      <c r="A82" s="504" t="s">
        <v>445</v>
      </c>
      <c r="B82" s="504" t="s">
        <v>446</v>
      </c>
      <c r="C82" s="62"/>
      <c r="D82" s="62"/>
      <c r="E82" s="62"/>
      <c r="F82" s="523"/>
      <c r="G82" s="523"/>
      <c r="H82" s="673"/>
      <c r="I82" s="673"/>
      <c r="J82" s="673"/>
      <c r="K82" s="523"/>
      <c r="L82" s="523"/>
      <c r="M82" s="523"/>
      <c r="N82" s="523"/>
      <c r="O82" s="523"/>
      <c r="P82" s="521"/>
      <c r="Q82" s="521"/>
      <c r="R82" s="521"/>
      <c r="S82" s="521"/>
      <c r="T82" s="521"/>
      <c r="U82" s="521"/>
      <c r="V82" s="521"/>
      <c r="W82" s="521"/>
      <c r="X82" s="521"/>
      <c r="Y82" s="521"/>
      <c r="Z82" s="521">
        <f t="shared" si="6"/>
        <v>1</v>
      </c>
      <c r="AA82" s="521">
        <v>1</v>
      </c>
      <c r="AB82" s="523"/>
      <c r="AC82" s="523"/>
      <c r="AD82" s="523"/>
      <c r="AE82" s="523"/>
      <c r="AF82" s="523"/>
      <c r="AG82" s="523"/>
      <c r="AH82" s="521">
        <f t="shared" si="5"/>
        <v>0</v>
      </c>
      <c r="AI82" s="523"/>
      <c r="AJ82" s="523"/>
      <c r="AK82" s="62"/>
      <c r="AL82" s="62"/>
      <c r="AM82" s="62"/>
      <c r="AN82" s="62"/>
    </row>
    <row r="83" spans="1:40" x14ac:dyDescent="0.3">
      <c r="A83" s="503" t="s">
        <v>447</v>
      </c>
      <c r="B83" s="503" t="s">
        <v>1323</v>
      </c>
      <c r="C83" s="62"/>
      <c r="D83" s="62" t="s">
        <v>1340</v>
      </c>
      <c r="E83" s="62" t="s">
        <v>1089</v>
      </c>
      <c r="F83" s="523"/>
      <c r="G83" s="523"/>
      <c r="H83" s="673"/>
      <c r="I83" s="673"/>
      <c r="J83" s="673"/>
      <c r="K83" s="523"/>
      <c r="L83" s="523"/>
      <c r="M83" s="523"/>
      <c r="N83" s="523"/>
      <c r="O83" s="172">
        <f t="shared" ref="O83:O90" si="7">SUM(P83:Y83)</f>
        <v>634497959</v>
      </c>
      <c r="P83" s="172"/>
      <c r="Q83" s="172">
        <v>223152127.71018285</v>
      </c>
      <c r="R83" s="172">
        <v>79945396.217583299</v>
      </c>
      <c r="S83" s="172"/>
      <c r="T83" s="172">
        <v>222183627.28981715</v>
      </c>
      <c r="U83" s="172">
        <v>59240621.782416701</v>
      </c>
      <c r="V83" s="172"/>
      <c r="W83" s="172"/>
      <c r="X83" s="172">
        <v>49976186</v>
      </c>
      <c r="Y83" s="521"/>
      <c r="Z83" s="521">
        <f t="shared" si="6"/>
        <v>1</v>
      </c>
      <c r="AA83" s="521">
        <v>1</v>
      </c>
      <c r="AB83" s="520"/>
      <c r="AC83" s="520"/>
      <c r="AD83" s="520"/>
      <c r="AE83" s="520"/>
      <c r="AF83" s="520"/>
      <c r="AG83" s="520"/>
      <c r="AH83" s="521">
        <f t="shared" si="5"/>
        <v>0</v>
      </c>
      <c r="AI83" s="520"/>
      <c r="AJ83" s="520"/>
      <c r="AK83" s="62"/>
      <c r="AL83" s="62"/>
      <c r="AM83" s="62"/>
      <c r="AN83" s="62"/>
    </row>
    <row r="84" spans="1:40" x14ac:dyDescent="0.3">
      <c r="A84" s="503" t="s">
        <v>448</v>
      </c>
      <c r="B84" s="504" t="s">
        <v>434</v>
      </c>
      <c r="C84" s="62"/>
      <c r="D84" s="62" t="s">
        <v>1340</v>
      </c>
      <c r="E84" s="62" t="s">
        <v>1088</v>
      </c>
      <c r="F84" s="523"/>
      <c r="G84" s="523"/>
      <c r="H84" s="673"/>
      <c r="I84" s="673"/>
      <c r="J84" s="673"/>
      <c r="K84" s="523"/>
      <c r="L84" s="523"/>
      <c r="M84" s="523"/>
      <c r="N84" s="523"/>
      <c r="O84" s="172">
        <f t="shared" si="7"/>
        <v>703909589.27180541</v>
      </c>
      <c r="P84" s="172"/>
      <c r="Q84" s="172">
        <v>270856890.95706689</v>
      </c>
      <c r="R84" s="172">
        <v>53013941.46073252</v>
      </c>
      <c r="S84" s="172"/>
      <c r="T84" s="172">
        <v>289366032.71665013</v>
      </c>
      <c r="U84" s="172">
        <v>90672724.137355924</v>
      </c>
      <c r="V84" s="172"/>
      <c r="W84" s="172"/>
      <c r="X84" s="172"/>
      <c r="Y84" s="521"/>
      <c r="Z84" s="521">
        <f t="shared" si="6"/>
        <v>1</v>
      </c>
      <c r="AA84" s="521">
        <v>1</v>
      </c>
      <c r="AB84" s="520"/>
      <c r="AC84" s="520"/>
      <c r="AD84" s="520"/>
      <c r="AE84" s="520"/>
      <c r="AF84" s="520"/>
      <c r="AG84" s="520"/>
      <c r="AH84" s="521">
        <f t="shared" si="5"/>
        <v>0</v>
      </c>
      <c r="AI84" s="520"/>
      <c r="AJ84" s="520"/>
      <c r="AK84" s="62"/>
      <c r="AL84" s="62"/>
      <c r="AM84" s="62"/>
      <c r="AN84" s="62"/>
    </row>
    <row r="85" spans="1:40" x14ac:dyDescent="0.3">
      <c r="A85" s="503" t="s">
        <v>449</v>
      </c>
      <c r="B85" s="504" t="s">
        <v>450</v>
      </c>
      <c r="C85" s="62"/>
      <c r="D85" s="62" t="s">
        <v>1340</v>
      </c>
      <c r="E85" s="62" t="s">
        <v>1087</v>
      </c>
      <c r="F85" s="523"/>
      <c r="G85" s="523"/>
      <c r="H85" s="673"/>
      <c r="I85" s="673"/>
      <c r="J85" s="673"/>
      <c r="K85" s="523"/>
      <c r="L85" s="523"/>
      <c r="M85" s="523"/>
      <c r="N85" s="523"/>
      <c r="O85" s="172">
        <f t="shared" si="7"/>
        <v>892824513.63159764</v>
      </c>
      <c r="P85" s="172"/>
      <c r="Q85" s="172">
        <f>Q86</f>
        <v>546791879.13643527</v>
      </c>
      <c r="R85" s="172">
        <f>R86</f>
        <v>139684622.00526753</v>
      </c>
      <c r="S85" s="172"/>
      <c r="T85" s="172">
        <f>T86</f>
        <v>174316453.89644969</v>
      </c>
      <c r="U85" s="172">
        <f>U86</f>
        <v>32031558.593445167</v>
      </c>
      <c r="V85" s="172"/>
      <c r="W85" s="172"/>
      <c r="X85" s="172"/>
      <c r="Y85" s="521"/>
      <c r="Z85" s="521">
        <f t="shared" si="6"/>
        <v>1</v>
      </c>
      <c r="AA85" s="521">
        <v>1</v>
      </c>
      <c r="AB85" s="520"/>
      <c r="AC85" s="520"/>
      <c r="AD85" s="520"/>
      <c r="AE85" s="520"/>
      <c r="AF85" s="520"/>
      <c r="AG85" s="520"/>
      <c r="AH85" s="521">
        <f t="shared" si="5"/>
        <v>0</v>
      </c>
      <c r="AI85" s="520"/>
      <c r="AJ85" s="520"/>
      <c r="AK85" s="62"/>
      <c r="AL85" s="62"/>
      <c r="AM85" s="62"/>
      <c r="AN85" s="62"/>
    </row>
    <row r="86" spans="1:40" x14ac:dyDescent="0.3">
      <c r="A86" s="503" t="s">
        <v>451</v>
      </c>
      <c r="B86" s="503" t="s">
        <v>452</v>
      </c>
      <c r="C86" s="62"/>
      <c r="D86" s="62" t="s">
        <v>1340</v>
      </c>
      <c r="E86" s="62" t="s">
        <v>1090</v>
      </c>
      <c r="F86" s="523"/>
      <c r="G86" s="523"/>
      <c r="H86" s="673"/>
      <c r="I86" s="673"/>
      <c r="J86" s="673"/>
      <c r="K86" s="523"/>
      <c r="L86" s="523"/>
      <c r="M86" s="523"/>
      <c r="N86" s="523"/>
      <c r="O86" s="172">
        <f t="shared" si="7"/>
        <v>892824513.63159764</v>
      </c>
      <c r="P86" s="172"/>
      <c r="Q86" s="172">
        <v>546791879.13643527</v>
      </c>
      <c r="R86" s="172">
        <v>139684622.00526753</v>
      </c>
      <c r="S86" s="172"/>
      <c r="T86" s="172">
        <v>174316453.89644969</v>
      </c>
      <c r="U86" s="172">
        <v>32031558.593445167</v>
      </c>
      <c r="V86" s="172"/>
      <c r="W86" s="172"/>
      <c r="X86" s="172"/>
      <c r="Y86" s="521"/>
      <c r="Z86" s="521">
        <f t="shared" si="6"/>
        <v>1</v>
      </c>
      <c r="AA86" s="521">
        <v>1</v>
      </c>
      <c r="AB86" s="520"/>
      <c r="AC86" s="520"/>
      <c r="AD86" s="520"/>
      <c r="AE86" s="520"/>
      <c r="AF86" s="520"/>
      <c r="AG86" s="520"/>
      <c r="AH86" s="521">
        <f t="shared" si="5"/>
        <v>0</v>
      </c>
      <c r="AI86" s="520"/>
      <c r="AJ86" s="520"/>
      <c r="AK86" s="62"/>
      <c r="AL86" s="62"/>
      <c r="AM86" s="62"/>
      <c r="AN86" s="62"/>
    </row>
    <row r="87" spans="1:40" x14ac:dyDescent="0.3">
      <c r="A87" s="503" t="s">
        <v>453</v>
      </c>
      <c r="B87" s="504" t="s">
        <v>454</v>
      </c>
      <c r="C87" s="62" t="s">
        <v>19</v>
      </c>
      <c r="D87" s="62"/>
      <c r="E87" s="62"/>
      <c r="F87" s="523"/>
      <c r="G87" s="523"/>
      <c r="H87" s="673"/>
      <c r="I87" s="673"/>
      <c r="J87" s="673"/>
      <c r="K87" s="523"/>
      <c r="L87" s="523"/>
      <c r="M87" s="523"/>
      <c r="N87" s="523"/>
      <c r="O87" s="172">
        <f t="shared" si="7"/>
        <v>1518742811.3541389</v>
      </c>
      <c r="P87" s="521"/>
      <c r="Q87" s="521"/>
      <c r="R87" s="521"/>
      <c r="S87" s="172">
        <v>725578308.43413866</v>
      </c>
      <c r="T87" s="172"/>
      <c r="U87" s="172"/>
      <c r="V87" s="172">
        <v>793164502.92000008</v>
      </c>
      <c r="W87" s="521"/>
      <c r="X87" s="521"/>
      <c r="Y87" s="521"/>
      <c r="Z87" s="521">
        <f t="shared" si="6"/>
        <v>1</v>
      </c>
      <c r="AA87" s="521">
        <v>1</v>
      </c>
      <c r="AB87" s="520"/>
      <c r="AC87" s="520"/>
      <c r="AD87" s="520"/>
      <c r="AE87" s="520"/>
      <c r="AF87" s="520"/>
      <c r="AG87" s="520"/>
      <c r="AH87" s="521">
        <f t="shared" si="5"/>
        <v>0</v>
      </c>
      <c r="AI87" s="520"/>
      <c r="AJ87" s="520"/>
      <c r="AK87" s="62"/>
      <c r="AL87" s="62"/>
      <c r="AM87" s="62"/>
      <c r="AN87" s="62"/>
    </row>
    <row r="88" spans="1:40" x14ac:dyDescent="0.3">
      <c r="A88" s="503" t="s">
        <v>455</v>
      </c>
      <c r="B88" s="503" t="s">
        <v>456</v>
      </c>
      <c r="C88" s="62" t="s">
        <v>19</v>
      </c>
      <c r="D88" s="498"/>
      <c r="E88" s="498"/>
      <c r="F88" s="523"/>
      <c r="G88" s="523"/>
      <c r="H88" s="673"/>
      <c r="I88" s="673"/>
      <c r="J88" s="673"/>
      <c r="K88" s="523"/>
      <c r="L88" s="523"/>
      <c r="M88" s="523"/>
      <c r="N88" s="523"/>
      <c r="O88" s="521">
        <f t="shared" si="7"/>
        <v>1</v>
      </c>
      <c r="P88" s="521"/>
      <c r="Q88" s="521"/>
      <c r="R88" s="521"/>
      <c r="S88" s="521"/>
      <c r="T88" s="521"/>
      <c r="U88" s="521"/>
      <c r="V88" s="521"/>
      <c r="W88" s="521">
        <v>1</v>
      </c>
      <c r="X88" s="521"/>
      <c r="Y88" s="521"/>
      <c r="Z88" s="521">
        <f t="shared" si="6"/>
        <v>1</v>
      </c>
      <c r="AA88" s="521">
        <v>1</v>
      </c>
      <c r="AB88" s="520"/>
      <c r="AC88" s="520"/>
      <c r="AD88" s="520"/>
      <c r="AE88" s="520"/>
      <c r="AF88" s="520"/>
      <c r="AG88" s="520"/>
      <c r="AH88" s="521">
        <f t="shared" si="5"/>
        <v>0</v>
      </c>
      <c r="AI88" s="520"/>
      <c r="AJ88" s="520"/>
      <c r="AK88" s="62"/>
      <c r="AL88" s="62"/>
      <c r="AM88" s="62"/>
      <c r="AN88" s="62"/>
    </row>
    <row r="89" spans="1:40" x14ac:dyDescent="0.3">
      <c r="A89" s="503" t="s">
        <v>457</v>
      </c>
      <c r="B89" s="504" t="s">
        <v>458</v>
      </c>
      <c r="C89" s="62" t="s">
        <v>19</v>
      </c>
      <c r="D89" s="62"/>
      <c r="E89" s="62"/>
      <c r="F89" s="523"/>
      <c r="G89" s="523"/>
      <c r="H89" s="673"/>
      <c r="I89" s="673"/>
      <c r="J89" s="673"/>
      <c r="K89" s="523"/>
      <c r="L89" s="523"/>
      <c r="M89" s="523"/>
      <c r="N89" s="523"/>
      <c r="O89" s="521">
        <f t="shared" si="7"/>
        <v>0</v>
      </c>
      <c r="P89" s="521"/>
      <c r="Q89" s="521"/>
      <c r="R89" s="521"/>
      <c r="S89" s="521"/>
      <c r="T89" s="521"/>
      <c r="U89" s="521"/>
      <c r="V89" s="521"/>
      <c r="W89" s="521"/>
      <c r="X89" s="521"/>
      <c r="Y89" s="521"/>
      <c r="Z89" s="521">
        <f t="shared" si="6"/>
        <v>1</v>
      </c>
      <c r="AA89" s="521">
        <v>1</v>
      </c>
      <c r="AB89" s="521"/>
      <c r="AC89" s="520"/>
      <c r="AD89" s="520"/>
      <c r="AE89" s="520"/>
      <c r="AF89" s="520"/>
      <c r="AG89" s="520"/>
      <c r="AH89" s="521">
        <f t="shared" si="5"/>
        <v>0</v>
      </c>
      <c r="AI89" s="520"/>
      <c r="AJ89" s="520"/>
      <c r="AK89" s="62"/>
      <c r="AL89" s="62"/>
      <c r="AM89" s="62"/>
      <c r="AN89" s="62"/>
    </row>
    <row r="90" spans="1:40" x14ac:dyDescent="0.3">
      <c r="A90" s="504" t="s">
        <v>459</v>
      </c>
      <c r="B90" s="504" t="s">
        <v>460</v>
      </c>
      <c r="C90" s="62" t="s">
        <v>19</v>
      </c>
      <c r="D90" s="62"/>
      <c r="E90" s="62"/>
      <c r="F90" s="523"/>
      <c r="G90" s="523"/>
      <c r="H90" s="673"/>
      <c r="I90" s="673"/>
      <c r="J90" s="673"/>
      <c r="K90" s="523"/>
      <c r="L90" s="523"/>
      <c r="M90" s="523"/>
      <c r="N90" s="523"/>
      <c r="O90" s="521">
        <f t="shared" si="7"/>
        <v>1</v>
      </c>
      <c r="P90" s="521"/>
      <c r="Q90" s="521"/>
      <c r="R90" s="521"/>
      <c r="S90" s="521"/>
      <c r="T90" s="521"/>
      <c r="U90" s="521"/>
      <c r="V90" s="521"/>
      <c r="W90" s="521"/>
      <c r="X90" s="521"/>
      <c r="Y90" s="521">
        <v>1</v>
      </c>
      <c r="Z90" s="521">
        <f t="shared" si="6"/>
        <v>1</v>
      </c>
      <c r="AA90" s="521">
        <v>1</v>
      </c>
      <c r="AB90" s="520"/>
      <c r="AC90" s="520"/>
      <c r="AD90" s="520"/>
      <c r="AE90" s="520"/>
      <c r="AF90" s="520"/>
      <c r="AG90" s="520"/>
      <c r="AH90" s="521">
        <f t="shared" si="5"/>
        <v>0</v>
      </c>
      <c r="AI90" s="520"/>
      <c r="AJ90" s="520"/>
      <c r="AK90" s="62"/>
      <c r="AL90" s="62"/>
      <c r="AM90" s="62"/>
      <c r="AN90" s="62"/>
    </row>
    <row r="91" spans="1:40" x14ac:dyDescent="0.3">
      <c r="A91" s="504" t="s">
        <v>461</v>
      </c>
      <c r="B91" s="504" t="s">
        <v>462</v>
      </c>
      <c r="C91" s="62" t="s">
        <v>19</v>
      </c>
      <c r="D91" s="62"/>
      <c r="E91" s="62"/>
      <c r="F91" s="523"/>
      <c r="G91" s="523"/>
      <c r="H91" s="673"/>
      <c r="I91" s="673"/>
      <c r="J91" s="673"/>
      <c r="K91" s="523"/>
      <c r="L91" s="523"/>
      <c r="M91" s="523"/>
      <c r="N91" s="523"/>
      <c r="O91" s="523"/>
      <c r="P91" s="521"/>
      <c r="Q91" s="521"/>
      <c r="R91" s="521"/>
      <c r="S91" s="521"/>
      <c r="T91" s="521"/>
      <c r="U91" s="521"/>
      <c r="V91" s="521"/>
      <c r="W91" s="521"/>
      <c r="X91" s="521"/>
      <c r="Y91" s="521"/>
      <c r="Z91" s="521">
        <f t="shared" si="6"/>
        <v>1</v>
      </c>
      <c r="AA91" s="521">
        <v>1</v>
      </c>
      <c r="AB91" s="520"/>
      <c r="AC91" s="520"/>
      <c r="AD91" s="520"/>
      <c r="AE91" s="520"/>
      <c r="AF91" s="520"/>
      <c r="AG91" s="520"/>
      <c r="AH91" s="521">
        <f t="shared" si="5"/>
        <v>0</v>
      </c>
      <c r="AI91" s="520"/>
      <c r="AJ91" s="520"/>
      <c r="AK91" s="62"/>
      <c r="AL91" s="62"/>
      <c r="AM91" s="62"/>
      <c r="AN91" s="62"/>
    </row>
    <row r="92" spans="1:40" x14ac:dyDescent="0.3">
      <c r="A92" s="503" t="s">
        <v>463</v>
      </c>
      <c r="B92" s="504" t="s">
        <v>464</v>
      </c>
      <c r="C92" s="62" t="s">
        <v>19</v>
      </c>
      <c r="D92" s="62"/>
      <c r="E92" s="62"/>
      <c r="F92" s="523"/>
      <c r="G92" s="523"/>
      <c r="H92" s="673"/>
      <c r="I92" s="673"/>
      <c r="J92" s="673"/>
      <c r="K92" s="523"/>
      <c r="L92" s="523"/>
      <c r="M92" s="523"/>
      <c r="N92" s="523"/>
      <c r="O92" s="521">
        <f>SUM(P92:Y92)</f>
        <v>1</v>
      </c>
      <c r="P92" s="521"/>
      <c r="Q92" s="521"/>
      <c r="R92" s="521"/>
      <c r="S92" s="521"/>
      <c r="T92" s="521"/>
      <c r="U92" s="521"/>
      <c r="V92" s="521"/>
      <c r="W92" s="521"/>
      <c r="X92" s="521">
        <v>1</v>
      </c>
      <c r="Y92" s="521"/>
      <c r="Z92" s="521">
        <f t="shared" si="6"/>
        <v>1</v>
      </c>
      <c r="AA92" s="521">
        <v>1</v>
      </c>
      <c r="AB92" s="520"/>
      <c r="AC92" s="520"/>
      <c r="AD92" s="520"/>
      <c r="AE92" s="520"/>
      <c r="AF92" s="520"/>
      <c r="AG92" s="520"/>
      <c r="AH92" s="521">
        <f t="shared" si="5"/>
        <v>0</v>
      </c>
      <c r="AI92" s="520"/>
      <c r="AJ92" s="520"/>
      <c r="AK92" s="62"/>
      <c r="AL92" s="62"/>
      <c r="AM92" s="62"/>
      <c r="AN92" s="62"/>
    </row>
    <row r="93" spans="1:40" x14ac:dyDescent="0.3">
      <c r="A93" s="62"/>
      <c r="B93" s="62"/>
      <c r="C93" s="62"/>
      <c r="D93" s="62"/>
      <c r="E93" s="62"/>
      <c r="F93" s="520"/>
      <c r="G93" s="520"/>
      <c r="H93" s="670"/>
      <c r="I93" s="670"/>
      <c r="J93" s="670"/>
      <c r="K93" s="520"/>
      <c r="L93" s="520"/>
      <c r="M93" s="520"/>
      <c r="N93" s="520"/>
      <c r="O93" s="520"/>
      <c r="P93" s="520"/>
      <c r="Q93" s="520"/>
      <c r="R93" s="520"/>
      <c r="S93" s="520"/>
      <c r="T93" s="520"/>
      <c r="U93" s="520"/>
      <c r="V93" s="520"/>
      <c r="W93" s="520"/>
      <c r="X93" s="520"/>
      <c r="Y93" s="520"/>
      <c r="Z93" s="520"/>
      <c r="AA93" s="520"/>
      <c r="AB93" s="520"/>
      <c r="AC93" s="520"/>
      <c r="AD93" s="520"/>
      <c r="AE93" s="520"/>
      <c r="AF93" s="520"/>
      <c r="AG93" s="520"/>
      <c r="AH93" s="520"/>
      <c r="AI93" s="520"/>
      <c r="AJ93" s="520"/>
      <c r="AK93" s="62"/>
      <c r="AL93" s="62"/>
      <c r="AM93" s="62"/>
      <c r="AN93" s="62"/>
    </row>
    <row r="94" spans="1:40" x14ac:dyDescent="0.3">
      <c r="A94" s="62"/>
      <c r="B94" s="498" t="s">
        <v>465</v>
      </c>
      <c r="C94" s="498"/>
      <c r="D94" s="498"/>
      <c r="E94" s="498"/>
      <c r="F94" s="523"/>
      <c r="G94" s="523"/>
      <c r="H94" s="673"/>
      <c r="I94" s="673"/>
      <c r="J94" s="673"/>
      <c r="K94" s="523"/>
      <c r="L94" s="523"/>
      <c r="M94" s="523"/>
      <c r="N94" s="523"/>
      <c r="O94" s="523"/>
      <c r="P94" s="520"/>
      <c r="Q94" s="520"/>
      <c r="R94" s="520"/>
      <c r="S94" s="520"/>
      <c r="T94" s="520"/>
      <c r="U94" s="520"/>
      <c r="V94" s="520"/>
      <c r="W94" s="520"/>
      <c r="X94" s="520"/>
      <c r="Y94" s="520"/>
      <c r="Z94" s="520"/>
      <c r="AA94" s="520"/>
      <c r="AB94" s="520"/>
      <c r="AC94" s="520"/>
      <c r="AD94" s="520"/>
      <c r="AE94" s="520"/>
      <c r="AF94" s="520"/>
      <c r="AG94" s="520"/>
      <c r="AH94" s="520"/>
      <c r="AI94" s="520"/>
      <c r="AJ94" s="520"/>
      <c r="AK94" s="62"/>
      <c r="AL94" s="62"/>
      <c r="AM94" s="62"/>
      <c r="AN94" s="62"/>
    </row>
    <row r="95" spans="1:40" x14ac:dyDescent="0.3">
      <c r="A95" s="62"/>
      <c r="B95" s="498"/>
      <c r="C95" s="498"/>
      <c r="D95" s="498"/>
      <c r="E95" s="498"/>
      <c r="F95" s="523"/>
      <c r="G95" s="523"/>
      <c r="H95" s="673"/>
      <c r="I95" s="673"/>
      <c r="J95" s="673"/>
      <c r="K95" s="523"/>
      <c r="L95" s="523"/>
      <c r="M95" s="523"/>
      <c r="N95" s="523"/>
      <c r="O95" s="523"/>
      <c r="P95" s="520"/>
      <c r="Q95" s="520"/>
      <c r="R95" s="520"/>
      <c r="S95" s="520"/>
      <c r="T95" s="520"/>
      <c r="U95" s="520"/>
      <c r="V95" s="520"/>
      <c r="W95" s="520"/>
      <c r="X95" s="520"/>
      <c r="Y95" s="520"/>
      <c r="Z95" s="520"/>
      <c r="AA95" s="520"/>
      <c r="AB95" s="520"/>
      <c r="AC95" s="520"/>
      <c r="AD95" s="520"/>
      <c r="AE95" s="520"/>
      <c r="AF95" s="520"/>
      <c r="AG95" s="520"/>
      <c r="AH95" s="520"/>
      <c r="AI95" s="520"/>
      <c r="AJ95" s="520"/>
      <c r="AK95" s="62"/>
      <c r="AL95" s="62"/>
      <c r="AM95" s="62"/>
      <c r="AN95" s="62"/>
    </row>
    <row r="96" spans="1:40" x14ac:dyDescent="0.3">
      <c r="A96" s="463" t="s">
        <v>466</v>
      </c>
      <c r="B96" s="62"/>
      <c r="C96" s="62"/>
      <c r="D96" s="62"/>
      <c r="E96" s="62"/>
      <c r="F96" s="523"/>
      <c r="G96" s="523"/>
      <c r="H96" s="673"/>
      <c r="I96" s="673"/>
      <c r="J96" s="673"/>
      <c r="K96" s="523"/>
      <c r="L96" s="523"/>
      <c r="M96" s="523"/>
      <c r="N96" s="523"/>
      <c r="O96" s="523"/>
      <c r="P96" s="520"/>
      <c r="Q96" s="520"/>
      <c r="R96" s="520"/>
      <c r="S96" s="520"/>
      <c r="T96" s="520"/>
      <c r="U96" s="520"/>
      <c r="V96" s="520"/>
      <c r="W96" s="520"/>
      <c r="X96" s="520"/>
      <c r="Y96" s="520"/>
      <c r="Z96" s="520"/>
      <c r="AA96" s="520"/>
      <c r="AB96" s="520"/>
      <c r="AC96" s="520"/>
      <c r="AD96" s="520"/>
      <c r="AE96" s="520"/>
      <c r="AF96" s="520"/>
      <c r="AG96" s="520"/>
      <c r="AH96" s="520"/>
      <c r="AI96" s="520"/>
      <c r="AJ96" s="520"/>
      <c r="AK96" s="62"/>
      <c r="AL96" s="62"/>
      <c r="AM96" s="62"/>
      <c r="AN96" s="62"/>
    </row>
    <row r="97" spans="1:40" x14ac:dyDescent="0.3">
      <c r="A97" s="62"/>
      <c r="B97" s="62"/>
      <c r="C97" s="62"/>
      <c r="D97" s="62"/>
      <c r="E97" s="62"/>
      <c r="F97" s="520"/>
      <c r="G97" s="520"/>
      <c r="H97" s="670"/>
      <c r="I97" s="670"/>
      <c r="J97" s="670"/>
      <c r="K97" s="520"/>
      <c r="L97" s="520"/>
      <c r="M97" s="520"/>
      <c r="N97" s="520"/>
      <c r="O97" s="520"/>
      <c r="P97" s="520"/>
      <c r="Q97" s="520"/>
      <c r="R97" s="520"/>
      <c r="S97" s="520"/>
      <c r="T97" s="520"/>
      <c r="U97" s="520"/>
      <c r="V97" s="520"/>
      <c r="W97" s="520"/>
      <c r="X97" s="520"/>
      <c r="Y97" s="520"/>
      <c r="Z97" s="520"/>
      <c r="AA97" s="520"/>
      <c r="AB97" s="520"/>
      <c r="AC97" s="520"/>
      <c r="AD97" s="520"/>
      <c r="AE97" s="520"/>
      <c r="AF97" s="520"/>
      <c r="AG97" s="520"/>
      <c r="AH97" s="520"/>
      <c r="AI97" s="520"/>
      <c r="AJ97" s="520"/>
      <c r="AK97" s="62"/>
      <c r="AL97" s="62"/>
      <c r="AM97" s="62"/>
      <c r="AN97" s="62"/>
    </row>
    <row r="98" spans="1:40" x14ac:dyDescent="0.3">
      <c r="A98" s="499" t="s">
        <v>467</v>
      </c>
      <c r="B98" s="62"/>
      <c r="C98" s="62"/>
      <c r="D98" s="62"/>
      <c r="E98" s="62"/>
      <c r="F98" s="523"/>
      <c r="G98" s="523"/>
      <c r="H98" s="673"/>
      <c r="I98" s="673"/>
      <c r="J98" s="673"/>
      <c r="K98" s="523"/>
      <c r="L98" s="523"/>
      <c r="M98" s="523"/>
      <c r="N98" s="523"/>
      <c r="O98" s="523"/>
      <c r="P98" s="520"/>
      <c r="Q98" s="520"/>
      <c r="R98" s="520"/>
      <c r="S98" s="520"/>
      <c r="T98" s="520"/>
      <c r="U98" s="520"/>
      <c r="V98" s="520"/>
      <c r="W98" s="520"/>
      <c r="X98" s="520"/>
      <c r="Y98" s="520"/>
      <c r="Z98" s="520"/>
      <c r="AA98" s="520"/>
      <c r="AB98" s="520"/>
      <c r="AC98" s="520"/>
      <c r="AD98" s="520"/>
      <c r="AE98" s="520"/>
      <c r="AF98" s="520"/>
      <c r="AG98" s="520"/>
      <c r="AH98" s="520"/>
      <c r="AI98" s="520"/>
      <c r="AJ98" s="520"/>
      <c r="AK98" s="62"/>
      <c r="AL98" s="62"/>
      <c r="AM98" s="62"/>
      <c r="AN98" s="62"/>
    </row>
    <row r="99" spans="1:40" x14ac:dyDescent="0.3">
      <c r="A99" s="62"/>
      <c r="B99" s="62"/>
      <c r="C99" s="62"/>
      <c r="D99" s="62"/>
      <c r="E99" s="62"/>
      <c r="F99" s="520"/>
      <c r="G99" s="520"/>
      <c r="H99" s="670"/>
      <c r="I99" s="670"/>
      <c r="J99" s="670"/>
      <c r="K99" s="520"/>
      <c r="L99" s="520"/>
      <c r="M99" s="520"/>
      <c r="N99" s="520"/>
      <c r="O99" s="520"/>
      <c r="P99" s="520"/>
      <c r="Q99" s="520"/>
      <c r="R99" s="520"/>
      <c r="S99" s="520"/>
      <c r="T99" s="520"/>
      <c r="U99" s="520"/>
      <c r="V99" s="520"/>
      <c r="W99" s="520"/>
      <c r="X99" s="520"/>
      <c r="Y99" s="520"/>
      <c r="Z99" s="520"/>
      <c r="AA99" s="520"/>
      <c r="AB99" s="520"/>
      <c r="AC99" s="520"/>
      <c r="AD99" s="520"/>
      <c r="AE99" s="520"/>
      <c r="AF99" s="520"/>
      <c r="AG99" s="520"/>
      <c r="AH99" s="520"/>
      <c r="AI99" s="520"/>
      <c r="AJ99" s="520"/>
      <c r="AK99" s="62"/>
      <c r="AL99" s="62"/>
      <c r="AM99" s="62"/>
      <c r="AN99" s="62"/>
    </row>
    <row r="100" spans="1:40" x14ac:dyDescent="0.3">
      <c r="A100" s="499" t="s">
        <v>468</v>
      </c>
      <c r="B100" s="62"/>
      <c r="C100" s="62"/>
      <c r="D100" s="62"/>
      <c r="E100" s="62"/>
      <c r="F100" s="520"/>
      <c r="G100" s="520"/>
      <c r="H100" s="670"/>
      <c r="I100" s="670"/>
      <c r="J100" s="670"/>
      <c r="K100" s="520"/>
      <c r="L100" s="520"/>
      <c r="M100" s="520"/>
      <c r="N100" s="520"/>
      <c r="O100" s="520"/>
      <c r="P100" s="520"/>
      <c r="Q100" s="520"/>
      <c r="R100" s="520"/>
      <c r="S100" s="520"/>
      <c r="T100" s="520"/>
      <c r="U100" s="520"/>
      <c r="V100" s="520"/>
      <c r="W100" s="520"/>
      <c r="X100" s="520"/>
      <c r="Y100" s="520"/>
      <c r="Z100" s="520"/>
      <c r="AA100" s="520"/>
      <c r="AB100" s="520"/>
      <c r="AC100" s="520"/>
      <c r="AD100" s="520"/>
      <c r="AE100" s="520"/>
      <c r="AF100" s="520"/>
      <c r="AG100" s="520"/>
      <c r="AH100" s="520"/>
      <c r="AI100" s="520"/>
      <c r="AJ100" s="520"/>
      <c r="AK100" s="62"/>
      <c r="AL100" s="62"/>
      <c r="AM100" s="62"/>
      <c r="AN100" s="62"/>
    </row>
    <row r="101" spans="1:40" x14ac:dyDescent="0.3">
      <c r="A101" s="62"/>
      <c r="B101" s="62"/>
      <c r="C101" s="62"/>
      <c r="D101" s="62"/>
      <c r="E101" s="62"/>
      <c r="F101" s="520"/>
      <c r="G101" s="520"/>
      <c r="H101" s="670"/>
      <c r="I101" s="670"/>
      <c r="J101" s="670"/>
      <c r="K101" s="520"/>
      <c r="L101" s="520"/>
      <c r="M101" s="520"/>
      <c r="N101" s="520"/>
      <c r="O101" s="520"/>
      <c r="P101" s="520"/>
      <c r="Q101" s="520"/>
      <c r="R101" s="520"/>
      <c r="S101" s="520"/>
      <c r="T101" s="520"/>
      <c r="U101" s="520"/>
      <c r="V101" s="520"/>
      <c r="W101" s="520"/>
      <c r="X101" s="520"/>
      <c r="Y101" s="520"/>
      <c r="Z101" s="520"/>
      <c r="AA101" s="520"/>
      <c r="AB101" s="520"/>
      <c r="AC101" s="520"/>
      <c r="AD101" s="520"/>
      <c r="AE101" s="520"/>
      <c r="AF101" s="520"/>
      <c r="AG101" s="520"/>
      <c r="AH101" s="520"/>
      <c r="AI101" s="520"/>
      <c r="AJ101" s="520"/>
      <c r="AK101" s="62"/>
      <c r="AL101" s="62"/>
      <c r="AM101" s="62"/>
      <c r="AN101" s="62"/>
    </row>
    <row r="102" spans="1:40" x14ac:dyDescent="0.3">
      <c r="A102" s="499" t="s">
        <v>469</v>
      </c>
      <c r="B102" s="62"/>
      <c r="C102" s="62"/>
      <c r="D102" s="62"/>
      <c r="E102" s="62"/>
      <c r="F102" s="520"/>
      <c r="G102" s="520"/>
      <c r="H102" s="670"/>
      <c r="I102" s="670"/>
      <c r="J102" s="670"/>
      <c r="K102" s="520"/>
      <c r="L102" s="520"/>
      <c r="M102" s="520"/>
      <c r="N102" s="520"/>
      <c r="O102" s="520"/>
      <c r="P102" s="520"/>
      <c r="Q102" s="520"/>
      <c r="R102" s="520"/>
      <c r="S102" s="520"/>
      <c r="T102" s="520"/>
      <c r="U102" s="520"/>
      <c r="V102" s="520"/>
      <c r="W102" s="520"/>
      <c r="X102" s="520"/>
      <c r="Y102" s="520"/>
      <c r="Z102" s="520"/>
      <c r="AA102" s="520"/>
      <c r="AB102" s="520"/>
      <c r="AC102" s="520"/>
      <c r="AD102" s="520"/>
      <c r="AE102" s="520"/>
      <c r="AF102" s="520"/>
      <c r="AG102" s="520"/>
      <c r="AH102" s="520"/>
      <c r="AI102" s="520"/>
      <c r="AJ102" s="520"/>
      <c r="AK102" s="62"/>
      <c r="AL102" s="62"/>
      <c r="AM102" s="62"/>
      <c r="AN102" s="62"/>
    </row>
    <row r="103" spans="1:40" x14ac:dyDescent="0.3">
      <c r="A103" s="503">
        <v>374</v>
      </c>
      <c r="B103" s="504" t="s">
        <v>470</v>
      </c>
      <c r="C103" s="62"/>
      <c r="D103" s="62"/>
      <c r="E103" s="62"/>
      <c r="F103" s="523"/>
      <c r="G103" s="523"/>
      <c r="H103" s="673"/>
      <c r="I103" s="673"/>
      <c r="J103" s="673"/>
      <c r="K103" s="523"/>
      <c r="L103" s="523"/>
      <c r="M103" s="523"/>
      <c r="N103" s="523"/>
      <c r="O103" s="523"/>
      <c r="P103" s="520"/>
      <c r="Q103" s="520"/>
      <c r="R103" s="520"/>
      <c r="S103" s="520"/>
      <c r="T103" s="520"/>
      <c r="U103" s="520"/>
      <c r="V103" s="520"/>
      <c r="W103" s="520"/>
      <c r="X103" s="520"/>
      <c r="Y103" s="520"/>
      <c r="Z103" s="520"/>
      <c r="AA103" s="520"/>
      <c r="AB103" s="520"/>
      <c r="AC103" s="520"/>
      <c r="AD103" s="520"/>
      <c r="AE103" s="520"/>
      <c r="AF103" s="520"/>
      <c r="AG103" s="520"/>
      <c r="AH103" s="520"/>
      <c r="AI103" s="520"/>
      <c r="AJ103" s="520"/>
      <c r="AK103" s="62"/>
      <c r="AL103" s="62"/>
      <c r="AM103" s="62"/>
      <c r="AN103" s="62"/>
    </row>
    <row r="104" spans="1:40" x14ac:dyDescent="0.3">
      <c r="A104" s="511">
        <f t="shared" ref="A104:A110" si="8">A103+1</f>
        <v>375</v>
      </c>
      <c r="B104" s="507" t="s">
        <v>374</v>
      </c>
      <c r="C104" s="62"/>
      <c r="D104" s="62"/>
      <c r="E104" s="62"/>
      <c r="F104" s="523"/>
      <c r="G104" s="523"/>
      <c r="H104" s="673"/>
      <c r="I104" s="673"/>
      <c r="J104" s="673"/>
      <c r="K104" s="523"/>
      <c r="L104" s="523"/>
      <c r="M104" s="523"/>
      <c r="N104" s="523"/>
      <c r="O104" s="523"/>
      <c r="P104" s="520"/>
      <c r="Q104" s="520"/>
      <c r="R104" s="520"/>
      <c r="S104" s="520"/>
      <c r="T104" s="520"/>
      <c r="U104" s="520"/>
      <c r="V104" s="520"/>
      <c r="W104" s="520"/>
      <c r="X104" s="520"/>
      <c r="Y104" s="520"/>
      <c r="Z104" s="520"/>
      <c r="AA104" s="520"/>
      <c r="AB104" s="520"/>
      <c r="AC104" s="520"/>
      <c r="AD104" s="520"/>
      <c r="AE104" s="520"/>
      <c r="AF104" s="520"/>
      <c r="AG104" s="520"/>
      <c r="AH104" s="520"/>
      <c r="AI104" s="520"/>
      <c r="AJ104" s="520"/>
      <c r="AK104" s="62"/>
      <c r="AL104" s="62"/>
      <c r="AM104" s="62"/>
      <c r="AN104" s="62"/>
    </row>
    <row r="105" spans="1:40" x14ac:dyDescent="0.3">
      <c r="A105" s="511">
        <f t="shared" si="8"/>
        <v>376</v>
      </c>
      <c r="B105" s="504" t="s">
        <v>471</v>
      </c>
      <c r="C105" s="62"/>
      <c r="D105" s="62"/>
      <c r="E105" s="62"/>
      <c r="F105" s="523"/>
      <c r="G105" s="523"/>
      <c r="H105" s="673"/>
      <c r="I105" s="673"/>
      <c r="J105" s="673"/>
      <c r="K105" s="523"/>
      <c r="L105" s="523"/>
      <c r="M105" s="523"/>
      <c r="N105" s="523"/>
      <c r="O105" s="523"/>
      <c r="P105" s="520"/>
      <c r="Q105" s="520"/>
      <c r="R105" s="520"/>
      <c r="S105" s="520"/>
      <c r="T105" s="520"/>
      <c r="U105" s="520"/>
      <c r="V105" s="520"/>
      <c r="W105" s="520"/>
      <c r="X105" s="520"/>
      <c r="Y105" s="520"/>
      <c r="Z105" s="520"/>
      <c r="AA105" s="520"/>
      <c r="AB105" s="520"/>
      <c r="AC105" s="520"/>
      <c r="AD105" s="520"/>
      <c r="AE105" s="520"/>
      <c r="AF105" s="520"/>
      <c r="AG105" s="520"/>
      <c r="AH105" s="520"/>
      <c r="AI105" s="520"/>
      <c r="AJ105" s="520"/>
      <c r="AK105" s="62"/>
      <c r="AL105" s="62"/>
      <c r="AM105" s="62"/>
      <c r="AN105" s="62"/>
    </row>
    <row r="106" spans="1:40" x14ac:dyDescent="0.3">
      <c r="A106" s="511">
        <f t="shared" si="8"/>
        <v>377</v>
      </c>
      <c r="B106" s="504" t="s">
        <v>472</v>
      </c>
      <c r="C106" s="498"/>
      <c r="D106" s="498"/>
      <c r="E106" s="498"/>
      <c r="F106" s="523"/>
      <c r="G106" s="523"/>
      <c r="H106" s="673"/>
      <c r="I106" s="673"/>
      <c r="J106" s="673"/>
      <c r="K106" s="523"/>
      <c r="L106" s="523"/>
      <c r="M106" s="523"/>
      <c r="N106" s="523"/>
      <c r="O106" s="523"/>
      <c r="P106" s="520"/>
      <c r="Q106" s="520"/>
      <c r="R106" s="520"/>
      <c r="S106" s="520"/>
      <c r="T106" s="520"/>
      <c r="U106" s="520"/>
      <c r="V106" s="520"/>
      <c r="W106" s="520"/>
      <c r="X106" s="520"/>
      <c r="Y106" s="520"/>
      <c r="Z106" s="520"/>
      <c r="AA106" s="520"/>
      <c r="AB106" s="520"/>
      <c r="AC106" s="520"/>
      <c r="AD106" s="520"/>
      <c r="AE106" s="520"/>
      <c r="AF106" s="520"/>
      <c r="AG106" s="520"/>
      <c r="AH106" s="520"/>
      <c r="AI106" s="520"/>
      <c r="AJ106" s="520"/>
      <c r="AK106" s="62"/>
      <c r="AL106" s="62"/>
      <c r="AM106" s="62"/>
      <c r="AN106" s="62"/>
    </row>
    <row r="107" spans="1:40" x14ac:dyDescent="0.3">
      <c r="A107" s="511">
        <f t="shared" si="8"/>
        <v>378</v>
      </c>
      <c r="B107" s="503" t="s">
        <v>473</v>
      </c>
      <c r="C107" s="498"/>
      <c r="D107" s="498"/>
      <c r="E107" s="498"/>
      <c r="F107" s="523"/>
      <c r="G107" s="523"/>
      <c r="H107" s="673"/>
      <c r="I107" s="673"/>
      <c r="J107" s="673"/>
      <c r="K107" s="523"/>
      <c r="L107" s="523"/>
      <c r="M107" s="523"/>
      <c r="N107" s="523"/>
      <c r="O107" s="523"/>
      <c r="P107" s="520"/>
      <c r="Q107" s="520"/>
      <c r="R107" s="520"/>
      <c r="S107" s="520"/>
      <c r="T107" s="520"/>
      <c r="U107" s="520"/>
      <c r="V107" s="520"/>
      <c r="W107" s="520"/>
      <c r="X107" s="520"/>
      <c r="Y107" s="520"/>
      <c r="Z107" s="520"/>
      <c r="AA107" s="520"/>
      <c r="AB107" s="520"/>
      <c r="AC107" s="520"/>
      <c r="AD107" s="520"/>
      <c r="AE107" s="520"/>
      <c r="AF107" s="520"/>
      <c r="AG107" s="520"/>
      <c r="AH107" s="520"/>
      <c r="AI107" s="520"/>
      <c r="AJ107" s="520"/>
      <c r="AK107" s="62"/>
      <c r="AL107" s="62"/>
      <c r="AM107" s="62"/>
      <c r="AN107" s="62"/>
    </row>
    <row r="108" spans="1:40" x14ac:dyDescent="0.3">
      <c r="A108" s="511">
        <f t="shared" si="8"/>
        <v>379</v>
      </c>
      <c r="B108" s="503" t="s">
        <v>474</v>
      </c>
      <c r="C108" s="62"/>
      <c r="D108" s="62"/>
      <c r="E108" s="62"/>
      <c r="F108" s="523"/>
      <c r="G108" s="523"/>
      <c r="H108" s="673"/>
      <c r="I108" s="673"/>
      <c r="J108" s="673"/>
      <c r="K108" s="523"/>
      <c r="L108" s="523"/>
      <c r="M108" s="523"/>
      <c r="N108" s="523"/>
      <c r="O108" s="523"/>
      <c r="P108" s="520"/>
      <c r="Q108" s="520"/>
      <c r="R108" s="520"/>
      <c r="S108" s="520"/>
      <c r="T108" s="520"/>
      <c r="U108" s="520"/>
      <c r="V108" s="520"/>
      <c r="W108" s="520"/>
      <c r="X108" s="520"/>
      <c r="Y108" s="520"/>
      <c r="Z108" s="520"/>
      <c r="AA108" s="520"/>
      <c r="AB108" s="520"/>
      <c r="AC108" s="520"/>
      <c r="AD108" s="520"/>
      <c r="AE108" s="520"/>
      <c r="AF108" s="520"/>
      <c r="AG108" s="520"/>
      <c r="AH108" s="520"/>
      <c r="AI108" s="520"/>
      <c r="AJ108" s="520"/>
      <c r="AK108" s="62"/>
      <c r="AL108" s="62"/>
      <c r="AM108" s="62"/>
      <c r="AN108" s="62"/>
    </row>
    <row r="109" spans="1:40" x14ac:dyDescent="0.3">
      <c r="A109" s="511">
        <f t="shared" si="8"/>
        <v>380</v>
      </c>
      <c r="B109" s="504" t="s">
        <v>456</v>
      </c>
      <c r="C109" s="62"/>
      <c r="D109" s="62"/>
      <c r="E109" s="62"/>
      <c r="F109" s="523"/>
      <c r="G109" s="523"/>
      <c r="H109" s="673"/>
      <c r="I109" s="673"/>
      <c r="J109" s="673"/>
      <c r="K109" s="523"/>
      <c r="L109" s="523"/>
      <c r="M109" s="523"/>
      <c r="N109" s="523"/>
      <c r="O109" s="523"/>
      <c r="P109" s="520"/>
      <c r="Q109" s="520"/>
      <c r="R109" s="520"/>
      <c r="S109" s="520"/>
      <c r="T109" s="520"/>
      <c r="U109" s="520"/>
      <c r="V109" s="520"/>
      <c r="W109" s="520"/>
      <c r="X109" s="520"/>
      <c r="Y109" s="520"/>
      <c r="Z109" s="520"/>
      <c r="AA109" s="520"/>
      <c r="AB109" s="520"/>
      <c r="AC109" s="520"/>
      <c r="AD109" s="520"/>
      <c r="AE109" s="520"/>
      <c r="AF109" s="520"/>
      <c r="AG109" s="520"/>
      <c r="AH109" s="520"/>
      <c r="AI109" s="520"/>
      <c r="AJ109" s="520"/>
      <c r="AK109" s="62"/>
      <c r="AL109" s="62"/>
      <c r="AM109" s="62"/>
      <c r="AN109" s="62"/>
    </row>
    <row r="110" spans="1:40" x14ac:dyDescent="0.3">
      <c r="A110" s="511">
        <f t="shared" si="8"/>
        <v>381</v>
      </c>
      <c r="B110" s="504" t="s">
        <v>475</v>
      </c>
      <c r="C110" s="62"/>
      <c r="D110" s="62"/>
      <c r="E110" s="62"/>
      <c r="F110" s="523"/>
      <c r="G110" s="523"/>
      <c r="H110" s="673"/>
      <c r="I110" s="673"/>
      <c r="J110" s="673"/>
      <c r="K110" s="523"/>
      <c r="L110" s="523"/>
      <c r="M110" s="523"/>
      <c r="N110" s="523"/>
      <c r="O110" s="523"/>
      <c r="P110" s="520"/>
      <c r="Q110" s="520"/>
      <c r="R110" s="520"/>
      <c r="S110" s="520"/>
      <c r="T110" s="520"/>
      <c r="U110" s="520"/>
      <c r="V110" s="520"/>
      <c r="W110" s="520"/>
      <c r="X110" s="520"/>
      <c r="Y110" s="520"/>
      <c r="Z110" s="520"/>
      <c r="AA110" s="520"/>
      <c r="AB110" s="520"/>
      <c r="AC110" s="520"/>
      <c r="AD110" s="520"/>
      <c r="AE110" s="520"/>
      <c r="AF110" s="520"/>
      <c r="AG110" s="520"/>
      <c r="AH110" s="520"/>
      <c r="AI110" s="520"/>
      <c r="AJ110" s="520"/>
      <c r="AK110" s="62"/>
      <c r="AL110" s="62"/>
      <c r="AM110" s="62"/>
      <c r="AN110" s="62"/>
    </row>
    <row r="111" spans="1:40" x14ac:dyDescent="0.3">
      <c r="A111" s="504">
        <v>383</v>
      </c>
      <c r="B111" s="504" t="s">
        <v>476</v>
      </c>
      <c r="C111" s="62"/>
      <c r="D111" s="62"/>
      <c r="E111" s="62"/>
      <c r="F111" s="523"/>
      <c r="G111" s="523"/>
      <c r="H111" s="673"/>
      <c r="I111" s="673"/>
      <c r="J111" s="673"/>
      <c r="K111" s="523"/>
      <c r="L111" s="523"/>
      <c r="M111" s="523"/>
      <c r="N111" s="523"/>
      <c r="O111" s="523"/>
      <c r="P111" s="520"/>
      <c r="Q111" s="520"/>
      <c r="R111" s="520"/>
      <c r="S111" s="520"/>
      <c r="T111" s="520"/>
      <c r="U111" s="520"/>
      <c r="V111" s="520"/>
      <c r="W111" s="520"/>
      <c r="X111" s="520"/>
      <c r="Y111" s="520"/>
      <c r="Z111" s="520"/>
      <c r="AA111" s="520"/>
      <c r="AB111" s="520"/>
      <c r="AC111" s="520"/>
      <c r="AD111" s="520"/>
      <c r="AE111" s="520"/>
      <c r="AF111" s="520"/>
      <c r="AG111" s="520"/>
      <c r="AH111" s="520"/>
      <c r="AI111" s="520"/>
      <c r="AJ111" s="520"/>
      <c r="AK111" s="62"/>
      <c r="AL111" s="62"/>
      <c r="AM111" s="62"/>
      <c r="AN111" s="62"/>
    </row>
    <row r="112" spans="1:40" x14ac:dyDescent="0.3">
      <c r="A112" s="504">
        <v>385</v>
      </c>
      <c r="B112" s="504" t="s">
        <v>477</v>
      </c>
      <c r="C112" s="62"/>
      <c r="D112" s="62"/>
      <c r="E112" s="62"/>
      <c r="F112" s="523"/>
      <c r="G112" s="523"/>
      <c r="H112" s="673"/>
      <c r="I112" s="673"/>
      <c r="J112" s="673"/>
      <c r="K112" s="523"/>
      <c r="L112" s="523"/>
      <c r="M112" s="523"/>
      <c r="N112" s="523"/>
      <c r="O112" s="523"/>
      <c r="P112" s="520"/>
      <c r="Q112" s="520"/>
      <c r="R112" s="520"/>
      <c r="S112" s="520"/>
      <c r="T112" s="520"/>
      <c r="U112" s="520"/>
      <c r="V112" s="520"/>
      <c r="W112" s="520"/>
      <c r="X112" s="520"/>
      <c r="Y112" s="520"/>
      <c r="Z112" s="520"/>
      <c r="AA112" s="520"/>
      <c r="AB112" s="520"/>
      <c r="AC112" s="520"/>
      <c r="AD112" s="520"/>
      <c r="AE112" s="520"/>
      <c r="AF112" s="520"/>
      <c r="AG112" s="520"/>
      <c r="AH112" s="520"/>
      <c r="AI112" s="520"/>
      <c r="AJ112" s="520"/>
      <c r="AK112" s="62"/>
      <c r="AL112" s="62"/>
      <c r="AM112" s="62"/>
      <c r="AN112" s="62"/>
    </row>
    <row r="113" spans="1:40" x14ac:dyDescent="0.3">
      <c r="A113" s="504">
        <v>387</v>
      </c>
      <c r="B113" s="504" t="s">
        <v>478</v>
      </c>
      <c r="C113" s="62"/>
      <c r="D113" s="62"/>
      <c r="E113" s="62"/>
      <c r="F113" s="520"/>
      <c r="G113" s="520"/>
      <c r="H113" s="670"/>
      <c r="I113" s="670"/>
      <c r="J113" s="670"/>
      <c r="K113" s="520"/>
      <c r="L113" s="520"/>
      <c r="M113" s="520"/>
      <c r="N113" s="520"/>
      <c r="O113" s="520"/>
      <c r="P113" s="520"/>
      <c r="Q113" s="520"/>
      <c r="R113" s="520"/>
      <c r="S113" s="520"/>
      <c r="T113" s="520"/>
      <c r="U113" s="520"/>
      <c r="V113" s="520"/>
      <c r="W113" s="520"/>
      <c r="X113" s="520"/>
      <c r="Y113" s="520"/>
      <c r="Z113" s="520"/>
      <c r="AA113" s="520"/>
      <c r="AB113" s="520"/>
      <c r="AC113" s="520"/>
      <c r="AD113" s="520"/>
      <c r="AE113" s="520"/>
      <c r="AF113" s="520"/>
      <c r="AG113" s="520"/>
      <c r="AH113" s="520"/>
      <c r="AI113" s="520"/>
      <c r="AJ113" s="520"/>
      <c r="AK113" s="62"/>
      <c r="AL113" s="62"/>
      <c r="AM113" s="62"/>
      <c r="AN113" s="62"/>
    </row>
    <row r="114" spans="1:40" x14ac:dyDescent="0.3">
      <c r="A114" s="504"/>
      <c r="B114" s="504"/>
      <c r="C114" s="62"/>
      <c r="D114" s="62"/>
      <c r="E114" s="62"/>
      <c r="F114" s="520"/>
      <c r="G114" s="520"/>
      <c r="H114" s="670"/>
      <c r="I114" s="670"/>
      <c r="J114" s="670"/>
      <c r="K114" s="520"/>
      <c r="L114" s="520"/>
      <c r="M114" s="520"/>
      <c r="N114" s="520"/>
      <c r="O114" s="520"/>
      <c r="P114" s="520"/>
      <c r="Q114" s="520"/>
      <c r="R114" s="520"/>
      <c r="S114" s="520"/>
      <c r="T114" s="520"/>
      <c r="U114" s="520"/>
      <c r="V114" s="520"/>
      <c r="W114" s="520"/>
      <c r="X114" s="520"/>
      <c r="Y114" s="520"/>
      <c r="Z114" s="520"/>
      <c r="AA114" s="520"/>
      <c r="AB114" s="520"/>
      <c r="AC114" s="520"/>
      <c r="AD114" s="520"/>
      <c r="AE114" s="520"/>
      <c r="AF114" s="520"/>
      <c r="AG114" s="520"/>
      <c r="AH114" s="520"/>
      <c r="AI114" s="520"/>
      <c r="AJ114" s="520"/>
      <c r="AK114" s="62"/>
      <c r="AL114" s="62"/>
      <c r="AM114" s="62"/>
      <c r="AN114" s="62"/>
    </row>
    <row r="115" spans="1:40" x14ac:dyDescent="0.3">
      <c r="A115" s="62"/>
      <c r="B115" s="498" t="s">
        <v>479</v>
      </c>
      <c r="C115" s="498"/>
      <c r="D115" s="498"/>
      <c r="E115" s="498"/>
      <c r="F115" s="520"/>
      <c r="G115" s="520"/>
      <c r="H115" s="670"/>
      <c r="I115" s="670"/>
      <c r="J115" s="670"/>
      <c r="K115" s="520"/>
      <c r="L115" s="520"/>
      <c r="M115" s="520"/>
      <c r="N115" s="520"/>
      <c r="O115" s="520"/>
      <c r="P115" s="520"/>
      <c r="Q115" s="520"/>
      <c r="R115" s="520"/>
      <c r="S115" s="520"/>
      <c r="T115" s="520"/>
      <c r="U115" s="520"/>
      <c r="V115" s="520"/>
      <c r="W115" s="520"/>
      <c r="X115" s="520"/>
      <c r="Y115" s="520"/>
      <c r="Z115" s="520"/>
      <c r="AA115" s="520"/>
      <c r="AB115" s="520"/>
      <c r="AC115" s="520"/>
      <c r="AD115" s="520"/>
      <c r="AE115" s="520"/>
      <c r="AF115" s="520"/>
      <c r="AG115" s="520"/>
      <c r="AH115" s="520"/>
      <c r="AI115" s="520"/>
      <c r="AJ115" s="520"/>
      <c r="AK115" s="62"/>
      <c r="AL115" s="62"/>
      <c r="AM115" s="62"/>
      <c r="AN115" s="62"/>
    </row>
    <row r="116" spans="1:40" x14ac:dyDescent="0.3">
      <c r="A116" s="62"/>
      <c r="B116" s="62"/>
      <c r="C116" s="62"/>
      <c r="D116" s="62"/>
      <c r="E116" s="62"/>
      <c r="F116" s="520"/>
      <c r="G116" s="520"/>
      <c r="H116" s="670"/>
      <c r="I116" s="670"/>
      <c r="J116" s="670"/>
      <c r="K116" s="520"/>
      <c r="L116" s="520"/>
      <c r="M116" s="520"/>
      <c r="N116" s="520"/>
      <c r="O116" s="520"/>
      <c r="P116" s="520"/>
      <c r="Q116" s="520"/>
      <c r="R116" s="520"/>
      <c r="S116" s="520"/>
      <c r="T116" s="520"/>
      <c r="U116" s="520"/>
      <c r="V116" s="520"/>
      <c r="W116" s="520"/>
      <c r="X116" s="520"/>
      <c r="Y116" s="520"/>
      <c r="Z116" s="520"/>
      <c r="AA116" s="520"/>
      <c r="AB116" s="520"/>
      <c r="AC116" s="520"/>
      <c r="AD116" s="520"/>
      <c r="AE116" s="520"/>
      <c r="AF116" s="520"/>
      <c r="AG116" s="520"/>
      <c r="AH116" s="520"/>
      <c r="AI116" s="520"/>
      <c r="AJ116" s="520"/>
      <c r="AK116" s="62"/>
      <c r="AL116" s="62"/>
      <c r="AM116" s="62"/>
      <c r="AN116" s="62"/>
    </row>
    <row r="117" spans="1:40" x14ac:dyDescent="0.3">
      <c r="A117" s="499" t="s">
        <v>480</v>
      </c>
      <c r="B117" s="62"/>
      <c r="C117" s="62"/>
      <c r="D117" s="62"/>
      <c r="E117" s="62"/>
      <c r="F117" s="520"/>
      <c r="G117" s="520"/>
      <c r="H117" s="670"/>
      <c r="I117" s="670"/>
      <c r="J117" s="670"/>
      <c r="K117" s="520"/>
      <c r="L117" s="520"/>
      <c r="M117" s="520"/>
      <c r="N117" s="520"/>
      <c r="O117" s="520"/>
      <c r="P117" s="520"/>
      <c r="Q117" s="520"/>
      <c r="R117" s="520"/>
      <c r="S117" s="520"/>
      <c r="T117" s="520"/>
      <c r="U117" s="520"/>
      <c r="V117" s="520"/>
      <c r="W117" s="520"/>
      <c r="X117" s="520"/>
      <c r="Y117" s="520"/>
      <c r="Z117" s="520"/>
      <c r="AA117" s="520"/>
      <c r="AB117" s="520"/>
      <c r="AC117" s="520"/>
      <c r="AD117" s="520"/>
      <c r="AE117" s="520"/>
      <c r="AF117" s="520"/>
      <c r="AG117" s="520"/>
      <c r="AH117" s="520"/>
      <c r="AI117" s="520"/>
      <c r="AJ117" s="520"/>
      <c r="AK117" s="62"/>
      <c r="AL117" s="62"/>
      <c r="AM117" s="62"/>
      <c r="AN117" s="62"/>
    </row>
    <row r="118" spans="1:40" x14ac:dyDescent="0.3">
      <c r="A118" s="498"/>
      <c r="B118" s="62"/>
      <c r="C118" s="62"/>
      <c r="D118" s="62"/>
      <c r="E118" s="62"/>
      <c r="F118" s="520"/>
      <c r="G118" s="520"/>
      <c r="H118" s="670"/>
      <c r="I118" s="670"/>
      <c r="J118" s="670"/>
      <c r="K118" s="520"/>
      <c r="L118" s="520"/>
      <c r="M118" s="520"/>
      <c r="N118" s="520"/>
      <c r="O118" s="520"/>
      <c r="P118" s="520"/>
      <c r="Q118" s="520"/>
      <c r="R118" s="520"/>
      <c r="S118" s="520"/>
      <c r="T118" s="520"/>
      <c r="U118" s="520"/>
      <c r="V118" s="520"/>
      <c r="W118" s="520"/>
      <c r="X118" s="520"/>
      <c r="Y118" s="520"/>
      <c r="Z118" s="520"/>
      <c r="AA118" s="520"/>
      <c r="AB118" s="520"/>
      <c r="AC118" s="520"/>
      <c r="AD118" s="520"/>
      <c r="AE118" s="520"/>
      <c r="AF118" s="520"/>
      <c r="AG118" s="520"/>
      <c r="AH118" s="520"/>
      <c r="AI118" s="520"/>
      <c r="AJ118" s="520"/>
      <c r="AK118" s="62"/>
      <c r="AL118" s="62"/>
      <c r="AM118" s="62"/>
      <c r="AN118" s="62"/>
    </row>
    <row r="119" spans="1:40" x14ac:dyDescent="0.3">
      <c r="A119" s="499" t="s">
        <v>481</v>
      </c>
      <c r="B119" s="62"/>
      <c r="C119" s="62"/>
      <c r="D119" s="62"/>
      <c r="E119" s="62"/>
      <c r="F119" s="520"/>
      <c r="G119" s="520"/>
      <c r="H119" s="670"/>
      <c r="I119" s="670"/>
      <c r="J119" s="670"/>
      <c r="K119" s="520"/>
      <c r="L119" s="520"/>
      <c r="M119" s="520"/>
      <c r="N119" s="520"/>
      <c r="O119" s="520"/>
      <c r="P119" s="520"/>
      <c r="Q119" s="520"/>
      <c r="R119" s="520"/>
      <c r="S119" s="520"/>
      <c r="T119" s="520"/>
      <c r="U119" s="520"/>
      <c r="V119" s="520"/>
      <c r="W119" s="520"/>
      <c r="X119" s="520"/>
      <c r="Y119" s="520"/>
      <c r="Z119" s="520"/>
      <c r="AA119" s="520"/>
      <c r="AB119" s="520"/>
      <c r="AC119" s="520"/>
      <c r="AD119" s="520"/>
      <c r="AE119" s="520"/>
      <c r="AF119" s="520"/>
      <c r="AG119" s="520"/>
      <c r="AH119" s="520"/>
      <c r="AI119" s="520"/>
      <c r="AJ119" s="520"/>
      <c r="AK119" s="62"/>
      <c r="AL119" s="62"/>
      <c r="AM119" s="62"/>
      <c r="AN119" s="62"/>
    </row>
    <row r="120" spans="1:40" x14ac:dyDescent="0.3">
      <c r="A120" s="498"/>
      <c r="B120" s="62"/>
      <c r="C120" s="62"/>
      <c r="D120" s="62"/>
      <c r="E120" s="62"/>
      <c r="F120" s="520"/>
      <c r="G120" s="520"/>
      <c r="H120" s="670"/>
      <c r="I120" s="670"/>
      <c r="J120" s="670"/>
      <c r="K120" s="520"/>
      <c r="L120" s="520"/>
      <c r="M120" s="520"/>
      <c r="N120" s="520"/>
      <c r="O120" s="520"/>
      <c r="P120" s="520"/>
      <c r="Q120" s="520"/>
      <c r="R120" s="520"/>
      <c r="S120" s="520"/>
      <c r="T120" s="520"/>
      <c r="U120" s="520"/>
      <c r="V120" s="520"/>
      <c r="W120" s="520"/>
      <c r="X120" s="520"/>
      <c r="Y120" s="520"/>
      <c r="Z120" s="520"/>
      <c r="AA120" s="520"/>
      <c r="AB120" s="520"/>
      <c r="AC120" s="520"/>
      <c r="AD120" s="520"/>
      <c r="AE120" s="520"/>
      <c r="AF120" s="520"/>
      <c r="AG120" s="520"/>
      <c r="AH120" s="520"/>
      <c r="AI120" s="520"/>
      <c r="AJ120" s="520"/>
      <c r="AK120" s="62"/>
      <c r="AL120" s="62"/>
      <c r="AM120" s="62"/>
      <c r="AN120" s="62"/>
    </row>
    <row r="121" spans="1:40" s="1" customFormat="1" x14ac:dyDescent="0.3">
      <c r="A121" s="62" t="s">
        <v>482</v>
      </c>
      <c r="B121" s="62" t="s">
        <v>52</v>
      </c>
      <c r="C121" s="62"/>
      <c r="D121" s="62" t="s">
        <v>1242</v>
      </c>
      <c r="E121" s="62" t="s">
        <v>1095</v>
      </c>
      <c r="F121" s="468">
        <f t="shared" ref="F121:F122" si="9">+G121+K121+L121+M121</f>
        <v>66192416.159999996</v>
      </c>
      <c r="G121" s="468">
        <f>'7b. LX_AG-sf'!E$241</f>
        <v>43515962.003324836</v>
      </c>
      <c r="H121" s="669"/>
      <c r="I121" s="669"/>
      <c r="J121" s="669"/>
      <c r="K121" s="468">
        <f>'7b. LX_AG-sf'!I$241</f>
        <v>22676454.15667516</v>
      </c>
      <c r="L121" s="468">
        <f>'7b. LX_AG-sf'!J$241</f>
        <v>0</v>
      </c>
      <c r="M121" s="468"/>
      <c r="N121" s="526">
        <v>1</v>
      </c>
      <c r="O121" s="172">
        <f t="shared" ref="O121:O126" si="10">SUM(P121:Y121)</f>
        <v>51544435.908528537</v>
      </c>
      <c r="P121" s="468">
        <f>'7b. LX_AG-sf'!N$241</f>
        <v>16188678.588415425</v>
      </c>
      <c r="Q121" s="468">
        <f>'7b. LX_AG-sf'!O$241</f>
        <v>14742342.935831249</v>
      </c>
      <c r="R121" s="468">
        <f>'7b. LX_AG-sf'!P$241</f>
        <v>4057801.875254239</v>
      </c>
      <c r="S121" s="468">
        <f>'7b. LX_AG-sf'!Q$241</f>
        <v>794748.9146647033</v>
      </c>
      <c r="T121" s="468">
        <f>'7b. LX_AG-sf'!R$241</f>
        <v>10477592.271150392</v>
      </c>
      <c r="U121" s="468">
        <f>'7b. LX_AG-sf'!S$241</f>
        <v>2788537.9736045781</v>
      </c>
      <c r="V121" s="468">
        <f>'7b. LX_AG-sf'!T$241</f>
        <v>868778.21527854819</v>
      </c>
      <c r="W121" s="468">
        <f>'7b. LX_AG-sf'!U$241</f>
        <v>0</v>
      </c>
      <c r="X121" s="468">
        <f>'7b. LX_AG-sf'!V$241</f>
        <v>1463901.2818474146</v>
      </c>
      <c r="Y121" s="468">
        <f>'7b. LX_AG-sf'!W$241</f>
        <v>162053.85248199227</v>
      </c>
      <c r="Z121" s="527">
        <f>SUM(AA121:AB121)</f>
        <v>11382286.798041336</v>
      </c>
      <c r="AA121" s="468">
        <f>'7b. LX_AG-sf'!Y$241</f>
        <v>5533146.4714714596</v>
      </c>
      <c r="AB121" s="468">
        <f>'7b. LX_AG-sf'!Z$241</f>
        <v>5849140.3265698766</v>
      </c>
      <c r="AC121" s="526">
        <v>1</v>
      </c>
      <c r="AD121" s="527">
        <f>SUM(AE121:AG121)</f>
        <v>15526882.993573921</v>
      </c>
      <c r="AE121" s="468">
        <f>'7b. LX_AG-sf'!AC$241</f>
        <v>14089249.023636159</v>
      </c>
      <c r="AF121" s="468">
        <f>'7b. LX_AG-sf'!AD$241</f>
        <v>1437633.9699377615</v>
      </c>
      <c r="AG121" s="468">
        <f>'7b. LX_AG-sf'!AE$241</f>
        <v>0</v>
      </c>
      <c r="AH121" s="172">
        <f t="shared" ref="AH121:AH124" si="11">SUM(AI121:AI121)</f>
        <v>2203529.67</v>
      </c>
      <c r="AI121" s="468">
        <f>'7b. LX_AG-sf'!AG$241</f>
        <v>2203529.67</v>
      </c>
      <c r="AJ121" s="526">
        <v>1</v>
      </c>
      <c r="AK121" s="62"/>
      <c r="AL121" s="62"/>
      <c r="AM121" s="62"/>
      <c r="AN121" s="62"/>
    </row>
    <row r="122" spans="1:40" s="1" customFormat="1" x14ac:dyDescent="0.3">
      <c r="A122" s="62" t="s">
        <v>483</v>
      </c>
      <c r="B122" s="62" t="s">
        <v>92</v>
      </c>
      <c r="C122" s="62"/>
      <c r="D122" s="62" t="s">
        <v>1242</v>
      </c>
      <c r="E122" s="62" t="s">
        <v>1095</v>
      </c>
      <c r="F122" s="468">
        <f t="shared" si="9"/>
        <v>66192416.159999996</v>
      </c>
      <c r="G122" s="468">
        <f>'7b. LX_AG-sf'!E$241</f>
        <v>43515962.003324836</v>
      </c>
      <c r="H122" s="669"/>
      <c r="I122" s="669"/>
      <c r="J122" s="669"/>
      <c r="K122" s="468">
        <f>'7b. LX_AG-sf'!I$241</f>
        <v>22676454.15667516</v>
      </c>
      <c r="L122" s="468">
        <f>'7b. LX_AG-sf'!J$241</f>
        <v>0</v>
      </c>
      <c r="M122" s="468"/>
      <c r="N122" s="526">
        <v>1</v>
      </c>
      <c r="O122" s="172">
        <f t="shared" si="10"/>
        <v>51544435.908528537</v>
      </c>
      <c r="P122" s="468">
        <f>'7b. LX_AG-sf'!N$241</f>
        <v>16188678.588415425</v>
      </c>
      <c r="Q122" s="468">
        <f>'7b. LX_AG-sf'!O$241</f>
        <v>14742342.935831249</v>
      </c>
      <c r="R122" s="468">
        <f>'7b. LX_AG-sf'!P$241</f>
        <v>4057801.875254239</v>
      </c>
      <c r="S122" s="468">
        <f>'7b. LX_AG-sf'!Q$241</f>
        <v>794748.9146647033</v>
      </c>
      <c r="T122" s="468">
        <f>'7b. LX_AG-sf'!R$241</f>
        <v>10477592.271150392</v>
      </c>
      <c r="U122" s="468">
        <f>'7b. LX_AG-sf'!S$241</f>
        <v>2788537.9736045781</v>
      </c>
      <c r="V122" s="468">
        <f>'7b. LX_AG-sf'!T$241</f>
        <v>868778.21527854819</v>
      </c>
      <c r="W122" s="468">
        <f>'7b. LX_AG-sf'!U$241</f>
        <v>0</v>
      </c>
      <c r="X122" s="468">
        <f>'7b. LX_AG-sf'!V$241</f>
        <v>1463901.2818474146</v>
      </c>
      <c r="Y122" s="468">
        <f>'7b. LX_AG-sf'!W$241</f>
        <v>162053.85248199227</v>
      </c>
      <c r="Z122" s="527">
        <f t="shared" ref="Z122:Z124" si="12">SUM(AA122:AB122)</f>
        <v>11382286.798041336</v>
      </c>
      <c r="AA122" s="468">
        <f>'7b. LX_AG-sf'!Y$241</f>
        <v>5533146.4714714596</v>
      </c>
      <c r="AB122" s="468">
        <f>'7b. LX_AG-sf'!Z$241</f>
        <v>5849140.3265698766</v>
      </c>
      <c r="AC122" s="526">
        <v>1</v>
      </c>
      <c r="AD122" s="527">
        <f>SUM(AE122:AG122)</f>
        <v>15526882.993573921</v>
      </c>
      <c r="AE122" s="468">
        <f>'7b. LX_AG-sf'!AC$241</f>
        <v>14089249.023636159</v>
      </c>
      <c r="AF122" s="468">
        <f>'7b. LX_AG-sf'!AD$241</f>
        <v>1437633.9699377615</v>
      </c>
      <c r="AG122" s="468">
        <f>'7b. LX_AG-sf'!AE$241</f>
        <v>0</v>
      </c>
      <c r="AH122" s="172">
        <f t="shared" si="11"/>
        <v>2203529.67</v>
      </c>
      <c r="AI122" s="468">
        <f>'7b. LX_AG-sf'!AG$241</f>
        <v>2203529.67</v>
      </c>
      <c r="AJ122" s="526">
        <v>1</v>
      </c>
      <c r="AK122" s="62"/>
      <c r="AL122" s="62"/>
      <c r="AM122" s="62"/>
      <c r="AN122" s="62"/>
    </row>
    <row r="123" spans="1:40" s="1" customFormat="1" x14ac:dyDescent="0.3">
      <c r="A123" s="62" t="s">
        <v>484</v>
      </c>
      <c r="B123" s="62" t="s">
        <v>93</v>
      </c>
      <c r="C123" s="62"/>
      <c r="D123" s="62" t="s">
        <v>1242</v>
      </c>
      <c r="E123" s="62" t="s">
        <v>1095</v>
      </c>
      <c r="F123" s="468">
        <f>+G123+K123+L123+M123</f>
        <v>66192416.159999996</v>
      </c>
      <c r="G123" s="468">
        <f>'7b. LX_AG-sf'!E$241</f>
        <v>43515962.003324836</v>
      </c>
      <c r="H123" s="669"/>
      <c r="I123" s="669"/>
      <c r="J123" s="669"/>
      <c r="K123" s="468">
        <f>'7b. LX_AG-sf'!I$241</f>
        <v>22676454.15667516</v>
      </c>
      <c r="L123" s="468">
        <f>'7b. LX_AG-sf'!J$241</f>
        <v>0</v>
      </c>
      <c r="M123" s="468"/>
      <c r="N123" s="526">
        <v>1</v>
      </c>
      <c r="O123" s="172">
        <f t="shared" si="10"/>
        <v>51544435.908528537</v>
      </c>
      <c r="P123" s="468">
        <f>'7b. LX_AG-sf'!N$241</f>
        <v>16188678.588415425</v>
      </c>
      <c r="Q123" s="468">
        <f>'7b. LX_AG-sf'!O$241</f>
        <v>14742342.935831249</v>
      </c>
      <c r="R123" s="468">
        <f>'7b. LX_AG-sf'!P$241</f>
        <v>4057801.875254239</v>
      </c>
      <c r="S123" s="468">
        <f>'7b. LX_AG-sf'!Q$241</f>
        <v>794748.9146647033</v>
      </c>
      <c r="T123" s="468">
        <f>'7b. LX_AG-sf'!R$241</f>
        <v>10477592.271150392</v>
      </c>
      <c r="U123" s="468">
        <f>'7b. LX_AG-sf'!S$241</f>
        <v>2788537.9736045781</v>
      </c>
      <c r="V123" s="468">
        <f>'7b. LX_AG-sf'!T$241</f>
        <v>868778.21527854819</v>
      </c>
      <c r="W123" s="468">
        <f>'7b. LX_AG-sf'!U$241</f>
        <v>0</v>
      </c>
      <c r="X123" s="468">
        <f>'7b. LX_AG-sf'!V$241</f>
        <v>1463901.2818474146</v>
      </c>
      <c r="Y123" s="468">
        <f>'7b. LX_AG-sf'!W$241</f>
        <v>162053.85248199227</v>
      </c>
      <c r="Z123" s="527">
        <f t="shared" si="12"/>
        <v>11382286.798041336</v>
      </c>
      <c r="AA123" s="468">
        <f>'7b. LX_AG-sf'!Y$241</f>
        <v>5533146.4714714596</v>
      </c>
      <c r="AB123" s="468">
        <f>'7b. LX_AG-sf'!Z$241</f>
        <v>5849140.3265698766</v>
      </c>
      <c r="AC123" s="526">
        <v>1</v>
      </c>
      <c r="AD123" s="527">
        <f>SUM(AE123:AG123)</f>
        <v>15526882.993573921</v>
      </c>
      <c r="AE123" s="468">
        <f>'7b. LX_AG-sf'!AC$241</f>
        <v>14089249.023636159</v>
      </c>
      <c r="AF123" s="468">
        <f>'7b. LX_AG-sf'!AD$241</f>
        <v>1437633.9699377615</v>
      </c>
      <c r="AG123" s="468">
        <f>'7b. LX_AG-sf'!AE$241</f>
        <v>0</v>
      </c>
      <c r="AH123" s="172">
        <f t="shared" si="11"/>
        <v>2203529.67</v>
      </c>
      <c r="AI123" s="468">
        <f>'7b. LX_AG-sf'!AG$241</f>
        <v>2203529.67</v>
      </c>
      <c r="AJ123" s="526">
        <v>1</v>
      </c>
      <c r="AK123" s="62"/>
      <c r="AL123" s="62"/>
      <c r="AM123" s="62"/>
      <c r="AN123" s="62"/>
    </row>
    <row r="124" spans="1:40" s="1" customFormat="1" x14ac:dyDescent="0.3">
      <c r="A124" s="62" t="s">
        <v>485</v>
      </c>
      <c r="B124" s="62" t="s">
        <v>94</v>
      </c>
      <c r="C124" s="62"/>
      <c r="D124" s="62" t="s">
        <v>1242</v>
      </c>
      <c r="E124" s="62" t="s">
        <v>1095</v>
      </c>
      <c r="F124" s="468">
        <f t="shared" ref="F124" si="13">+G124+K124+L124+M124</f>
        <v>66192416.159999996</v>
      </c>
      <c r="G124" s="468">
        <f>'7b. LX_AG-sf'!E$241</f>
        <v>43515962.003324836</v>
      </c>
      <c r="H124" s="669"/>
      <c r="I124" s="669"/>
      <c r="J124" s="669"/>
      <c r="K124" s="468">
        <f>'7b. LX_AG-sf'!I$241</f>
        <v>22676454.15667516</v>
      </c>
      <c r="L124" s="468">
        <f>'7b. LX_AG-sf'!J$241</f>
        <v>0</v>
      </c>
      <c r="M124" s="468"/>
      <c r="N124" s="526">
        <v>1</v>
      </c>
      <c r="O124" s="172">
        <f t="shared" si="10"/>
        <v>51544435.908528537</v>
      </c>
      <c r="P124" s="468">
        <f>'7b. LX_AG-sf'!N$241</f>
        <v>16188678.588415425</v>
      </c>
      <c r="Q124" s="468">
        <f>'7b. LX_AG-sf'!O$241</f>
        <v>14742342.935831249</v>
      </c>
      <c r="R124" s="468">
        <f>'7b. LX_AG-sf'!P$241</f>
        <v>4057801.875254239</v>
      </c>
      <c r="S124" s="468">
        <f>'7b. LX_AG-sf'!Q$241</f>
        <v>794748.9146647033</v>
      </c>
      <c r="T124" s="468">
        <f>'7b. LX_AG-sf'!R$241</f>
        <v>10477592.271150392</v>
      </c>
      <c r="U124" s="468">
        <f>'7b. LX_AG-sf'!S$241</f>
        <v>2788537.9736045781</v>
      </c>
      <c r="V124" s="468">
        <f>'7b. LX_AG-sf'!T$241</f>
        <v>868778.21527854819</v>
      </c>
      <c r="W124" s="468">
        <f>'7b. LX_AG-sf'!U$241</f>
        <v>0</v>
      </c>
      <c r="X124" s="468">
        <f>'7b. LX_AG-sf'!V$241</f>
        <v>1463901.2818474146</v>
      </c>
      <c r="Y124" s="468">
        <f>'7b. LX_AG-sf'!W$241</f>
        <v>162053.85248199227</v>
      </c>
      <c r="Z124" s="527">
        <f t="shared" si="12"/>
        <v>11382286.798041336</v>
      </c>
      <c r="AA124" s="468">
        <f>'7b. LX_AG-sf'!Y$241</f>
        <v>5533146.4714714596</v>
      </c>
      <c r="AB124" s="468">
        <f>'7b. LX_AG-sf'!Z$241</f>
        <v>5849140.3265698766</v>
      </c>
      <c r="AC124" s="526">
        <v>1</v>
      </c>
      <c r="AD124" s="527">
        <f>SUM(AE124:AG124)</f>
        <v>15526882.993573921</v>
      </c>
      <c r="AE124" s="468">
        <f>'7b. LX_AG-sf'!AC$241</f>
        <v>14089249.023636159</v>
      </c>
      <c r="AF124" s="468">
        <f>'7b. LX_AG-sf'!AD$241</f>
        <v>1437633.9699377615</v>
      </c>
      <c r="AG124" s="468">
        <f>'7b. LX_AG-sf'!AE$241</f>
        <v>0</v>
      </c>
      <c r="AH124" s="172">
        <f t="shared" si="11"/>
        <v>2203529.67</v>
      </c>
      <c r="AI124" s="468">
        <f>'7b. LX_AG-sf'!AG$241</f>
        <v>2203529.67</v>
      </c>
      <c r="AJ124" s="526">
        <v>1</v>
      </c>
      <c r="AK124" s="62"/>
      <c r="AL124" s="62"/>
      <c r="AM124" s="62"/>
      <c r="AN124" s="62"/>
    </row>
    <row r="125" spans="1:40" s="1" customFormat="1" x14ac:dyDescent="0.3">
      <c r="A125" s="62" t="s">
        <v>486</v>
      </c>
      <c r="B125" s="62" t="s">
        <v>53</v>
      </c>
      <c r="C125" s="62"/>
      <c r="D125" s="62" t="s">
        <v>1242</v>
      </c>
      <c r="E125" s="62" t="s">
        <v>1236</v>
      </c>
      <c r="F125" s="468">
        <f t="shared" ref="F125:F126" si="14">+G125+K125+L125+M125</f>
        <v>3257985533.4857597</v>
      </c>
      <c r="G125" s="468">
        <f>'2b. RB-sf'!E$118</f>
        <v>3257985533.4857597</v>
      </c>
      <c r="H125" s="669"/>
      <c r="I125" s="669"/>
      <c r="J125" s="669"/>
      <c r="K125" s="468">
        <f>'2b. RB-sf'!I$118</f>
        <v>0</v>
      </c>
      <c r="L125" s="468">
        <f>'2b. RB-sf'!J$118</f>
        <v>0</v>
      </c>
      <c r="M125" s="468"/>
      <c r="N125" s="468">
        <f>'2b. RB-sf'!L$118</f>
        <v>774505505.26390636</v>
      </c>
      <c r="O125" s="172">
        <f t="shared" si="10"/>
        <v>2108471040.3903337</v>
      </c>
      <c r="P125" s="468">
        <f>'2b. RB-sf'!N$118</f>
        <v>341845222.53033376</v>
      </c>
      <c r="Q125" s="468">
        <f>'2b. RB-sf'!O$118</f>
        <v>597523210.07080626</v>
      </c>
      <c r="R125" s="468">
        <f>'2b. RB-sf'!P$118</f>
        <v>159560465.3049843</v>
      </c>
      <c r="S125" s="468">
        <f>'2b. RB-sf'!Q$118</f>
        <v>174453717.5478189</v>
      </c>
      <c r="T125" s="468">
        <f>'2b. RB-sf'!R$118</f>
        <v>327478213.15558767</v>
      </c>
      <c r="U125" s="468">
        <f>'2b. RB-sf'!S$118</f>
        <v>80642631.368211746</v>
      </c>
      <c r="V125" s="468">
        <f>'2b. RB-sf'!T$118</f>
        <v>190703738.73218107</v>
      </c>
      <c r="W125" s="468">
        <f>'2b. RB-sf'!U$118</f>
        <v>128955756.09999993</v>
      </c>
      <c r="X125" s="468">
        <f>'2b. RB-sf'!V$118</f>
        <v>107308085.5804099</v>
      </c>
      <c r="Y125" s="468">
        <f>'2b. RB-sf'!W$118</f>
        <v>0</v>
      </c>
      <c r="Z125" s="527">
        <f>SUM(AA125:AB125)</f>
        <v>141514308.95999998</v>
      </c>
      <c r="AA125" s="468">
        <f>'2b. RB-sf'!Y$118</f>
        <v>141514308.95999998</v>
      </c>
      <c r="AB125" s="468">
        <f>'2b. RB-sf'!Z$118</f>
        <v>0</v>
      </c>
      <c r="AC125" s="526">
        <v>1</v>
      </c>
      <c r="AD125" s="527">
        <f t="shared" ref="AD125:AD128" si="15">SUM(AE125:AG125)</f>
        <v>15526882.993573921</v>
      </c>
      <c r="AE125" s="468">
        <f>'7b. LX_AG-sf'!AC$241</f>
        <v>14089249.023636159</v>
      </c>
      <c r="AF125" s="468">
        <f>'7b. LX_AG-sf'!AD$241</f>
        <v>1437633.9699377615</v>
      </c>
      <c r="AG125" s="468">
        <f>'7b. LX_AG-sf'!AE$241</f>
        <v>0</v>
      </c>
      <c r="AH125" s="172">
        <f t="shared" ref="AH125:AH128" si="16">SUM(AI125:AI125)</f>
        <v>2203529.67</v>
      </c>
      <c r="AI125" s="468">
        <f>'7b. LX_AG-sf'!AG$241</f>
        <v>2203529.67</v>
      </c>
      <c r="AJ125" s="526">
        <v>1</v>
      </c>
      <c r="AK125" s="62"/>
      <c r="AL125" s="62"/>
      <c r="AM125" s="62"/>
      <c r="AN125" s="62"/>
    </row>
    <row r="126" spans="1:40" s="1" customFormat="1" x14ac:dyDescent="0.3">
      <c r="A126" s="62" t="s">
        <v>487</v>
      </c>
      <c r="B126" s="498" t="s">
        <v>95</v>
      </c>
      <c r="C126" s="62"/>
      <c r="D126" s="62" t="s">
        <v>1242</v>
      </c>
      <c r="E126" s="62" t="s">
        <v>1236</v>
      </c>
      <c r="F126" s="468">
        <f t="shared" si="14"/>
        <v>3257985533.4857597</v>
      </c>
      <c r="G126" s="468">
        <f>'2b. RB-sf'!E$118</f>
        <v>3257985533.4857597</v>
      </c>
      <c r="H126" s="669"/>
      <c r="I126" s="669"/>
      <c r="J126" s="669"/>
      <c r="K126" s="468">
        <f>'2b. RB-sf'!I$118</f>
        <v>0</v>
      </c>
      <c r="L126" s="468">
        <f>'2b. RB-sf'!J$118</f>
        <v>0</v>
      </c>
      <c r="M126" s="468"/>
      <c r="N126" s="468">
        <f>'2b. RB-sf'!L$118</f>
        <v>774505505.26390636</v>
      </c>
      <c r="O126" s="172">
        <f t="shared" si="10"/>
        <v>2108471040.3903337</v>
      </c>
      <c r="P126" s="468">
        <f>'2b. RB-sf'!N$118</f>
        <v>341845222.53033376</v>
      </c>
      <c r="Q126" s="468">
        <f>'2b. RB-sf'!O$118</f>
        <v>597523210.07080626</v>
      </c>
      <c r="R126" s="468">
        <f>'2b. RB-sf'!P$118</f>
        <v>159560465.3049843</v>
      </c>
      <c r="S126" s="468">
        <f>'2b. RB-sf'!Q$118</f>
        <v>174453717.5478189</v>
      </c>
      <c r="T126" s="468">
        <f>'2b. RB-sf'!R$118</f>
        <v>327478213.15558767</v>
      </c>
      <c r="U126" s="468">
        <f>'2b. RB-sf'!S$118</f>
        <v>80642631.368211746</v>
      </c>
      <c r="V126" s="468">
        <f>'2b. RB-sf'!T$118</f>
        <v>190703738.73218107</v>
      </c>
      <c r="W126" s="468">
        <f>'2b. RB-sf'!U$118</f>
        <v>128955756.09999993</v>
      </c>
      <c r="X126" s="468">
        <f>'2b. RB-sf'!V$118</f>
        <v>107308085.5804099</v>
      </c>
      <c r="Y126" s="468">
        <f>'2b. RB-sf'!W$118</f>
        <v>0</v>
      </c>
      <c r="Z126" s="527">
        <f t="shared" ref="Z126:Z128" si="17">SUM(AA126:AB126)</f>
        <v>141514308.95999998</v>
      </c>
      <c r="AA126" s="468">
        <f>'2b. RB-sf'!Y$118</f>
        <v>141514308.95999998</v>
      </c>
      <c r="AB126" s="468">
        <f>'2b. RB-sf'!Z$118</f>
        <v>0</v>
      </c>
      <c r="AC126" s="526">
        <v>1</v>
      </c>
      <c r="AD126" s="527">
        <f t="shared" si="15"/>
        <v>15526882.993573921</v>
      </c>
      <c r="AE126" s="468">
        <f>'7b. LX_AG-sf'!AC$241</f>
        <v>14089249.023636159</v>
      </c>
      <c r="AF126" s="468">
        <f>'7b. LX_AG-sf'!AD$241</f>
        <v>1437633.9699377615</v>
      </c>
      <c r="AG126" s="468">
        <f>'7b. LX_AG-sf'!AE$241</f>
        <v>0</v>
      </c>
      <c r="AH126" s="172">
        <f t="shared" si="16"/>
        <v>2203529.67</v>
      </c>
      <c r="AI126" s="468">
        <f>'7b. LX_AG-sf'!AG$241</f>
        <v>2203529.67</v>
      </c>
      <c r="AJ126" s="526">
        <v>1</v>
      </c>
      <c r="AK126" s="62"/>
      <c r="AL126" s="62"/>
      <c r="AM126" s="62"/>
      <c r="AN126" s="62"/>
    </row>
    <row r="127" spans="1:40" s="1" customFormat="1" x14ac:dyDescent="0.3">
      <c r="A127" s="62" t="s">
        <v>488</v>
      </c>
      <c r="B127" s="62" t="s">
        <v>96</v>
      </c>
      <c r="C127" s="62"/>
      <c r="D127" s="62" t="s">
        <v>1242</v>
      </c>
      <c r="E127" s="62" t="s">
        <v>1236</v>
      </c>
      <c r="F127" s="468">
        <f t="shared" ref="F127:F130" si="18">+G127+K127+L127+M127</f>
        <v>3257985533.4857597</v>
      </c>
      <c r="G127" s="468">
        <f>'2b. RB-sf'!E$118</f>
        <v>3257985533.4857597</v>
      </c>
      <c r="H127" s="669"/>
      <c r="I127" s="669"/>
      <c r="J127" s="669"/>
      <c r="K127" s="468">
        <f>'2b. RB-sf'!I$118</f>
        <v>0</v>
      </c>
      <c r="L127" s="468">
        <f>'2b. RB-sf'!J$118</f>
        <v>0</v>
      </c>
      <c r="M127" s="468"/>
      <c r="N127" s="468">
        <f>'2b. RB-sf'!L$118</f>
        <v>774505505.26390636</v>
      </c>
      <c r="O127" s="172">
        <f t="shared" ref="O127:O130" si="19">SUM(P127:Y127)</f>
        <v>2108471040.3903337</v>
      </c>
      <c r="P127" s="468">
        <f>'2b. RB-sf'!N$118</f>
        <v>341845222.53033376</v>
      </c>
      <c r="Q127" s="468">
        <f>'2b. RB-sf'!O$118</f>
        <v>597523210.07080626</v>
      </c>
      <c r="R127" s="468">
        <f>'2b. RB-sf'!P$118</f>
        <v>159560465.3049843</v>
      </c>
      <c r="S127" s="468">
        <f>'2b. RB-sf'!Q$118</f>
        <v>174453717.5478189</v>
      </c>
      <c r="T127" s="468">
        <f>'2b. RB-sf'!R$118</f>
        <v>327478213.15558767</v>
      </c>
      <c r="U127" s="468">
        <f>'2b. RB-sf'!S$118</f>
        <v>80642631.368211746</v>
      </c>
      <c r="V127" s="468">
        <f>'2b. RB-sf'!T$118</f>
        <v>190703738.73218107</v>
      </c>
      <c r="W127" s="468">
        <f>'2b. RB-sf'!U$118</f>
        <v>128955756.09999993</v>
      </c>
      <c r="X127" s="468">
        <f>'2b. RB-sf'!V$118</f>
        <v>107308085.5804099</v>
      </c>
      <c r="Y127" s="468">
        <f>'2b. RB-sf'!W$118</f>
        <v>0</v>
      </c>
      <c r="Z127" s="527">
        <f t="shared" si="17"/>
        <v>141514308.95999998</v>
      </c>
      <c r="AA127" s="468">
        <f>'2b. RB-sf'!Y$118</f>
        <v>141514308.95999998</v>
      </c>
      <c r="AB127" s="468">
        <f>'2b. RB-sf'!Z$118</f>
        <v>0</v>
      </c>
      <c r="AC127" s="526">
        <v>1</v>
      </c>
      <c r="AD127" s="527">
        <f t="shared" si="15"/>
        <v>15526882.993573921</v>
      </c>
      <c r="AE127" s="468">
        <f>'7b. LX_AG-sf'!AC$241</f>
        <v>14089249.023636159</v>
      </c>
      <c r="AF127" s="468">
        <f>'7b. LX_AG-sf'!AD$241</f>
        <v>1437633.9699377615</v>
      </c>
      <c r="AG127" s="468">
        <f>'7b. LX_AG-sf'!AE$241</f>
        <v>0</v>
      </c>
      <c r="AH127" s="172">
        <f t="shared" si="16"/>
        <v>2203529.67</v>
      </c>
      <c r="AI127" s="468">
        <f>'7b. LX_AG-sf'!AG$241</f>
        <v>2203529.67</v>
      </c>
      <c r="AJ127" s="526">
        <v>1</v>
      </c>
      <c r="AK127" s="62"/>
      <c r="AL127" s="62"/>
      <c r="AM127" s="62"/>
      <c r="AN127" s="62"/>
    </row>
    <row r="128" spans="1:40" s="1" customFormat="1" x14ac:dyDescent="0.3">
      <c r="A128" s="62" t="s">
        <v>54</v>
      </c>
      <c r="B128" s="62" t="s">
        <v>97</v>
      </c>
      <c r="C128" s="62"/>
      <c r="D128" s="62" t="s">
        <v>1242</v>
      </c>
      <c r="E128" s="62" t="s">
        <v>1236</v>
      </c>
      <c r="F128" s="468">
        <f t="shared" si="18"/>
        <v>3257985533.4857597</v>
      </c>
      <c r="G128" s="468">
        <f>'2b. RB-sf'!E$118</f>
        <v>3257985533.4857597</v>
      </c>
      <c r="H128" s="669"/>
      <c r="I128" s="669"/>
      <c r="J128" s="669"/>
      <c r="K128" s="468">
        <f>'2b. RB-sf'!I$118</f>
        <v>0</v>
      </c>
      <c r="L128" s="468">
        <f>'2b. RB-sf'!J$118</f>
        <v>0</v>
      </c>
      <c r="M128" s="468"/>
      <c r="N128" s="468">
        <f>'2b. RB-sf'!L$118</f>
        <v>774505505.26390636</v>
      </c>
      <c r="O128" s="172">
        <f t="shared" si="19"/>
        <v>2108471040.3903337</v>
      </c>
      <c r="P128" s="468">
        <f>'2b. RB-sf'!N$118</f>
        <v>341845222.53033376</v>
      </c>
      <c r="Q128" s="468">
        <f>'2b. RB-sf'!O$118</f>
        <v>597523210.07080626</v>
      </c>
      <c r="R128" s="468">
        <f>'2b. RB-sf'!P$118</f>
        <v>159560465.3049843</v>
      </c>
      <c r="S128" s="468">
        <f>'2b. RB-sf'!Q$118</f>
        <v>174453717.5478189</v>
      </c>
      <c r="T128" s="468">
        <f>'2b. RB-sf'!R$118</f>
        <v>327478213.15558767</v>
      </c>
      <c r="U128" s="468">
        <f>'2b. RB-sf'!S$118</f>
        <v>80642631.368211746</v>
      </c>
      <c r="V128" s="468">
        <f>'2b. RB-sf'!T$118</f>
        <v>190703738.73218107</v>
      </c>
      <c r="W128" s="468">
        <f>'2b. RB-sf'!U$118</f>
        <v>128955756.09999993</v>
      </c>
      <c r="X128" s="468">
        <f>'2b. RB-sf'!V$118</f>
        <v>107308085.5804099</v>
      </c>
      <c r="Y128" s="468">
        <f>'2b. RB-sf'!W$118</f>
        <v>0</v>
      </c>
      <c r="Z128" s="527">
        <f t="shared" si="17"/>
        <v>141514308.95999998</v>
      </c>
      <c r="AA128" s="468">
        <f>'2b. RB-sf'!Y$118</f>
        <v>141514308.95999998</v>
      </c>
      <c r="AB128" s="468">
        <f>'2b. RB-sf'!Z$118</f>
        <v>0</v>
      </c>
      <c r="AC128" s="526">
        <v>1</v>
      </c>
      <c r="AD128" s="527">
        <f t="shared" si="15"/>
        <v>15526882.993573921</v>
      </c>
      <c r="AE128" s="468">
        <f>'7b. LX_AG-sf'!AC$241</f>
        <v>14089249.023636159</v>
      </c>
      <c r="AF128" s="468">
        <f>'7b. LX_AG-sf'!AD$241</f>
        <v>1437633.9699377615</v>
      </c>
      <c r="AG128" s="468">
        <f>'7b. LX_AG-sf'!AE$241</f>
        <v>0</v>
      </c>
      <c r="AH128" s="172">
        <f t="shared" si="16"/>
        <v>2203529.67</v>
      </c>
      <c r="AI128" s="468">
        <f>'7b. LX_AG-sf'!AG$241</f>
        <v>2203529.67</v>
      </c>
      <c r="AJ128" s="526">
        <v>1</v>
      </c>
      <c r="AK128" s="62"/>
      <c r="AL128" s="62"/>
      <c r="AM128" s="62"/>
      <c r="AN128" s="62"/>
    </row>
    <row r="129" spans="1:40" s="1" customFormat="1" x14ac:dyDescent="0.3">
      <c r="A129" s="62" t="s">
        <v>489</v>
      </c>
      <c r="B129" s="62" t="s">
        <v>98</v>
      </c>
      <c r="C129" s="62"/>
      <c r="D129" s="62" t="s">
        <v>1242</v>
      </c>
      <c r="E129" s="62" t="s">
        <v>1095</v>
      </c>
      <c r="F129" s="468">
        <f t="shared" si="18"/>
        <v>66192416.159999996</v>
      </c>
      <c r="G129" s="468">
        <f>'7b. LX_AG-sf'!E$241</f>
        <v>43515962.003324836</v>
      </c>
      <c r="H129" s="669"/>
      <c r="I129" s="669"/>
      <c r="J129" s="669"/>
      <c r="K129" s="468">
        <f>'7b. LX_AG-sf'!I$241</f>
        <v>22676454.15667516</v>
      </c>
      <c r="L129" s="468">
        <f>'7b. LX_AG-sf'!J$241</f>
        <v>0</v>
      </c>
      <c r="M129" s="468"/>
      <c r="N129" s="526">
        <v>1</v>
      </c>
      <c r="O129" s="172">
        <f t="shared" si="19"/>
        <v>51544435.908528537</v>
      </c>
      <c r="P129" s="468">
        <f>'7b. LX_AG-sf'!N$241</f>
        <v>16188678.588415425</v>
      </c>
      <c r="Q129" s="468">
        <f>'7b. LX_AG-sf'!O$241</f>
        <v>14742342.935831249</v>
      </c>
      <c r="R129" s="468">
        <f>'7b. LX_AG-sf'!P$241</f>
        <v>4057801.875254239</v>
      </c>
      <c r="S129" s="468">
        <f>'7b. LX_AG-sf'!Q$241</f>
        <v>794748.9146647033</v>
      </c>
      <c r="T129" s="468">
        <f>'7b. LX_AG-sf'!R$241</f>
        <v>10477592.271150392</v>
      </c>
      <c r="U129" s="468">
        <f>'7b. LX_AG-sf'!S$241</f>
        <v>2788537.9736045781</v>
      </c>
      <c r="V129" s="468">
        <f>'7b. LX_AG-sf'!T$241</f>
        <v>868778.21527854819</v>
      </c>
      <c r="W129" s="468">
        <f>'7b. LX_AG-sf'!U$241</f>
        <v>0</v>
      </c>
      <c r="X129" s="468">
        <f>'7b. LX_AG-sf'!V$241</f>
        <v>1463901.2818474146</v>
      </c>
      <c r="Y129" s="468">
        <f>'7b. LX_AG-sf'!W$241</f>
        <v>162053.85248199227</v>
      </c>
      <c r="Z129" s="527">
        <f>SUM(AA129:AB129)</f>
        <v>11382286.798041336</v>
      </c>
      <c r="AA129" s="468">
        <f>'7b. LX_AG-sf'!Y$241</f>
        <v>5533146.4714714596</v>
      </c>
      <c r="AB129" s="468">
        <f>'7b. LX_AG-sf'!Z$241</f>
        <v>5849140.3265698766</v>
      </c>
      <c r="AC129" s="526">
        <v>1</v>
      </c>
      <c r="AD129" s="527">
        <f>SUM(AE129:AG129)</f>
        <v>15526882.993573921</v>
      </c>
      <c r="AE129" s="468">
        <f>'7b. LX_AG-sf'!AC$241</f>
        <v>14089249.023636159</v>
      </c>
      <c r="AF129" s="468">
        <f>'7b. LX_AG-sf'!AD$241</f>
        <v>1437633.9699377615</v>
      </c>
      <c r="AG129" s="468">
        <f>'7b. LX_AG-sf'!AE$241</f>
        <v>0</v>
      </c>
      <c r="AH129" s="172">
        <f t="shared" ref="AH129" si="20">SUM(AI129:AI129)</f>
        <v>2203529.67</v>
      </c>
      <c r="AI129" s="468">
        <f>'7b. LX_AG-sf'!AG$241</f>
        <v>2203529.67</v>
      </c>
      <c r="AJ129" s="526">
        <v>1</v>
      </c>
      <c r="AK129" s="62"/>
      <c r="AL129" s="62"/>
      <c r="AM129" s="62"/>
      <c r="AN129" s="62"/>
    </row>
    <row r="130" spans="1:40" s="1" customFormat="1" x14ac:dyDescent="0.3">
      <c r="A130" s="62" t="s">
        <v>490</v>
      </c>
      <c r="B130" s="62" t="s">
        <v>99</v>
      </c>
      <c r="C130" s="62"/>
      <c r="D130" s="62" t="s">
        <v>1242</v>
      </c>
      <c r="E130" s="62" t="s">
        <v>1236</v>
      </c>
      <c r="F130" s="468">
        <f t="shared" si="18"/>
        <v>3257985533.4857597</v>
      </c>
      <c r="G130" s="468">
        <f>'2b. RB-sf'!E$118</f>
        <v>3257985533.4857597</v>
      </c>
      <c r="H130" s="669"/>
      <c r="I130" s="669"/>
      <c r="J130" s="669"/>
      <c r="K130" s="468">
        <f>'2b. RB-sf'!I$118</f>
        <v>0</v>
      </c>
      <c r="L130" s="468">
        <f>'2b. RB-sf'!J$118</f>
        <v>0</v>
      </c>
      <c r="M130" s="468"/>
      <c r="N130" s="468">
        <f>'2b. RB-sf'!L$118</f>
        <v>774505505.26390636</v>
      </c>
      <c r="O130" s="172">
        <f t="shared" si="19"/>
        <v>2108471040.3903337</v>
      </c>
      <c r="P130" s="468">
        <f>'2b. RB-sf'!N$118</f>
        <v>341845222.53033376</v>
      </c>
      <c r="Q130" s="468">
        <f>'2b. RB-sf'!O$118</f>
        <v>597523210.07080626</v>
      </c>
      <c r="R130" s="468">
        <f>'2b. RB-sf'!P$118</f>
        <v>159560465.3049843</v>
      </c>
      <c r="S130" s="468">
        <f>'2b. RB-sf'!Q$118</f>
        <v>174453717.5478189</v>
      </c>
      <c r="T130" s="468">
        <f>'2b. RB-sf'!R$118</f>
        <v>327478213.15558767</v>
      </c>
      <c r="U130" s="468">
        <f>'2b. RB-sf'!S$118</f>
        <v>80642631.368211746</v>
      </c>
      <c r="V130" s="468">
        <f>'2b. RB-sf'!T$118</f>
        <v>190703738.73218107</v>
      </c>
      <c r="W130" s="468">
        <f>'2b. RB-sf'!U$118</f>
        <v>128955756.09999993</v>
      </c>
      <c r="X130" s="468">
        <f>'2b. RB-sf'!V$118</f>
        <v>107308085.5804099</v>
      </c>
      <c r="Y130" s="468">
        <f>'2b. RB-sf'!W$118</f>
        <v>0</v>
      </c>
      <c r="Z130" s="527">
        <f>SUM(AA130:AB130)</f>
        <v>141514308.95999998</v>
      </c>
      <c r="AA130" s="468">
        <f>'2b. RB-sf'!Y$118</f>
        <v>141514308.95999998</v>
      </c>
      <c r="AB130" s="468">
        <f>'2b. RB-sf'!Z$118</f>
        <v>0</v>
      </c>
      <c r="AC130" s="526">
        <v>1</v>
      </c>
      <c r="AD130" s="527">
        <f>SUM(AE130:AG130)</f>
        <v>15526882.993573921</v>
      </c>
      <c r="AE130" s="468">
        <f>'7b. LX_AG-sf'!AC$241</f>
        <v>14089249.023636159</v>
      </c>
      <c r="AF130" s="468">
        <f>'7b. LX_AG-sf'!AD$241</f>
        <v>1437633.9699377615</v>
      </c>
      <c r="AG130" s="468">
        <f>'7b. LX_AG-sf'!AE$241</f>
        <v>0</v>
      </c>
      <c r="AH130" s="172">
        <f t="shared" ref="AH130" si="21">SUM(AI130:AI130)</f>
        <v>2203529.67</v>
      </c>
      <c r="AI130" s="468">
        <f>'7b. LX_AG-sf'!AG$241</f>
        <v>2203529.67</v>
      </c>
      <c r="AJ130" s="526">
        <v>1</v>
      </c>
      <c r="AK130" s="62"/>
      <c r="AL130" s="62"/>
      <c r="AM130" s="62"/>
      <c r="AN130" s="62"/>
    </row>
    <row r="131" spans="1:40" x14ac:dyDescent="0.3">
      <c r="A131" s="62"/>
      <c r="B131" s="62"/>
      <c r="C131" s="62"/>
      <c r="D131" s="62"/>
      <c r="E131" s="62"/>
      <c r="F131" s="528"/>
      <c r="G131" s="468"/>
      <c r="H131" s="669"/>
      <c r="I131" s="669"/>
      <c r="J131" s="669"/>
      <c r="K131" s="468"/>
      <c r="L131" s="468"/>
      <c r="M131" s="468"/>
      <c r="N131" s="526"/>
      <c r="O131" s="529"/>
      <c r="P131" s="468"/>
      <c r="Q131" s="468"/>
      <c r="R131" s="468"/>
      <c r="S131" s="468"/>
      <c r="T131" s="468"/>
      <c r="U131" s="468"/>
      <c r="V131" s="468"/>
      <c r="W131" s="468"/>
      <c r="X131" s="468"/>
      <c r="Y131" s="468"/>
      <c r="Z131" s="526"/>
      <c r="AA131" s="526"/>
      <c r="AB131" s="526"/>
      <c r="AC131" s="526"/>
      <c r="AD131" s="526"/>
      <c r="AE131" s="526"/>
      <c r="AF131" s="526"/>
      <c r="AG131" s="526"/>
      <c r="AH131" s="526"/>
      <c r="AI131" s="526"/>
      <c r="AJ131" s="526"/>
      <c r="AK131" s="62"/>
      <c r="AL131" s="62"/>
      <c r="AM131" s="62"/>
      <c r="AN131" s="62"/>
    </row>
    <row r="132" spans="1:40" x14ac:dyDescent="0.3">
      <c r="A132" s="499" t="s">
        <v>491</v>
      </c>
      <c r="B132" s="62"/>
      <c r="C132" s="62"/>
      <c r="D132" s="62"/>
      <c r="E132" s="62"/>
      <c r="F132" s="523"/>
      <c r="G132" s="523"/>
      <c r="H132" s="673"/>
      <c r="I132" s="673"/>
      <c r="J132" s="673"/>
      <c r="K132" s="523"/>
      <c r="L132" s="523"/>
      <c r="M132" s="523"/>
      <c r="N132" s="523"/>
      <c r="O132" s="523"/>
      <c r="P132" s="520"/>
      <c r="Q132" s="520"/>
      <c r="R132" s="520"/>
      <c r="S132" s="520"/>
      <c r="T132" s="520"/>
      <c r="U132" s="520"/>
      <c r="V132" s="520"/>
      <c r="W132" s="520"/>
      <c r="X132" s="520"/>
      <c r="Y132" s="520"/>
      <c r="Z132" s="520"/>
      <c r="AA132" s="520"/>
      <c r="AB132" s="520"/>
      <c r="AC132" s="520"/>
      <c r="AD132" s="520"/>
      <c r="AE132" s="520"/>
      <c r="AF132" s="520"/>
      <c r="AG132" s="520"/>
      <c r="AH132" s="520"/>
      <c r="AI132" s="520"/>
      <c r="AJ132" s="520"/>
      <c r="AK132" s="62"/>
      <c r="AL132" s="62"/>
      <c r="AM132" s="62"/>
      <c r="AN132" s="62"/>
    </row>
    <row r="133" spans="1:40" x14ac:dyDescent="0.3">
      <c r="A133" s="499"/>
      <c r="B133" s="62"/>
      <c r="C133" s="62"/>
      <c r="D133" s="62"/>
      <c r="E133" s="62"/>
      <c r="F133" s="523"/>
      <c r="G133" s="523"/>
      <c r="H133" s="673"/>
      <c r="I133" s="673"/>
      <c r="J133" s="673"/>
      <c r="K133" s="523"/>
      <c r="L133" s="523"/>
      <c r="M133" s="523"/>
      <c r="N133" s="523"/>
      <c r="O133" s="523"/>
      <c r="P133" s="520"/>
      <c r="Q133" s="520"/>
      <c r="R133" s="520"/>
      <c r="S133" s="520"/>
      <c r="T133" s="520"/>
      <c r="U133" s="520"/>
      <c r="V133" s="520"/>
      <c r="W133" s="520"/>
      <c r="X133" s="520"/>
      <c r="Y133" s="520"/>
      <c r="Z133" s="520"/>
      <c r="AA133" s="520"/>
      <c r="AB133" s="520"/>
      <c r="AC133" s="520"/>
      <c r="AD133" s="520"/>
      <c r="AE133" s="520"/>
      <c r="AF133" s="520"/>
      <c r="AG133" s="520"/>
      <c r="AH133" s="520"/>
      <c r="AI133" s="520"/>
      <c r="AJ133" s="520"/>
      <c r="AK133" s="62"/>
      <c r="AL133" s="62"/>
      <c r="AM133" s="62"/>
      <c r="AN133" s="62"/>
    </row>
    <row r="134" spans="1:40" x14ac:dyDescent="0.3">
      <c r="A134" s="463"/>
      <c r="B134" s="62"/>
      <c r="C134" s="62"/>
      <c r="D134" s="62"/>
      <c r="E134" s="62"/>
      <c r="F134" s="523"/>
      <c r="G134" s="523"/>
      <c r="H134" s="673"/>
      <c r="I134" s="673"/>
      <c r="J134" s="673"/>
      <c r="K134" s="523"/>
      <c r="L134" s="523"/>
      <c r="M134" s="523"/>
      <c r="N134" s="523"/>
      <c r="O134" s="523"/>
      <c r="P134" s="520"/>
      <c r="Q134" s="520"/>
      <c r="R134" s="520"/>
      <c r="S134" s="520"/>
      <c r="T134" s="520"/>
      <c r="U134" s="520"/>
      <c r="V134" s="520"/>
      <c r="W134" s="520"/>
      <c r="X134" s="520"/>
      <c r="Y134" s="520"/>
      <c r="Z134" s="520"/>
      <c r="AA134" s="520"/>
      <c r="AB134" s="520"/>
      <c r="AC134" s="520"/>
      <c r="AD134" s="520"/>
      <c r="AE134" s="520"/>
      <c r="AF134" s="520"/>
      <c r="AG134" s="520"/>
      <c r="AH134" s="520"/>
      <c r="AI134" s="520"/>
      <c r="AJ134" s="520"/>
      <c r="AK134" s="62"/>
      <c r="AL134" s="62"/>
      <c r="AM134" s="62"/>
      <c r="AN134" s="62"/>
    </row>
    <row r="135" spans="1:40" x14ac:dyDescent="0.3">
      <c r="A135" s="463" t="s">
        <v>492</v>
      </c>
      <c r="B135" s="62"/>
      <c r="C135" s="62"/>
      <c r="D135" s="62"/>
      <c r="E135" s="62"/>
      <c r="F135" s="520"/>
      <c r="G135" s="520"/>
      <c r="H135" s="670"/>
      <c r="I135" s="670"/>
      <c r="J135" s="670"/>
      <c r="K135" s="520"/>
      <c r="L135" s="520"/>
      <c r="M135" s="520"/>
      <c r="N135" s="530"/>
      <c r="O135" s="520"/>
      <c r="P135" s="520"/>
      <c r="Q135" s="520"/>
      <c r="R135" s="520"/>
      <c r="S135" s="520"/>
      <c r="T135" s="520"/>
      <c r="U135" s="520"/>
      <c r="V135" s="520"/>
      <c r="W135" s="520"/>
      <c r="X135" s="520"/>
      <c r="Y135" s="520"/>
      <c r="Z135" s="520"/>
      <c r="AA135" s="520"/>
      <c r="AB135" s="520"/>
      <c r="AC135" s="520"/>
      <c r="AD135" s="520"/>
      <c r="AE135" s="520"/>
      <c r="AF135" s="520"/>
      <c r="AG135" s="520"/>
      <c r="AH135" s="520"/>
      <c r="AI135" s="520"/>
      <c r="AJ135" s="520"/>
      <c r="AK135" s="62"/>
      <c r="AL135" s="62"/>
      <c r="AM135" s="62"/>
      <c r="AN135" s="62"/>
    </row>
    <row r="136" spans="1:40" x14ac:dyDescent="0.3">
      <c r="A136" s="62"/>
      <c r="B136" s="62"/>
      <c r="C136" s="62"/>
      <c r="D136" s="62"/>
      <c r="E136" s="62"/>
      <c r="F136" s="520"/>
      <c r="G136" s="520"/>
      <c r="H136" s="670"/>
      <c r="I136" s="670"/>
      <c r="J136" s="670"/>
      <c r="K136" s="520"/>
      <c r="L136" s="520"/>
      <c r="M136" s="520"/>
      <c r="N136" s="520"/>
      <c r="O136" s="520"/>
      <c r="P136" s="520"/>
      <c r="Q136" s="520"/>
      <c r="R136" s="520"/>
      <c r="S136" s="520"/>
      <c r="T136" s="520"/>
      <c r="U136" s="520"/>
      <c r="V136" s="520"/>
      <c r="W136" s="520"/>
      <c r="X136" s="520"/>
      <c r="Y136" s="520"/>
      <c r="Z136" s="520"/>
      <c r="AA136" s="520"/>
      <c r="AB136" s="520"/>
      <c r="AC136" s="520"/>
      <c r="AD136" s="520"/>
      <c r="AE136" s="520"/>
      <c r="AF136" s="520"/>
      <c r="AG136" s="520"/>
      <c r="AH136" s="520"/>
      <c r="AI136" s="520"/>
      <c r="AJ136" s="520"/>
      <c r="AK136" s="62"/>
      <c r="AL136" s="62"/>
      <c r="AM136" s="62"/>
      <c r="AN136" s="62"/>
    </row>
    <row r="137" spans="1:40" x14ac:dyDescent="0.3">
      <c r="A137" s="62" t="s">
        <v>493</v>
      </c>
      <c r="B137" s="62" t="s">
        <v>100</v>
      </c>
      <c r="C137" s="62"/>
      <c r="D137" s="62" t="s">
        <v>1242</v>
      </c>
      <c r="E137" s="62" t="s">
        <v>1095</v>
      </c>
      <c r="F137" s="468">
        <f t="shared" ref="F137:F138" si="22">+G137+K137+L137+M137</f>
        <v>66192416.159999996</v>
      </c>
      <c r="G137" s="468">
        <f>'7b. LX_AG-sf'!E$241</f>
        <v>43515962.003324836</v>
      </c>
      <c r="H137" s="669"/>
      <c r="I137" s="669"/>
      <c r="J137" s="669"/>
      <c r="K137" s="468">
        <f>'7b. LX_AG-sf'!I$241</f>
        <v>22676454.15667516</v>
      </c>
      <c r="L137" s="468">
        <f>'7b. LX_AG-sf'!J$241</f>
        <v>0</v>
      </c>
      <c r="M137" s="468"/>
      <c r="N137" s="526">
        <v>1</v>
      </c>
      <c r="O137" s="172">
        <f>SUM(P137:Y137)</f>
        <v>51544435.908528537</v>
      </c>
      <c r="P137" s="468">
        <f>'7b. LX_AG-sf'!N$241</f>
        <v>16188678.588415425</v>
      </c>
      <c r="Q137" s="468">
        <f>'7b. LX_AG-sf'!O$241</f>
        <v>14742342.935831249</v>
      </c>
      <c r="R137" s="468">
        <f>'7b. LX_AG-sf'!P$241</f>
        <v>4057801.875254239</v>
      </c>
      <c r="S137" s="468">
        <f>'7b. LX_AG-sf'!Q$241</f>
        <v>794748.9146647033</v>
      </c>
      <c r="T137" s="468">
        <f>'7b. LX_AG-sf'!R$241</f>
        <v>10477592.271150392</v>
      </c>
      <c r="U137" s="468">
        <f>'7b. LX_AG-sf'!S$241</f>
        <v>2788537.9736045781</v>
      </c>
      <c r="V137" s="468">
        <f>'7b. LX_AG-sf'!T$241</f>
        <v>868778.21527854819</v>
      </c>
      <c r="W137" s="468">
        <f>'7b. LX_AG-sf'!U$241</f>
        <v>0</v>
      </c>
      <c r="X137" s="468">
        <f>'7b. LX_AG-sf'!V$241</f>
        <v>1463901.2818474146</v>
      </c>
      <c r="Y137" s="468">
        <f>'7b. LX_AG-sf'!W$241</f>
        <v>162053.85248199227</v>
      </c>
      <c r="Z137" s="527">
        <f>SUM(AA137:AB137)</f>
        <v>11382286.798041336</v>
      </c>
      <c r="AA137" s="468">
        <f>'7b. LX_AG-sf'!Y$241</f>
        <v>5533146.4714714596</v>
      </c>
      <c r="AB137" s="468">
        <f>'7b. LX_AG-sf'!Z$241</f>
        <v>5849140.3265698766</v>
      </c>
      <c r="AC137" s="526">
        <v>1</v>
      </c>
      <c r="AD137" s="527">
        <f>SUM(AE137:AG137)</f>
        <v>15526882.993573921</v>
      </c>
      <c r="AE137" s="468">
        <f>'7b. LX_AG-sf'!AC$241</f>
        <v>14089249.023636159</v>
      </c>
      <c r="AF137" s="468">
        <f>'7b. LX_AG-sf'!AD$241</f>
        <v>1437633.9699377615</v>
      </c>
      <c r="AG137" s="468">
        <f>'7b. LX_AG-sf'!AE$241</f>
        <v>0</v>
      </c>
      <c r="AH137" s="172">
        <f>SUM(AI137:AI137)</f>
        <v>2203529.67</v>
      </c>
      <c r="AI137" s="468">
        <f>'7b. LX_AG-sf'!AG$241</f>
        <v>2203529.67</v>
      </c>
      <c r="AJ137" s="526">
        <v>1</v>
      </c>
      <c r="AK137" s="62"/>
      <c r="AL137" s="62"/>
      <c r="AM137" s="62"/>
      <c r="AN137" s="62"/>
    </row>
    <row r="138" spans="1:40" x14ac:dyDescent="0.3">
      <c r="A138" s="62"/>
      <c r="B138" s="62" t="s">
        <v>101</v>
      </c>
      <c r="C138" s="62"/>
      <c r="D138" s="62" t="s">
        <v>1242</v>
      </c>
      <c r="E138" s="62" t="s">
        <v>1095</v>
      </c>
      <c r="F138" s="468">
        <f t="shared" si="22"/>
        <v>66192416.159999996</v>
      </c>
      <c r="G138" s="468">
        <f>'7b. LX_AG-sf'!E$241</f>
        <v>43515962.003324836</v>
      </c>
      <c r="H138" s="669"/>
      <c r="I138" s="669"/>
      <c r="J138" s="669"/>
      <c r="K138" s="468">
        <f>'7b. LX_AG-sf'!I$241</f>
        <v>22676454.15667516</v>
      </c>
      <c r="L138" s="468">
        <f>'7b. LX_AG-sf'!J$241</f>
        <v>0</v>
      </c>
      <c r="M138" s="468"/>
      <c r="N138" s="526">
        <v>1</v>
      </c>
      <c r="O138" s="172">
        <f>SUM(P138:Y138)</f>
        <v>51544435.908528537</v>
      </c>
      <c r="P138" s="468">
        <f>'7b. LX_AG-sf'!N$241</f>
        <v>16188678.588415425</v>
      </c>
      <c r="Q138" s="468">
        <f>'7b. LX_AG-sf'!O$241</f>
        <v>14742342.935831249</v>
      </c>
      <c r="R138" s="468">
        <f>'7b. LX_AG-sf'!P$241</f>
        <v>4057801.875254239</v>
      </c>
      <c r="S138" s="468">
        <f>'7b. LX_AG-sf'!Q$241</f>
        <v>794748.9146647033</v>
      </c>
      <c r="T138" s="468">
        <f>'7b. LX_AG-sf'!R$241</f>
        <v>10477592.271150392</v>
      </c>
      <c r="U138" s="468">
        <f>'7b. LX_AG-sf'!S$241</f>
        <v>2788537.9736045781</v>
      </c>
      <c r="V138" s="468">
        <f>'7b. LX_AG-sf'!T$241</f>
        <v>868778.21527854819</v>
      </c>
      <c r="W138" s="468">
        <f>'7b. LX_AG-sf'!U$241</f>
        <v>0</v>
      </c>
      <c r="X138" s="468">
        <f>'7b. LX_AG-sf'!V$241</f>
        <v>1463901.2818474146</v>
      </c>
      <c r="Y138" s="468">
        <f>'7b. LX_AG-sf'!W$241</f>
        <v>162053.85248199227</v>
      </c>
      <c r="Z138" s="527">
        <f>SUM(AA138:AB138)</f>
        <v>11382286.798041336</v>
      </c>
      <c r="AA138" s="468">
        <f>'7b. LX_AG-sf'!Y$241</f>
        <v>5533146.4714714596</v>
      </c>
      <c r="AB138" s="468">
        <f>'7b. LX_AG-sf'!Z$241</f>
        <v>5849140.3265698766</v>
      </c>
      <c r="AC138" s="526">
        <v>1</v>
      </c>
      <c r="AD138" s="527">
        <f>SUM(AE138:AG138)</f>
        <v>15526882.993573921</v>
      </c>
      <c r="AE138" s="468">
        <f>'7b. LX_AG-sf'!AC$241</f>
        <v>14089249.023636159</v>
      </c>
      <c r="AF138" s="468">
        <f>'7b. LX_AG-sf'!AD$241</f>
        <v>1437633.9699377615</v>
      </c>
      <c r="AG138" s="468">
        <f>'7b. LX_AG-sf'!AE$241</f>
        <v>0</v>
      </c>
      <c r="AH138" s="172">
        <f>SUM(AI138:AI138)</f>
        <v>2203529.67</v>
      </c>
      <c r="AI138" s="468">
        <f>'7b. LX_AG-sf'!AG$241</f>
        <v>2203529.67</v>
      </c>
      <c r="AJ138" s="526">
        <v>1</v>
      </c>
      <c r="AK138" s="62"/>
      <c r="AL138" s="62"/>
      <c r="AM138" s="62"/>
      <c r="AN138" s="62"/>
    </row>
    <row r="139" spans="1:40" x14ac:dyDescent="0.3">
      <c r="A139" s="62"/>
      <c r="B139" s="62"/>
      <c r="C139" s="62"/>
      <c r="D139" s="62"/>
      <c r="E139" s="62"/>
      <c r="F139" s="520"/>
      <c r="G139" s="520"/>
      <c r="H139" s="670"/>
      <c r="I139" s="670"/>
      <c r="J139" s="670"/>
      <c r="K139" s="520"/>
      <c r="L139" s="520"/>
      <c r="M139" s="520"/>
      <c r="N139" s="520"/>
      <c r="O139" s="520"/>
      <c r="P139" s="520"/>
      <c r="Q139" s="520"/>
      <c r="R139" s="520"/>
      <c r="S139" s="520"/>
      <c r="T139" s="520"/>
      <c r="U139" s="520"/>
      <c r="V139" s="520"/>
      <c r="W139" s="520"/>
      <c r="X139" s="520"/>
      <c r="Y139" s="520"/>
      <c r="Z139" s="520"/>
      <c r="AA139" s="520"/>
      <c r="AB139" s="520"/>
      <c r="AC139" s="520"/>
      <c r="AD139" s="520"/>
      <c r="AE139" s="520"/>
      <c r="AF139" s="520"/>
      <c r="AG139" s="520"/>
      <c r="AH139" s="520"/>
      <c r="AI139" s="520"/>
      <c r="AJ139" s="520"/>
      <c r="AK139" s="62"/>
      <c r="AL139" s="62"/>
      <c r="AM139" s="62"/>
      <c r="AN139" s="62"/>
    </row>
    <row r="140" spans="1:40" x14ac:dyDescent="0.3">
      <c r="A140" s="499" t="s">
        <v>494</v>
      </c>
      <c r="B140" s="62"/>
      <c r="C140" s="62"/>
      <c r="D140" s="62"/>
      <c r="E140" s="62"/>
      <c r="F140" s="520"/>
      <c r="G140" s="520"/>
      <c r="H140" s="670"/>
      <c r="I140" s="670"/>
      <c r="J140" s="670"/>
      <c r="K140" s="520"/>
      <c r="L140" s="520"/>
      <c r="M140" s="520"/>
      <c r="N140" s="520"/>
      <c r="O140" s="520"/>
      <c r="P140" s="520"/>
      <c r="Q140" s="520"/>
      <c r="R140" s="520"/>
      <c r="S140" s="520"/>
      <c r="T140" s="520"/>
      <c r="U140" s="520"/>
      <c r="V140" s="520"/>
      <c r="W140" s="520"/>
      <c r="X140" s="520"/>
      <c r="Y140" s="520"/>
      <c r="Z140" s="520"/>
      <c r="AA140" s="520"/>
      <c r="AB140" s="520"/>
      <c r="AC140" s="520"/>
      <c r="AD140" s="520"/>
      <c r="AE140" s="520"/>
      <c r="AF140" s="520"/>
      <c r="AG140" s="520"/>
      <c r="AH140" s="520"/>
      <c r="AI140" s="520"/>
      <c r="AJ140" s="520"/>
      <c r="AK140" s="62"/>
      <c r="AL140" s="62"/>
      <c r="AM140" s="62"/>
      <c r="AN140" s="62"/>
    </row>
    <row r="141" spans="1:40" x14ac:dyDescent="0.3">
      <c r="A141" s="498"/>
      <c r="B141" s="62"/>
      <c r="C141" s="62"/>
      <c r="D141" s="62"/>
      <c r="E141" s="62"/>
      <c r="F141" s="520"/>
      <c r="G141" s="520"/>
      <c r="H141" s="670"/>
      <c r="I141" s="670"/>
      <c r="J141" s="670"/>
      <c r="K141" s="520"/>
      <c r="L141" s="520"/>
      <c r="M141" s="520"/>
      <c r="N141" s="520"/>
      <c r="O141" s="520"/>
      <c r="P141" s="520"/>
      <c r="Q141" s="520"/>
      <c r="R141" s="520"/>
      <c r="S141" s="520"/>
      <c r="T141" s="520"/>
      <c r="U141" s="520"/>
      <c r="V141" s="520"/>
      <c r="W141" s="520"/>
      <c r="X141" s="520"/>
      <c r="Y141" s="520"/>
      <c r="Z141" s="520"/>
      <c r="AA141" s="520"/>
      <c r="AB141" s="520"/>
      <c r="AC141" s="520"/>
      <c r="AD141" s="520"/>
      <c r="AE141" s="520"/>
      <c r="AF141" s="520"/>
      <c r="AG141" s="520"/>
      <c r="AH141" s="520"/>
      <c r="AI141" s="520"/>
      <c r="AJ141" s="520"/>
      <c r="AK141" s="62"/>
      <c r="AL141" s="62"/>
      <c r="AM141" s="62"/>
      <c r="AN141" s="62"/>
    </row>
    <row r="142" spans="1:40" x14ac:dyDescent="0.3">
      <c r="A142" s="463" t="s">
        <v>495</v>
      </c>
      <c r="B142" s="62"/>
      <c r="C142" s="62"/>
      <c r="D142" s="62"/>
      <c r="E142" s="62"/>
      <c r="F142" s="523">
        <f>F98+F117+F132+F140</f>
        <v>0</v>
      </c>
      <c r="G142" s="523"/>
      <c r="H142" s="673"/>
      <c r="I142" s="673"/>
      <c r="J142" s="673"/>
      <c r="K142" s="523"/>
      <c r="L142" s="523"/>
      <c r="M142" s="523"/>
      <c r="N142" s="523">
        <f>N98+N117+N132+N140</f>
        <v>0</v>
      </c>
      <c r="O142" s="523">
        <f>O98+O117+O132+O140</f>
        <v>0</v>
      </c>
      <c r="P142" s="520"/>
      <c r="Q142" s="520"/>
      <c r="R142" s="520"/>
      <c r="S142" s="520"/>
      <c r="T142" s="520"/>
      <c r="U142" s="520"/>
      <c r="V142" s="520"/>
      <c r="W142" s="520"/>
      <c r="X142" s="520"/>
      <c r="Y142" s="520"/>
      <c r="Z142" s="520"/>
      <c r="AA142" s="520"/>
      <c r="AB142" s="520"/>
      <c r="AC142" s="520"/>
      <c r="AD142" s="520"/>
      <c r="AE142" s="520"/>
      <c r="AF142" s="520"/>
      <c r="AG142" s="520"/>
      <c r="AH142" s="520"/>
      <c r="AI142" s="520"/>
      <c r="AJ142" s="520"/>
      <c r="AK142" s="62"/>
      <c r="AL142" s="62"/>
      <c r="AM142" s="62"/>
      <c r="AN142" s="62"/>
    </row>
    <row r="143" spans="1:40" x14ac:dyDescent="0.3">
      <c r="A143" s="62"/>
      <c r="B143" s="62"/>
      <c r="C143" s="62"/>
      <c r="D143" s="62"/>
      <c r="E143" s="62"/>
      <c r="F143" s="531"/>
      <c r="G143" s="531"/>
      <c r="H143" s="675"/>
      <c r="I143" s="675"/>
      <c r="J143" s="675"/>
      <c r="K143" s="531"/>
      <c r="L143" s="531"/>
      <c r="M143" s="531"/>
      <c r="N143" s="531"/>
      <c r="O143" s="532"/>
      <c r="P143" s="520"/>
      <c r="Q143" s="520"/>
      <c r="R143" s="520"/>
      <c r="S143" s="520"/>
      <c r="T143" s="520"/>
      <c r="U143" s="520"/>
      <c r="V143" s="520"/>
      <c r="W143" s="520"/>
      <c r="X143" s="520"/>
      <c r="Y143" s="520"/>
      <c r="Z143" s="520"/>
      <c r="AA143" s="520"/>
      <c r="AB143" s="520"/>
      <c r="AC143" s="520"/>
      <c r="AD143" s="520"/>
      <c r="AE143" s="520"/>
      <c r="AF143" s="520"/>
      <c r="AG143" s="520"/>
      <c r="AH143" s="520"/>
      <c r="AI143" s="520"/>
      <c r="AJ143" s="520"/>
      <c r="AK143" s="62"/>
      <c r="AL143" s="62"/>
      <c r="AM143" s="62"/>
      <c r="AN143" s="62"/>
    </row>
    <row r="144" spans="1:40" x14ac:dyDescent="0.3">
      <c r="A144" s="499" t="s">
        <v>502</v>
      </c>
      <c r="B144" s="62"/>
      <c r="C144" s="62"/>
      <c r="D144" s="62"/>
      <c r="E144" s="62"/>
      <c r="F144" s="520"/>
      <c r="G144" s="520"/>
      <c r="H144" s="670"/>
      <c r="I144" s="670"/>
      <c r="J144" s="670"/>
      <c r="K144" s="520"/>
      <c r="L144" s="520"/>
      <c r="M144" s="520"/>
      <c r="N144" s="520"/>
      <c r="O144" s="520"/>
      <c r="P144" s="520"/>
      <c r="Q144" s="520"/>
      <c r="R144" s="520"/>
      <c r="S144" s="520"/>
      <c r="T144" s="520"/>
      <c r="U144" s="520"/>
      <c r="V144" s="520"/>
      <c r="W144" s="520"/>
      <c r="X144" s="520"/>
      <c r="Y144" s="520"/>
      <c r="Z144" s="520"/>
      <c r="AA144" s="520"/>
      <c r="AB144" s="520"/>
      <c r="AC144" s="520"/>
      <c r="AD144" s="520"/>
      <c r="AE144" s="520"/>
      <c r="AF144" s="520"/>
      <c r="AG144" s="520"/>
      <c r="AH144" s="520"/>
      <c r="AI144" s="520"/>
      <c r="AJ144" s="520"/>
      <c r="AK144" s="62"/>
      <c r="AL144" s="62"/>
      <c r="AM144" s="62"/>
      <c r="AN144" s="62"/>
    </row>
    <row r="145" spans="1:40" x14ac:dyDescent="0.3">
      <c r="A145" s="62"/>
      <c r="B145" s="62"/>
      <c r="C145" s="62"/>
      <c r="D145" s="62"/>
      <c r="E145" s="62"/>
      <c r="F145" s="520"/>
      <c r="G145" s="520"/>
      <c r="H145" s="670"/>
      <c r="I145" s="670"/>
      <c r="J145" s="670"/>
      <c r="K145" s="520"/>
      <c r="L145" s="520"/>
      <c r="M145" s="520"/>
      <c r="N145" s="520"/>
      <c r="O145" s="520"/>
      <c r="P145" s="520"/>
      <c r="Q145" s="520"/>
      <c r="R145" s="520"/>
      <c r="S145" s="520"/>
      <c r="T145" s="520"/>
      <c r="U145" s="520"/>
      <c r="V145" s="520"/>
      <c r="W145" s="520"/>
      <c r="X145" s="520"/>
      <c r="Y145" s="520"/>
      <c r="Z145" s="520"/>
      <c r="AA145" s="520"/>
      <c r="AB145" s="520"/>
      <c r="AC145" s="520"/>
      <c r="AD145" s="520"/>
      <c r="AE145" s="520"/>
      <c r="AF145" s="520"/>
      <c r="AG145" s="520"/>
      <c r="AH145" s="520"/>
      <c r="AI145" s="520"/>
      <c r="AJ145" s="520"/>
      <c r="AK145" s="62"/>
      <c r="AL145" s="62"/>
      <c r="AM145" s="62"/>
      <c r="AN145" s="62"/>
    </row>
    <row r="146" spans="1:40" x14ac:dyDescent="0.3">
      <c r="A146" s="62"/>
      <c r="B146" s="62" t="s">
        <v>503</v>
      </c>
      <c r="C146" s="62"/>
      <c r="D146" s="62"/>
      <c r="E146" s="62"/>
      <c r="F146" s="521">
        <f>SUM(G146:K146)</f>
        <v>1</v>
      </c>
      <c r="G146" s="521">
        <v>1</v>
      </c>
      <c r="H146" s="671"/>
      <c r="I146" s="671"/>
      <c r="J146" s="671"/>
      <c r="K146" s="521">
        <v>0</v>
      </c>
      <c r="L146" s="523"/>
      <c r="M146" s="523"/>
      <c r="N146" s="523"/>
      <c r="O146" s="523"/>
      <c r="P146" s="520"/>
      <c r="Q146" s="520"/>
      <c r="R146" s="520"/>
      <c r="S146" s="520"/>
      <c r="T146" s="520"/>
      <c r="U146" s="520"/>
      <c r="V146" s="520"/>
      <c r="W146" s="520"/>
      <c r="X146" s="520"/>
      <c r="Y146" s="520"/>
      <c r="Z146" s="520"/>
      <c r="AA146" s="520"/>
      <c r="AB146" s="520"/>
      <c r="AC146" s="520"/>
      <c r="AD146" s="520"/>
      <c r="AE146" s="520"/>
      <c r="AF146" s="520"/>
      <c r="AG146" s="520"/>
      <c r="AH146" s="520"/>
      <c r="AI146" s="520"/>
      <c r="AJ146" s="520"/>
      <c r="AK146" s="62"/>
      <c r="AL146" s="62"/>
      <c r="AM146" s="62"/>
      <c r="AN146" s="62"/>
    </row>
    <row r="147" spans="1:40" x14ac:dyDescent="0.3">
      <c r="A147" s="62"/>
      <c r="B147" s="62" t="s">
        <v>504</v>
      </c>
      <c r="C147" s="62"/>
      <c r="D147" s="62"/>
      <c r="E147" s="62"/>
      <c r="F147" s="528">
        <f>SUM(G147:L147)</f>
        <v>0.01</v>
      </c>
      <c r="G147" s="468">
        <v>0.01</v>
      </c>
      <c r="H147" s="669"/>
      <c r="I147" s="669"/>
      <c r="J147" s="669"/>
      <c r="K147" s="468"/>
      <c r="L147" s="468">
        <v>0</v>
      </c>
      <c r="M147" s="468"/>
      <c r="N147" s="526">
        <v>1</v>
      </c>
      <c r="O147" s="172">
        <f>SUM(P147:Y147)</f>
        <v>0.01</v>
      </c>
      <c r="P147" s="468">
        <v>0.01</v>
      </c>
      <c r="Q147" s="468">
        <v>0</v>
      </c>
      <c r="R147" s="468">
        <v>0</v>
      </c>
      <c r="S147" s="468">
        <v>0</v>
      </c>
      <c r="T147" s="468">
        <v>0</v>
      </c>
      <c r="U147" s="468">
        <v>0</v>
      </c>
      <c r="V147" s="468">
        <v>0</v>
      </c>
      <c r="W147" s="468">
        <v>0</v>
      </c>
      <c r="X147" s="468">
        <v>0</v>
      </c>
      <c r="Y147" s="468">
        <v>0</v>
      </c>
      <c r="Z147" s="527">
        <f>SUM(AA147:AB147)</f>
        <v>0.02</v>
      </c>
      <c r="AA147" s="468">
        <v>0.01</v>
      </c>
      <c r="AB147" s="468">
        <v>0.01</v>
      </c>
      <c r="AC147" s="526">
        <v>1</v>
      </c>
      <c r="AD147" s="526"/>
      <c r="AE147" s="526"/>
      <c r="AF147" s="526"/>
      <c r="AG147" s="526"/>
      <c r="AH147" s="526"/>
      <c r="AI147" s="526"/>
      <c r="AJ147" s="526"/>
      <c r="AK147" s="62"/>
      <c r="AL147" s="62"/>
      <c r="AM147" s="62"/>
      <c r="AN147" s="62"/>
    </row>
    <row r="148" spans="1:40" x14ac:dyDescent="0.3">
      <c r="A148" s="62"/>
      <c r="B148" s="62"/>
      <c r="C148" s="62"/>
      <c r="D148" s="62"/>
      <c r="E148" s="62"/>
      <c r="F148" s="520"/>
      <c r="G148" s="520"/>
      <c r="H148" s="670"/>
      <c r="I148" s="670"/>
      <c r="J148" s="670"/>
      <c r="K148" s="520"/>
      <c r="L148" s="520"/>
      <c r="M148" s="520"/>
      <c r="N148" s="520"/>
      <c r="O148" s="520"/>
      <c r="P148" s="520"/>
      <c r="Q148" s="520"/>
      <c r="R148" s="520"/>
      <c r="S148" s="520"/>
      <c r="T148" s="520"/>
      <c r="U148" s="520"/>
      <c r="V148" s="520"/>
      <c r="W148" s="520"/>
      <c r="X148" s="520"/>
      <c r="Y148" s="520"/>
      <c r="Z148" s="520"/>
      <c r="AA148" s="520"/>
      <c r="AB148" s="520"/>
      <c r="AC148" s="520"/>
      <c r="AD148" s="520"/>
      <c r="AE148" s="520"/>
      <c r="AF148" s="520"/>
      <c r="AG148" s="520"/>
      <c r="AH148" s="520"/>
      <c r="AI148" s="520"/>
      <c r="AJ148" s="520"/>
      <c r="AK148" s="62"/>
      <c r="AL148" s="62"/>
      <c r="AM148" s="62"/>
      <c r="AN148" s="62"/>
    </row>
    <row r="149" spans="1:40" x14ac:dyDescent="0.3">
      <c r="A149" s="62"/>
      <c r="B149" s="463" t="s">
        <v>505</v>
      </c>
      <c r="C149" s="463"/>
      <c r="D149" s="463"/>
      <c r="E149" s="463"/>
      <c r="F149" s="520"/>
      <c r="G149" s="520"/>
      <c r="H149" s="670"/>
      <c r="I149" s="670"/>
      <c r="J149" s="670"/>
      <c r="K149" s="520"/>
      <c r="L149" s="520"/>
      <c r="M149" s="520"/>
      <c r="N149" s="520"/>
      <c r="O149" s="520"/>
      <c r="P149" s="520"/>
      <c r="Q149" s="520"/>
      <c r="R149" s="520"/>
      <c r="S149" s="520"/>
      <c r="T149" s="520"/>
      <c r="U149" s="520"/>
      <c r="V149" s="520"/>
      <c r="W149" s="520"/>
      <c r="X149" s="520"/>
      <c r="Y149" s="520"/>
      <c r="Z149" s="520"/>
      <c r="AA149" s="520"/>
      <c r="AB149" s="520"/>
      <c r="AC149" s="520"/>
      <c r="AD149" s="520"/>
      <c r="AE149" s="520"/>
      <c r="AF149" s="520"/>
      <c r="AG149" s="520"/>
      <c r="AH149" s="520"/>
      <c r="AI149" s="520"/>
      <c r="AJ149" s="520"/>
      <c r="AK149" s="62"/>
      <c r="AL149" s="62"/>
      <c r="AM149" s="62"/>
      <c r="AN149" s="62"/>
    </row>
    <row r="150" spans="1:40" x14ac:dyDescent="0.3">
      <c r="A150" s="62"/>
      <c r="B150" s="62" t="s">
        <v>506</v>
      </c>
      <c r="C150" s="62"/>
      <c r="D150" s="62"/>
      <c r="E150" s="62"/>
      <c r="F150" s="671"/>
      <c r="G150" s="671"/>
      <c r="H150" s="669"/>
      <c r="I150" s="671"/>
      <c r="J150" s="671"/>
      <c r="K150" s="671"/>
      <c r="L150" s="673"/>
      <c r="M150" s="673"/>
      <c r="N150" s="673"/>
      <c r="O150" s="673"/>
      <c r="P150" s="670"/>
      <c r="Q150" s="670"/>
      <c r="R150" s="670"/>
      <c r="S150" s="670"/>
      <c r="T150" s="670"/>
      <c r="U150" s="670"/>
      <c r="V150" s="670"/>
      <c r="W150" s="670"/>
      <c r="X150" s="670"/>
      <c r="Y150" s="670"/>
      <c r="Z150" s="670"/>
      <c r="AA150" s="670"/>
      <c r="AB150" s="670"/>
      <c r="AC150" s="670"/>
      <c r="AD150" s="670"/>
      <c r="AE150" s="670"/>
      <c r="AF150" s="670"/>
      <c r="AG150" s="670"/>
      <c r="AH150" s="670"/>
      <c r="AI150" s="670"/>
      <c r="AJ150" s="670"/>
      <c r="AK150" s="62"/>
      <c r="AL150" s="62"/>
      <c r="AM150" s="62"/>
      <c r="AN150" s="62"/>
    </row>
    <row r="151" spans="1:40" x14ac:dyDescent="0.3">
      <c r="A151" s="62"/>
      <c r="B151" s="62" t="s">
        <v>507</v>
      </c>
      <c r="C151" s="62"/>
      <c r="D151" s="62" t="s">
        <v>1242</v>
      </c>
      <c r="E151" s="62" t="s">
        <v>1095</v>
      </c>
      <c r="F151" s="669"/>
      <c r="G151" s="669"/>
      <c r="H151" s="669"/>
      <c r="I151" s="669"/>
      <c r="J151" s="669"/>
      <c r="K151" s="669"/>
      <c r="L151" s="669"/>
      <c r="M151" s="669"/>
      <c r="N151" s="691"/>
      <c r="O151" s="692"/>
      <c r="P151" s="669"/>
      <c r="Q151" s="669"/>
      <c r="R151" s="669"/>
      <c r="S151" s="669"/>
      <c r="T151" s="669"/>
      <c r="U151" s="669"/>
      <c r="V151" s="669"/>
      <c r="W151" s="669"/>
      <c r="X151" s="669"/>
      <c r="Y151" s="669"/>
      <c r="Z151" s="693"/>
      <c r="AA151" s="669"/>
      <c r="AB151" s="669"/>
      <c r="AC151" s="691"/>
      <c r="AD151" s="691"/>
      <c r="AE151" s="691"/>
      <c r="AF151" s="691"/>
      <c r="AG151" s="691"/>
      <c r="AH151" s="692"/>
      <c r="AI151" s="669"/>
      <c r="AJ151" s="669"/>
      <c r="AK151" s="62"/>
      <c r="AL151" s="62"/>
      <c r="AM151" s="62"/>
      <c r="AN151" s="62"/>
    </row>
    <row r="152" spans="1:40" x14ac:dyDescent="0.3">
      <c r="A152" s="62"/>
      <c r="B152" s="62" t="s">
        <v>508</v>
      </c>
      <c r="C152" s="62"/>
      <c r="D152" s="62"/>
      <c r="E152" s="62"/>
      <c r="F152" s="688"/>
      <c r="G152" s="688"/>
      <c r="H152" s="689"/>
      <c r="I152" s="688"/>
      <c r="J152" s="688"/>
      <c r="K152" s="688"/>
      <c r="L152" s="688"/>
      <c r="M152" s="688"/>
      <c r="N152" s="688"/>
      <c r="O152" s="688"/>
      <c r="P152" s="690"/>
      <c r="Q152" s="690"/>
      <c r="R152" s="690"/>
      <c r="S152" s="690"/>
      <c r="T152" s="690"/>
      <c r="U152" s="690"/>
      <c r="V152" s="690"/>
      <c r="W152" s="690"/>
      <c r="X152" s="690"/>
      <c r="Y152" s="690"/>
      <c r="Z152" s="690"/>
      <c r="AA152" s="690"/>
      <c r="AB152" s="690"/>
      <c r="AC152" s="690"/>
      <c r="AD152" s="690"/>
      <c r="AE152" s="690"/>
      <c r="AF152" s="690"/>
      <c r="AG152" s="690"/>
      <c r="AH152" s="690"/>
      <c r="AI152" s="690"/>
      <c r="AJ152" s="690"/>
      <c r="AK152" s="62"/>
      <c r="AL152" s="62"/>
      <c r="AM152" s="62"/>
      <c r="AN152" s="62"/>
    </row>
    <row r="153" spans="1:40" x14ac:dyDescent="0.3">
      <c r="A153" s="62"/>
      <c r="B153" s="62"/>
      <c r="C153" s="62"/>
      <c r="D153" s="62"/>
      <c r="E153" s="62"/>
      <c r="F153" s="523"/>
      <c r="G153" s="523"/>
      <c r="H153" s="673"/>
      <c r="I153" s="673"/>
      <c r="J153" s="673"/>
      <c r="K153" s="523"/>
      <c r="L153" s="523"/>
      <c r="M153" s="523"/>
      <c r="N153" s="523"/>
      <c r="O153" s="523"/>
      <c r="P153" s="520"/>
      <c r="Q153" s="520"/>
      <c r="R153" s="520"/>
      <c r="S153" s="520"/>
      <c r="T153" s="520"/>
      <c r="U153" s="520"/>
      <c r="V153" s="520"/>
      <c r="W153" s="520"/>
      <c r="X153" s="520"/>
      <c r="Y153" s="520"/>
      <c r="Z153" s="520"/>
      <c r="AA153" s="520"/>
      <c r="AB153" s="520"/>
      <c r="AC153" s="520"/>
      <c r="AD153" s="520"/>
      <c r="AE153" s="520"/>
      <c r="AF153" s="520"/>
      <c r="AG153" s="520"/>
      <c r="AH153" s="520"/>
      <c r="AI153" s="520"/>
      <c r="AJ153" s="520"/>
      <c r="AK153" s="62"/>
      <c r="AL153" s="62"/>
      <c r="AM153" s="62"/>
      <c r="AN153" s="62"/>
    </row>
    <row r="154" spans="1:40" x14ac:dyDescent="0.3">
      <c r="A154" s="62"/>
      <c r="B154" s="62" t="s">
        <v>509</v>
      </c>
      <c r="C154" s="62"/>
      <c r="D154" s="62" t="s">
        <v>1242</v>
      </c>
      <c r="E154" s="62" t="s">
        <v>1095</v>
      </c>
      <c r="F154" s="468">
        <f>+G154+K154+L154+M154</f>
        <v>66192416.159999996</v>
      </c>
      <c r="G154" s="468">
        <f>'7b. LX_AG-sf'!E$241</f>
        <v>43515962.003324836</v>
      </c>
      <c r="H154" s="669"/>
      <c r="I154" s="669"/>
      <c r="J154" s="669"/>
      <c r="K154" s="468">
        <f>'7b. LX_AG-sf'!I$241</f>
        <v>22676454.15667516</v>
      </c>
      <c r="L154" s="468">
        <f>'7b. LX_AG-sf'!J$241</f>
        <v>0</v>
      </c>
      <c r="M154" s="468"/>
      <c r="N154" s="526">
        <v>1</v>
      </c>
      <c r="O154" s="172">
        <f>SUM(P154:Y154)</f>
        <v>51544435.908528537</v>
      </c>
      <c r="P154" s="468">
        <f>'7b. LX_AG-sf'!N$241</f>
        <v>16188678.588415425</v>
      </c>
      <c r="Q154" s="468">
        <f>'7b. LX_AG-sf'!O$241</f>
        <v>14742342.935831249</v>
      </c>
      <c r="R154" s="468">
        <f>'7b. LX_AG-sf'!P$241</f>
        <v>4057801.875254239</v>
      </c>
      <c r="S154" s="468">
        <f>'7b. LX_AG-sf'!Q$241</f>
        <v>794748.9146647033</v>
      </c>
      <c r="T154" s="468">
        <f>'7b. LX_AG-sf'!R$241</f>
        <v>10477592.271150392</v>
      </c>
      <c r="U154" s="468">
        <f>'7b. LX_AG-sf'!S$241</f>
        <v>2788537.9736045781</v>
      </c>
      <c r="V154" s="468">
        <f>'7b. LX_AG-sf'!T$241</f>
        <v>868778.21527854819</v>
      </c>
      <c r="W154" s="468">
        <f>'7b. LX_AG-sf'!U$241</f>
        <v>0</v>
      </c>
      <c r="X154" s="468">
        <f>'7b. LX_AG-sf'!V$241</f>
        <v>1463901.2818474146</v>
      </c>
      <c r="Y154" s="468">
        <f>'7b. LX_AG-sf'!W$241</f>
        <v>162053.85248199227</v>
      </c>
      <c r="Z154" s="527">
        <f>SUM(AA154:AB154)</f>
        <v>11382286.798041336</v>
      </c>
      <c r="AA154" s="468">
        <f>'7b. LX_AG-sf'!Y$241</f>
        <v>5533146.4714714596</v>
      </c>
      <c r="AB154" s="468">
        <f>'7b. LX_AG-sf'!Z$241</f>
        <v>5849140.3265698766</v>
      </c>
      <c r="AC154" s="526">
        <v>1</v>
      </c>
      <c r="AD154" s="526"/>
      <c r="AE154" s="526"/>
      <c r="AF154" s="526"/>
      <c r="AG154" s="526"/>
      <c r="AH154" s="172">
        <f>SUM(AI154:AI154)</f>
        <v>2203529.67</v>
      </c>
      <c r="AI154" s="468">
        <f>'7b. LX_AG-sf'!AG$241</f>
        <v>2203529.67</v>
      </c>
      <c r="AJ154" s="526"/>
      <c r="AK154" s="62"/>
      <c r="AL154" s="62"/>
      <c r="AM154" s="62"/>
      <c r="AN154" s="62"/>
    </row>
    <row r="155" spans="1:40" x14ac:dyDescent="0.3">
      <c r="A155" s="62"/>
      <c r="B155" s="62"/>
      <c r="C155" s="62"/>
      <c r="D155" s="62"/>
      <c r="E155" s="62"/>
      <c r="F155" s="523"/>
      <c r="G155" s="523"/>
      <c r="H155" s="673"/>
      <c r="I155" s="673"/>
      <c r="J155" s="673"/>
      <c r="K155" s="523"/>
      <c r="L155" s="523"/>
      <c r="M155" s="523"/>
      <c r="N155" s="523"/>
      <c r="O155" s="520"/>
      <c r="P155" s="520"/>
      <c r="Q155" s="520"/>
      <c r="R155" s="520"/>
      <c r="S155" s="520"/>
      <c r="T155" s="520"/>
      <c r="U155" s="520"/>
      <c r="V155" s="520"/>
      <c r="W155" s="520"/>
      <c r="X155" s="520"/>
      <c r="Y155" s="520"/>
      <c r="Z155" s="520"/>
      <c r="AA155" s="520"/>
      <c r="AB155" s="520"/>
      <c r="AC155" s="520"/>
      <c r="AD155" s="520"/>
      <c r="AE155" s="520"/>
      <c r="AF155" s="520"/>
      <c r="AG155" s="520"/>
      <c r="AH155" s="520"/>
      <c r="AI155" s="520"/>
      <c r="AJ155" s="520"/>
      <c r="AK155" s="62"/>
      <c r="AL155" s="62"/>
      <c r="AM155" s="62"/>
      <c r="AN155" s="62"/>
    </row>
    <row r="156" spans="1:40" x14ac:dyDescent="0.3">
      <c r="A156" s="62"/>
      <c r="B156" s="62" t="s">
        <v>510</v>
      </c>
      <c r="C156" s="62"/>
      <c r="D156" s="62"/>
      <c r="E156" s="62"/>
      <c r="F156" s="468">
        <f>+G156+K156+L156+M156</f>
        <v>3509750538.4622955</v>
      </c>
      <c r="G156" s="468">
        <f>+'2b. RB-sf'!E142</f>
        <v>3430679145.0743985</v>
      </c>
      <c r="H156" s="669"/>
      <c r="I156" s="669"/>
      <c r="J156" s="669"/>
      <c r="K156" s="468">
        <f>+'2b. RB-sf'!I142</f>
        <v>79071393.387896895</v>
      </c>
      <c r="L156" s="468">
        <f>+'2b. RB-sf'!J142</f>
        <v>0</v>
      </c>
      <c r="M156" s="468"/>
      <c r="N156" s="526">
        <v>1</v>
      </c>
      <c r="O156" s="172">
        <f>SUM(P156:Y156)</f>
        <v>2238093162.2363415</v>
      </c>
      <c r="P156" s="468">
        <f>+'2b. RB-sf'!N142</f>
        <v>378396336.94476551</v>
      </c>
      <c r="Q156" s="468">
        <f>+'2b. RB-sf'!O142</f>
        <v>634524990.24899721</v>
      </c>
      <c r="R156" s="468">
        <f>+'2b. RB-sf'!P142</f>
        <v>169681427.5601795</v>
      </c>
      <c r="S156" s="468">
        <f>+'2b. RB-sf'!Q142</f>
        <v>178295302.34677774</v>
      </c>
      <c r="T156" s="468">
        <f>+'2b. RB-sf'!R142</f>
        <v>352514001.87719792</v>
      </c>
      <c r="U156" s="468">
        <f>+'2b. RB-sf'!S142</f>
        <v>87221162.448025957</v>
      </c>
      <c r="V156" s="468">
        <f>+'2b. RB-sf'!T142</f>
        <v>194903159.61077228</v>
      </c>
      <c r="W156" s="468">
        <f>+'2b. RB-sf'!U142</f>
        <v>130630099.47089377</v>
      </c>
      <c r="X156" s="468">
        <f>+'2b. RB-sf'!V142</f>
        <v>111605223.88534749</v>
      </c>
      <c r="Y156" s="468">
        <f>+'2b. RB-sf'!W142</f>
        <v>321457.84338360757</v>
      </c>
      <c r="Z156" s="527">
        <f>SUM(AA156:AB156)</f>
        <v>170138080.66719595</v>
      </c>
      <c r="AA156" s="468">
        <f>+'2b. RB-sf'!Y142</f>
        <v>158535443.60408646</v>
      </c>
      <c r="AB156" s="468">
        <f>+'2b. RB-sf'!Z142</f>
        <v>11602637.063109498</v>
      </c>
      <c r="AC156" s="526">
        <v>1</v>
      </c>
      <c r="AD156" s="533">
        <f>SUM(AE156:AG156)</f>
        <v>39046455.428348757</v>
      </c>
      <c r="AE156" s="468">
        <f>+'2b. RB-sf'!AC142</f>
        <v>35431144.438197859</v>
      </c>
      <c r="AF156" s="468">
        <f>+'2b. RB-sf'!AD142</f>
        <v>3615310.9901508992</v>
      </c>
      <c r="AG156" s="468">
        <f>+'2b. RB-sf'!AE142</f>
        <v>0</v>
      </c>
      <c r="AH156" s="533">
        <f>SUM(AI156:AI156)</f>
        <v>5541358.3705311799</v>
      </c>
      <c r="AI156" s="533">
        <f>+'2b. RB-sf'!AG142</f>
        <v>5541358.3705311799</v>
      </c>
      <c r="AJ156" s="534">
        <f>+'2b. RB-sf'!AH142</f>
        <v>0</v>
      </c>
      <c r="AK156" s="62"/>
      <c r="AL156" s="62"/>
      <c r="AM156" s="62"/>
      <c r="AN156" s="62"/>
    </row>
    <row r="157" spans="1:40" x14ac:dyDescent="0.3">
      <c r="A157" s="62"/>
      <c r="B157" s="62"/>
      <c r="C157" s="62"/>
      <c r="D157" s="62"/>
      <c r="E157" s="62"/>
      <c r="F157" s="520"/>
      <c r="G157" s="520"/>
      <c r="H157" s="670"/>
      <c r="I157" s="670"/>
      <c r="J157" s="670"/>
      <c r="K157" s="520"/>
      <c r="L157" s="520"/>
      <c r="M157" s="520"/>
      <c r="N157" s="520"/>
      <c r="O157" s="530"/>
      <c r="P157" s="520"/>
      <c r="Q157" s="520"/>
      <c r="R157" s="520"/>
      <c r="S157" s="520"/>
      <c r="T157" s="520"/>
      <c r="U157" s="520"/>
      <c r="V157" s="520"/>
      <c r="W157" s="520"/>
      <c r="X157" s="520"/>
      <c r="Y157" s="520"/>
      <c r="Z157" s="520"/>
      <c r="AA157" s="520"/>
      <c r="AB157" s="520"/>
      <c r="AC157" s="520"/>
      <c r="AD157" s="520"/>
      <c r="AE157" s="520"/>
      <c r="AF157" s="520"/>
      <c r="AG157" s="520"/>
      <c r="AH157" s="520"/>
      <c r="AI157" s="520"/>
      <c r="AJ157" s="520"/>
      <c r="AK157" s="62"/>
      <c r="AL157" s="62"/>
      <c r="AM157" s="62"/>
      <c r="AN157" s="62"/>
    </row>
    <row r="158" spans="1:40" x14ac:dyDescent="0.3">
      <c r="A158" s="498" t="s">
        <v>511</v>
      </c>
      <c r="B158" s="62"/>
      <c r="C158" s="62"/>
      <c r="D158" s="62"/>
      <c r="E158" s="62"/>
      <c r="F158" s="520"/>
      <c r="G158" s="520"/>
      <c r="H158" s="670"/>
      <c r="I158" s="670"/>
      <c r="J158" s="670"/>
      <c r="K158" s="520"/>
      <c r="L158" s="520"/>
      <c r="M158" s="520"/>
      <c r="N158" s="520"/>
      <c r="O158" s="520"/>
      <c r="P158" s="520"/>
      <c r="Q158" s="520"/>
      <c r="R158" s="520"/>
      <c r="S158" s="520"/>
      <c r="T158" s="520"/>
      <c r="U158" s="520"/>
      <c r="V158" s="520"/>
      <c r="W158" s="520"/>
      <c r="X158" s="520"/>
      <c r="Y158" s="520"/>
      <c r="Z158" s="520"/>
      <c r="AA158" s="520"/>
      <c r="AB158" s="520"/>
      <c r="AC158" s="520"/>
      <c r="AD158" s="520"/>
      <c r="AE158" s="520"/>
      <c r="AF158" s="520"/>
      <c r="AG158" s="520"/>
      <c r="AH158" s="520"/>
      <c r="AI158" s="520"/>
      <c r="AJ158" s="520"/>
      <c r="AK158" s="62"/>
      <c r="AL158" s="62"/>
      <c r="AM158" s="62"/>
      <c r="AN158" s="62"/>
    </row>
    <row r="159" spans="1:40" x14ac:dyDescent="0.3">
      <c r="A159" s="62" t="s">
        <v>512</v>
      </c>
      <c r="B159" s="498" t="s">
        <v>513</v>
      </c>
      <c r="C159" s="498"/>
      <c r="D159" s="498"/>
      <c r="E159" s="498"/>
      <c r="F159" s="520"/>
      <c r="G159" s="520"/>
      <c r="H159" s="670"/>
      <c r="I159" s="670"/>
      <c r="J159" s="670"/>
      <c r="K159" s="520"/>
      <c r="L159" s="520"/>
      <c r="M159" s="520"/>
      <c r="N159" s="520"/>
      <c r="O159" s="520"/>
      <c r="P159" s="520"/>
      <c r="Q159" s="520"/>
      <c r="R159" s="520"/>
      <c r="S159" s="520"/>
      <c r="T159" s="520"/>
      <c r="U159" s="520"/>
      <c r="V159" s="520"/>
      <c r="W159" s="520"/>
      <c r="X159" s="520"/>
      <c r="Y159" s="520"/>
      <c r="Z159" s="520"/>
      <c r="AA159" s="520"/>
      <c r="AB159" s="520"/>
      <c r="AC159" s="520"/>
      <c r="AD159" s="520"/>
      <c r="AE159" s="520"/>
      <c r="AF159" s="520"/>
      <c r="AG159" s="520"/>
      <c r="AH159" s="520"/>
      <c r="AI159" s="520"/>
      <c r="AJ159" s="520"/>
      <c r="AK159" s="62"/>
      <c r="AL159" s="62"/>
      <c r="AM159" s="62"/>
      <c r="AN159" s="62"/>
    </row>
    <row r="160" spans="1:40" x14ac:dyDescent="0.3">
      <c r="A160" s="62" t="s">
        <v>514</v>
      </c>
      <c r="B160" s="498" t="s">
        <v>515</v>
      </c>
      <c r="C160" s="498"/>
      <c r="D160" s="498"/>
      <c r="E160" s="498"/>
      <c r="F160" s="520"/>
      <c r="G160" s="520"/>
      <c r="H160" s="670"/>
      <c r="I160" s="670"/>
      <c r="J160" s="670"/>
      <c r="K160" s="520"/>
      <c r="L160" s="520"/>
      <c r="M160" s="520"/>
      <c r="N160" s="520"/>
      <c r="O160" s="520"/>
      <c r="P160" s="520"/>
      <c r="Q160" s="520"/>
      <c r="R160" s="520"/>
      <c r="S160" s="520"/>
      <c r="T160" s="520"/>
      <c r="U160" s="520"/>
      <c r="V160" s="520"/>
      <c r="W160" s="520"/>
      <c r="X160" s="520"/>
      <c r="Y160" s="520"/>
      <c r="Z160" s="520"/>
      <c r="AA160" s="520"/>
      <c r="AB160" s="520"/>
      <c r="AC160" s="520"/>
      <c r="AD160" s="520"/>
      <c r="AE160" s="520"/>
      <c r="AF160" s="520"/>
      <c r="AG160" s="520"/>
      <c r="AH160" s="520"/>
      <c r="AI160" s="520"/>
      <c r="AJ160" s="520"/>
      <c r="AK160" s="62"/>
      <c r="AL160" s="62"/>
      <c r="AM160" s="62"/>
      <c r="AN160" s="62"/>
    </row>
    <row r="161" spans="1:40" x14ac:dyDescent="0.3">
      <c r="A161" s="62" t="s">
        <v>516</v>
      </c>
      <c r="B161" s="498" t="s">
        <v>517</v>
      </c>
      <c r="C161" s="498"/>
      <c r="D161" s="498"/>
      <c r="E161" s="498"/>
      <c r="F161" s="520"/>
      <c r="G161" s="520"/>
      <c r="H161" s="670"/>
      <c r="I161" s="670"/>
      <c r="J161" s="670"/>
      <c r="K161" s="520"/>
      <c r="L161" s="520"/>
      <c r="M161" s="520"/>
      <c r="N161" s="520"/>
      <c r="O161" s="520"/>
      <c r="P161" s="520"/>
      <c r="Q161" s="520"/>
      <c r="R161" s="520"/>
      <c r="S161" s="520"/>
      <c r="T161" s="520"/>
      <c r="U161" s="520"/>
      <c r="V161" s="520"/>
      <c r="W161" s="520"/>
      <c r="X161" s="520"/>
      <c r="Y161" s="520"/>
      <c r="Z161" s="520"/>
      <c r="AA161" s="520"/>
      <c r="AB161" s="520"/>
      <c r="AC161" s="520"/>
      <c r="AD161" s="520"/>
      <c r="AE161" s="520"/>
      <c r="AF161" s="520"/>
      <c r="AG161" s="520"/>
      <c r="AH161" s="520"/>
      <c r="AI161" s="520"/>
      <c r="AJ161" s="520"/>
      <c r="AK161" s="62"/>
      <c r="AL161" s="62"/>
      <c r="AM161" s="62"/>
      <c r="AN161" s="62"/>
    </row>
    <row r="162" spans="1:40" x14ac:dyDescent="0.3">
      <c r="A162" s="62" t="s">
        <v>518</v>
      </c>
      <c r="B162" s="498" t="s">
        <v>519</v>
      </c>
      <c r="C162" s="498"/>
      <c r="D162" s="498"/>
      <c r="E162" s="498"/>
      <c r="F162" s="520"/>
      <c r="G162" s="520"/>
      <c r="H162" s="670"/>
      <c r="I162" s="670"/>
      <c r="J162" s="670"/>
      <c r="K162" s="520"/>
      <c r="L162" s="520"/>
      <c r="M162" s="520"/>
      <c r="N162" s="520"/>
      <c r="O162" s="520"/>
      <c r="P162" s="520"/>
      <c r="Q162" s="520"/>
      <c r="R162" s="520"/>
      <c r="S162" s="520"/>
      <c r="T162" s="520"/>
      <c r="U162" s="520"/>
      <c r="V162" s="520"/>
      <c r="W162" s="520"/>
      <c r="X162" s="520"/>
      <c r="Y162" s="520"/>
      <c r="Z162" s="520"/>
      <c r="AA162" s="520"/>
      <c r="AB162" s="520"/>
      <c r="AC162" s="520"/>
      <c r="AD162" s="520"/>
      <c r="AE162" s="520"/>
      <c r="AF162" s="520"/>
      <c r="AG162" s="520"/>
      <c r="AH162" s="520"/>
      <c r="AI162" s="520"/>
      <c r="AJ162" s="520"/>
      <c r="AK162" s="62"/>
      <c r="AL162" s="62"/>
      <c r="AM162" s="62"/>
      <c r="AN162" s="62"/>
    </row>
    <row r="163" spans="1:40" x14ac:dyDescent="0.3">
      <c r="A163" s="62" t="s">
        <v>520</v>
      </c>
      <c r="B163" s="62" t="s">
        <v>521</v>
      </c>
      <c r="C163" s="62"/>
      <c r="D163" s="62"/>
      <c r="E163" s="62"/>
      <c r="F163" s="520"/>
      <c r="G163" s="520"/>
      <c r="H163" s="670"/>
      <c r="I163" s="670"/>
      <c r="J163" s="670"/>
      <c r="K163" s="520"/>
      <c r="L163" s="520"/>
      <c r="M163" s="520"/>
      <c r="N163" s="520"/>
      <c r="O163" s="520"/>
      <c r="P163" s="520"/>
      <c r="Q163" s="520"/>
      <c r="R163" s="520"/>
      <c r="S163" s="520"/>
      <c r="T163" s="520"/>
      <c r="U163" s="520"/>
      <c r="V163" s="520"/>
      <c r="W163" s="520"/>
      <c r="X163" s="520"/>
      <c r="Y163" s="520"/>
      <c r="Z163" s="520"/>
      <c r="AA163" s="520"/>
      <c r="AB163" s="520"/>
      <c r="AC163" s="520"/>
      <c r="AD163" s="520"/>
      <c r="AE163" s="520"/>
      <c r="AF163" s="520"/>
      <c r="AG163" s="520"/>
      <c r="AH163" s="520"/>
      <c r="AI163" s="520"/>
      <c r="AJ163" s="520"/>
      <c r="AK163" s="62"/>
      <c r="AL163" s="62"/>
      <c r="AM163" s="62"/>
      <c r="AN163" s="62"/>
    </row>
    <row r="164" spans="1:40" x14ac:dyDescent="0.3">
      <c r="A164" s="62" t="s">
        <v>520</v>
      </c>
      <c r="B164" s="62" t="s">
        <v>522</v>
      </c>
      <c r="C164" s="62"/>
      <c r="D164" s="62"/>
      <c r="E164" s="62"/>
      <c r="F164" s="520"/>
      <c r="G164" s="520"/>
      <c r="H164" s="670"/>
      <c r="I164" s="670"/>
      <c r="J164" s="670"/>
      <c r="K164" s="520"/>
      <c r="L164" s="520"/>
      <c r="M164" s="520"/>
      <c r="N164" s="520"/>
      <c r="O164" s="520"/>
      <c r="P164" s="520"/>
      <c r="Q164" s="520"/>
      <c r="R164" s="520"/>
      <c r="S164" s="520"/>
      <c r="T164" s="520"/>
      <c r="U164" s="520"/>
      <c r="V164" s="520"/>
      <c r="W164" s="520"/>
      <c r="X164" s="520"/>
      <c r="Y164" s="520"/>
      <c r="Z164" s="520"/>
      <c r="AA164" s="520"/>
      <c r="AB164" s="520"/>
      <c r="AC164" s="520"/>
      <c r="AD164" s="520"/>
      <c r="AE164" s="520"/>
      <c r="AF164" s="520"/>
      <c r="AG164" s="520"/>
      <c r="AH164" s="520"/>
      <c r="AI164" s="520"/>
      <c r="AJ164" s="520"/>
      <c r="AK164" s="62"/>
      <c r="AL164" s="62"/>
      <c r="AM164" s="62"/>
      <c r="AN164" s="62"/>
    </row>
    <row r="165" spans="1:40" x14ac:dyDescent="0.3">
      <c r="A165" s="62" t="s">
        <v>520</v>
      </c>
      <c r="B165" s="62" t="s">
        <v>523</v>
      </c>
      <c r="C165" s="62"/>
      <c r="D165" s="62"/>
      <c r="E165" s="62"/>
      <c r="F165" s="520"/>
      <c r="G165" s="520"/>
      <c r="H165" s="670"/>
      <c r="I165" s="670"/>
      <c r="J165" s="670"/>
      <c r="K165" s="520"/>
      <c r="L165" s="520"/>
      <c r="M165" s="520"/>
      <c r="N165" s="520"/>
      <c r="O165" s="520"/>
      <c r="P165" s="520"/>
      <c r="Q165" s="520"/>
      <c r="R165" s="520"/>
      <c r="S165" s="520"/>
      <c r="T165" s="520"/>
      <c r="U165" s="520"/>
      <c r="V165" s="520"/>
      <c r="W165" s="520"/>
      <c r="X165" s="520"/>
      <c r="Y165" s="520"/>
      <c r="Z165" s="520"/>
      <c r="AA165" s="520"/>
      <c r="AB165" s="520"/>
      <c r="AC165" s="520"/>
      <c r="AD165" s="520"/>
      <c r="AE165" s="520"/>
      <c r="AF165" s="520"/>
      <c r="AG165" s="520"/>
      <c r="AH165" s="520"/>
      <c r="AI165" s="520"/>
      <c r="AJ165" s="520"/>
      <c r="AK165" s="62"/>
      <c r="AL165" s="62"/>
      <c r="AM165" s="62"/>
      <c r="AN165" s="62"/>
    </row>
    <row r="166" spans="1:40" x14ac:dyDescent="0.3">
      <c r="A166" s="62"/>
      <c r="B166" s="62" t="s">
        <v>524</v>
      </c>
      <c r="C166" s="62"/>
      <c r="D166" s="62"/>
      <c r="E166" s="62"/>
      <c r="F166" s="520"/>
      <c r="G166" s="520"/>
      <c r="H166" s="670"/>
      <c r="I166" s="670"/>
      <c r="J166" s="670"/>
      <c r="K166" s="520"/>
      <c r="L166" s="520"/>
      <c r="M166" s="520"/>
      <c r="N166" s="520"/>
      <c r="O166" s="520"/>
      <c r="P166" s="520"/>
      <c r="Q166" s="520"/>
      <c r="R166" s="520"/>
      <c r="S166" s="520"/>
      <c r="T166" s="520"/>
      <c r="U166" s="520"/>
      <c r="V166" s="520"/>
      <c r="W166" s="520"/>
      <c r="X166" s="520"/>
      <c r="Y166" s="520"/>
      <c r="Z166" s="520"/>
      <c r="AA166" s="520"/>
      <c r="AB166" s="520"/>
      <c r="AC166" s="520"/>
      <c r="AD166" s="520"/>
      <c r="AE166" s="520"/>
      <c r="AF166" s="520"/>
      <c r="AG166" s="520"/>
      <c r="AH166" s="520"/>
      <c r="AI166" s="520"/>
      <c r="AJ166" s="520"/>
      <c r="AK166" s="62"/>
      <c r="AL166" s="62"/>
      <c r="AM166" s="62"/>
      <c r="AN166" s="62"/>
    </row>
    <row r="167" spans="1:40" x14ac:dyDescent="0.3">
      <c r="A167" s="62"/>
      <c r="B167" s="62"/>
      <c r="C167" s="62"/>
      <c r="D167" s="62"/>
      <c r="E167" s="62"/>
      <c r="F167" s="520"/>
      <c r="G167" s="520"/>
      <c r="H167" s="670"/>
      <c r="I167" s="670"/>
      <c r="J167" s="670"/>
      <c r="K167" s="520"/>
      <c r="L167" s="520"/>
      <c r="M167" s="520"/>
      <c r="N167" s="520"/>
      <c r="O167" s="520"/>
      <c r="P167" s="520"/>
      <c r="Q167" s="520"/>
      <c r="R167" s="520"/>
      <c r="S167" s="520"/>
      <c r="T167" s="520"/>
      <c r="U167" s="520"/>
      <c r="V167" s="520"/>
      <c r="W167" s="520"/>
      <c r="X167" s="520"/>
      <c r="Y167" s="520"/>
      <c r="Z167" s="520"/>
      <c r="AA167" s="520"/>
      <c r="AB167" s="520"/>
      <c r="AC167" s="520"/>
      <c r="AD167" s="520"/>
      <c r="AE167" s="520"/>
      <c r="AF167" s="520"/>
      <c r="AG167" s="520"/>
      <c r="AH167" s="520"/>
      <c r="AI167" s="520"/>
      <c r="AJ167" s="520"/>
      <c r="AK167" s="62"/>
      <c r="AL167" s="62"/>
      <c r="AM167" s="62"/>
      <c r="AN167" s="62"/>
    </row>
    <row r="168" spans="1:40" x14ac:dyDescent="0.3">
      <c r="A168" s="463" t="s">
        <v>525</v>
      </c>
      <c r="B168" s="62"/>
      <c r="C168" s="62"/>
      <c r="D168" s="62"/>
      <c r="E168" s="62"/>
      <c r="F168" s="520"/>
      <c r="G168" s="520"/>
      <c r="H168" s="670"/>
      <c r="I168" s="670"/>
      <c r="J168" s="670"/>
      <c r="K168" s="520"/>
      <c r="L168" s="520"/>
      <c r="M168" s="520"/>
      <c r="N168" s="520"/>
      <c r="O168" s="520"/>
      <c r="P168" s="520"/>
      <c r="Q168" s="520"/>
      <c r="R168" s="520"/>
      <c r="S168" s="520"/>
      <c r="T168" s="520"/>
      <c r="U168" s="520"/>
      <c r="V168" s="520"/>
      <c r="W168" s="520"/>
      <c r="X168" s="520"/>
      <c r="Y168" s="520"/>
      <c r="Z168" s="520"/>
      <c r="AA168" s="520"/>
      <c r="AB168" s="520"/>
      <c r="AC168" s="520"/>
      <c r="AD168" s="520"/>
      <c r="AE168" s="520"/>
      <c r="AF168" s="520"/>
      <c r="AG168" s="520"/>
      <c r="AH168" s="520"/>
      <c r="AI168" s="520"/>
      <c r="AJ168" s="520"/>
      <c r="AK168" s="62"/>
      <c r="AL168" s="62"/>
      <c r="AM168" s="62"/>
      <c r="AN168" s="62"/>
    </row>
    <row r="169" spans="1:40" x14ac:dyDescent="0.3">
      <c r="A169" s="62"/>
      <c r="B169" s="62" t="s">
        <v>526</v>
      </c>
      <c r="C169" s="62"/>
      <c r="D169" s="62"/>
      <c r="E169" s="62"/>
      <c r="F169" s="468">
        <f t="shared" ref="F169:F171" si="23">+G169+K169+L169+M169</f>
        <v>32785640.415241189</v>
      </c>
      <c r="G169" s="468">
        <f>'4b. OM less M&amp;S-sf'!E285</f>
        <v>23542237.83355023</v>
      </c>
      <c r="H169" s="669"/>
      <c r="I169" s="669"/>
      <c r="J169" s="669"/>
      <c r="K169" s="468">
        <f>'4b. OM less M&amp;S-sf'!I285</f>
        <v>9243402.5816909615</v>
      </c>
      <c r="L169" s="468">
        <f>'4b. OM less M&amp;S-sf'!J285</f>
        <v>0</v>
      </c>
      <c r="M169" s="468"/>
      <c r="N169" s="526">
        <v>1</v>
      </c>
      <c r="O169" s="172">
        <f>SUM(P169:Y169)</f>
        <v>16757463.14377646</v>
      </c>
      <c r="P169" s="468">
        <f>'4b. OM less M&amp;S-sf'!N285</f>
        <v>4255260.2880872861</v>
      </c>
      <c r="Q169" s="468">
        <f>'4b. OM less M&amp;S-sf'!O285</f>
        <v>5105334.2525551068</v>
      </c>
      <c r="R169" s="468">
        <f>'4b. OM less M&amp;S-sf'!P285</f>
        <v>1403452.6561807778</v>
      </c>
      <c r="S169" s="468">
        <f>'4b. OM less M&amp;S-sf'!Q285</f>
        <v>242453.11980227544</v>
      </c>
      <c r="T169" s="468">
        <f>'4b. OM less M&amp;S-sf'!R285</f>
        <v>3593157.953307454</v>
      </c>
      <c r="U169" s="468">
        <f>'4b. OM less M&amp;S-sf'!S285</f>
        <v>953929.81423456408</v>
      </c>
      <c r="V169" s="468">
        <f>'4b. OM less M&amp;S-sf'!T285</f>
        <v>265037.15176434431</v>
      </c>
      <c r="W169" s="468">
        <f>'4b. OM less M&amp;S-sf'!U285</f>
        <v>9361.2712208332432</v>
      </c>
      <c r="X169" s="468">
        <f>'4b. OM less M&amp;S-sf'!V285</f>
        <v>735854.54541373695</v>
      </c>
      <c r="Y169" s="468">
        <f>'4b. OM less M&amp;S-sf'!W285</f>
        <v>193622.09121008296</v>
      </c>
      <c r="Z169" s="527">
        <f>SUM(AA169:AB169)</f>
        <v>2672385.7505787602</v>
      </c>
      <c r="AA169" s="468">
        <f>'4b. OM less M&amp;S-sf'!Y285</f>
        <v>1458255.3673211006</v>
      </c>
      <c r="AB169" s="468">
        <f>'4b. OM less M&amp;S-sf'!Z285</f>
        <v>1214130.3832576599</v>
      </c>
      <c r="AC169" s="526">
        <v>1</v>
      </c>
      <c r="AD169" s="527">
        <f>SUM(AE169:AG169)</f>
        <v>2476526.9063821766</v>
      </c>
      <c r="AE169" s="468">
        <f>'4b. OM less M&amp;S-sf'!AC285</f>
        <v>2437565.9633668871</v>
      </c>
      <c r="AF169" s="468">
        <f>'4b. OM less M&amp;S-sf'!AD285</f>
        <v>38960.943015289486</v>
      </c>
      <c r="AG169" s="468">
        <f>'4b. OM less M&amp;S-sf'!AE285</f>
        <v>0</v>
      </c>
      <c r="AH169" s="527">
        <f>SUM(AI169:AI169)</f>
        <v>1795445.1547629675</v>
      </c>
      <c r="AI169" s="468">
        <f>'4b. OM less M&amp;S-sf'!AG285</f>
        <v>1795445.1547629675</v>
      </c>
      <c r="AJ169" s="526"/>
      <c r="AK169" s="62"/>
      <c r="AL169" s="62"/>
      <c r="AM169" s="62"/>
      <c r="AN169" s="62"/>
    </row>
    <row r="170" spans="1:40" x14ac:dyDescent="0.3">
      <c r="A170" s="62"/>
      <c r="B170" s="62" t="s">
        <v>527</v>
      </c>
      <c r="C170" s="62"/>
      <c r="D170" s="62"/>
      <c r="E170" s="62" t="s">
        <v>617</v>
      </c>
      <c r="F170" s="526">
        <f t="shared" si="23"/>
        <v>1</v>
      </c>
      <c r="G170" s="468"/>
      <c r="H170" s="669"/>
      <c r="I170" s="669"/>
      <c r="J170" s="669"/>
      <c r="K170" s="468"/>
      <c r="L170" s="526">
        <v>1</v>
      </c>
      <c r="M170" s="468"/>
      <c r="N170" s="526"/>
      <c r="O170" s="172"/>
      <c r="P170" s="468"/>
      <c r="Q170" s="468"/>
      <c r="R170" s="468"/>
      <c r="S170" s="468"/>
      <c r="T170" s="468"/>
      <c r="U170" s="468"/>
      <c r="V170" s="468"/>
      <c r="W170" s="468"/>
      <c r="X170" s="468"/>
      <c r="Y170" s="468"/>
      <c r="Z170" s="527"/>
      <c r="AA170" s="468"/>
      <c r="AB170" s="468"/>
      <c r="AC170" s="526"/>
      <c r="AD170" s="527"/>
      <c r="AE170" s="468"/>
      <c r="AF170" s="468"/>
      <c r="AG170" s="468"/>
      <c r="AH170" s="527"/>
      <c r="AI170" s="468"/>
      <c r="AJ170" s="526"/>
      <c r="AK170" s="62"/>
      <c r="AL170" s="62"/>
      <c r="AM170" s="62"/>
      <c r="AN170" s="62"/>
    </row>
    <row r="171" spans="1:40" x14ac:dyDescent="0.3">
      <c r="A171" s="62"/>
      <c r="B171" s="62" t="s">
        <v>528</v>
      </c>
      <c r="C171" s="62"/>
      <c r="D171" s="62"/>
      <c r="E171" s="62" t="s">
        <v>1095</v>
      </c>
      <c r="F171" s="468">
        <f t="shared" si="23"/>
        <v>66192416.159999996</v>
      </c>
      <c r="G171" s="468">
        <f>'7b. LX_AG-sf'!E$241</f>
        <v>43515962.003324836</v>
      </c>
      <c r="H171" s="669"/>
      <c r="I171" s="669"/>
      <c r="J171" s="669"/>
      <c r="K171" s="468">
        <f>'7b. LX_AG-sf'!I$241</f>
        <v>22676454.15667516</v>
      </c>
      <c r="L171" s="468">
        <f>'7b. LX_AG-sf'!J$241</f>
        <v>0</v>
      </c>
      <c r="M171" s="468"/>
      <c r="N171" s="526">
        <v>1</v>
      </c>
      <c r="O171" s="172">
        <f>SUM(P171:Y171)</f>
        <v>51544435.908528537</v>
      </c>
      <c r="P171" s="468">
        <f>'7b. LX_AG-sf'!N$241</f>
        <v>16188678.588415425</v>
      </c>
      <c r="Q171" s="468">
        <f>'7b. LX_AG-sf'!O$241</f>
        <v>14742342.935831249</v>
      </c>
      <c r="R171" s="468">
        <f>'7b. LX_AG-sf'!P$241</f>
        <v>4057801.875254239</v>
      </c>
      <c r="S171" s="468">
        <f>'7b. LX_AG-sf'!Q$241</f>
        <v>794748.9146647033</v>
      </c>
      <c r="T171" s="468">
        <f>'7b. LX_AG-sf'!R$241</f>
        <v>10477592.271150392</v>
      </c>
      <c r="U171" s="468">
        <f>'7b. LX_AG-sf'!S$241</f>
        <v>2788537.9736045781</v>
      </c>
      <c r="V171" s="468">
        <f>'7b. LX_AG-sf'!T$241</f>
        <v>868778.21527854819</v>
      </c>
      <c r="W171" s="468">
        <f>'7b. LX_AG-sf'!U$241</f>
        <v>0</v>
      </c>
      <c r="X171" s="468">
        <f>'7b. LX_AG-sf'!V$241</f>
        <v>1463901.2818474146</v>
      </c>
      <c r="Y171" s="468">
        <f>'7b. LX_AG-sf'!W$241</f>
        <v>162053.85248199227</v>
      </c>
      <c r="Z171" s="527">
        <f>SUM(AA171:AB171)</f>
        <v>11382286.798041336</v>
      </c>
      <c r="AA171" s="468">
        <f>'7b. LX_AG-sf'!Y$241</f>
        <v>5533146.4714714596</v>
      </c>
      <c r="AB171" s="468">
        <f>'7b. LX_AG-sf'!Z$241</f>
        <v>5849140.3265698766</v>
      </c>
      <c r="AC171" s="526">
        <v>1</v>
      </c>
      <c r="AD171" s="527">
        <f>SUM(AE171:AG171)</f>
        <v>15526882.993573921</v>
      </c>
      <c r="AE171" s="468">
        <f>'7b. LX_AG-sf'!AC$241</f>
        <v>14089249.023636159</v>
      </c>
      <c r="AF171" s="468">
        <f>'7b. LX_AG-sf'!AD$241</f>
        <v>1437633.9699377615</v>
      </c>
      <c r="AG171" s="468">
        <f>'7b. LX_AG-sf'!AE$241</f>
        <v>0</v>
      </c>
      <c r="AH171" s="527">
        <f>SUM(AI171:AI171)</f>
        <v>2203529.67</v>
      </c>
      <c r="AI171" s="468">
        <f>'7b. LX_AG-sf'!AG$241</f>
        <v>2203529.67</v>
      </c>
      <c r="AJ171" s="526"/>
      <c r="AK171" s="62"/>
      <c r="AL171" s="62"/>
      <c r="AM171" s="62"/>
      <c r="AN171" s="62"/>
    </row>
    <row r="172" spans="1:40" x14ac:dyDescent="0.3">
      <c r="A172" s="62"/>
      <c r="B172" s="62" t="s">
        <v>524</v>
      </c>
      <c r="C172" s="62"/>
      <c r="D172" s="62"/>
      <c r="E172" s="62"/>
      <c r="F172" s="528"/>
      <c r="G172" s="468"/>
      <c r="H172" s="669"/>
      <c r="I172" s="669"/>
      <c r="J172" s="669"/>
      <c r="K172" s="468"/>
      <c r="L172" s="468"/>
      <c r="M172" s="468"/>
      <c r="N172" s="526"/>
      <c r="O172" s="529"/>
      <c r="P172" s="468"/>
      <c r="Q172" s="468"/>
      <c r="R172" s="468"/>
      <c r="S172" s="468"/>
      <c r="T172" s="468"/>
      <c r="U172" s="468"/>
      <c r="V172" s="468"/>
      <c r="W172" s="468"/>
      <c r="X172" s="468"/>
      <c r="Y172" s="468"/>
      <c r="Z172" s="526"/>
      <c r="AA172" s="526"/>
      <c r="AB172" s="526"/>
      <c r="AC172" s="526"/>
      <c r="AD172" s="527">
        <f>SUM(AE172:AG172)</f>
        <v>15526882.993573921</v>
      </c>
      <c r="AE172" s="468">
        <f>'7b. LX_AG-sf'!AC$241</f>
        <v>14089249.023636159</v>
      </c>
      <c r="AF172" s="468">
        <f>'7b. LX_AG-sf'!AD$241</f>
        <v>1437633.9699377615</v>
      </c>
      <c r="AG172" s="468">
        <f>'7b. LX_AG-sf'!AE$241</f>
        <v>0</v>
      </c>
      <c r="AH172" s="527">
        <f>SUM(AI172:AI172)</f>
        <v>2203529.67</v>
      </c>
      <c r="AI172" s="468">
        <f>'7b. LX_AG-sf'!AG$241</f>
        <v>2203529.67</v>
      </c>
      <c r="AJ172" s="526"/>
      <c r="AK172" s="62"/>
      <c r="AL172" s="62"/>
      <c r="AM172" s="62"/>
      <c r="AN172" s="62"/>
    </row>
    <row r="173" spans="1:40" x14ac:dyDescent="0.3">
      <c r="A173" s="62"/>
      <c r="B173" s="62"/>
      <c r="C173" s="62"/>
      <c r="D173" s="62"/>
      <c r="E173" s="62"/>
      <c r="F173" s="520"/>
      <c r="G173" s="520"/>
      <c r="H173" s="670"/>
      <c r="I173" s="670"/>
      <c r="J173" s="670"/>
      <c r="K173" s="520"/>
      <c r="L173" s="520"/>
      <c r="M173" s="520"/>
      <c r="N173" s="520"/>
      <c r="O173" s="520"/>
      <c r="P173" s="520"/>
      <c r="Q173" s="520"/>
      <c r="R173" s="520"/>
      <c r="S173" s="520"/>
      <c r="T173" s="520"/>
      <c r="U173" s="520"/>
      <c r="V173" s="520"/>
      <c r="W173" s="520"/>
      <c r="X173" s="520"/>
      <c r="Y173" s="520"/>
      <c r="Z173" s="520"/>
      <c r="AA173" s="520"/>
      <c r="AB173" s="520"/>
      <c r="AC173" s="520"/>
      <c r="AD173" s="520"/>
      <c r="AE173" s="520"/>
      <c r="AF173" s="520"/>
      <c r="AG173" s="520"/>
      <c r="AH173" s="520"/>
      <c r="AI173" s="520"/>
      <c r="AJ173" s="520"/>
      <c r="AK173" s="62"/>
      <c r="AL173" s="62"/>
      <c r="AM173" s="62"/>
      <c r="AN173" s="62"/>
    </row>
    <row r="174" spans="1:40" x14ac:dyDescent="0.3">
      <c r="A174" s="62"/>
      <c r="B174" s="463" t="s">
        <v>529</v>
      </c>
      <c r="C174" s="463"/>
      <c r="D174" s="463"/>
      <c r="E174" s="463"/>
      <c r="F174" s="520"/>
      <c r="G174" s="520"/>
      <c r="H174" s="670"/>
      <c r="I174" s="670"/>
      <c r="J174" s="670"/>
      <c r="K174" s="520"/>
      <c r="L174" s="520"/>
      <c r="M174" s="520"/>
      <c r="N174" s="520"/>
      <c r="O174" s="520"/>
      <c r="P174" s="520"/>
      <c r="Q174" s="520"/>
      <c r="R174" s="520"/>
      <c r="S174" s="520"/>
      <c r="T174" s="520"/>
      <c r="U174" s="520"/>
      <c r="V174" s="520"/>
      <c r="W174" s="520"/>
      <c r="X174" s="520"/>
      <c r="Y174" s="520"/>
      <c r="Z174" s="520"/>
      <c r="AA174" s="520"/>
      <c r="AB174" s="520"/>
      <c r="AC174" s="520"/>
      <c r="AD174" s="520"/>
      <c r="AE174" s="520"/>
      <c r="AF174" s="520"/>
      <c r="AG174" s="520"/>
      <c r="AH174" s="520"/>
      <c r="AI174" s="520"/>
      <c r="AJ174" s="520"/>
      <c r="AK174" s="62"/>
      <c r="AL174" s="62"/>
      <c r="AM174" s="62"/>
      <c r="AN174" s="62"/>
    </row>
    <row r="175" spans="1:40" x14ac:dyDescent="0.3">
      <c r="A175" s="62"/>
      <c r="B175" s="62" t="s">
        <v>530</v>
      </c>
      <c r="C175" s="62"/>
      <c r="D175" s="62"/>
      <c r="E175" s="62" t="s">
        <v>157</v>
      </c>
      <c r="F175" s="468">
        <f t="shared" ref="F175:F179" si="24">+G175+K175+L175+M175</f>
        <v>3255274580.5500002</v>
      </c>
      <c r="G175" s="468">
        <f>+'2b. RB-sf'!E63</f>
        <v>3255274580.5500002</v>
      </c>
      <c r="H175" s="669"/>
      <c r="I175" s="669"/>
      <c r="J175" s="669"/>
      <c r="K175" s="468">
        <f>+'2b. RB-sf'!I63</f>
        <v>0</v>
      </c>
      <c r="L175" s="468">
        <f>+'2b. RB-sf'!J63</f>
        <v>0</v>
      </c>
      <c r="M175" s="468">
        <f>+'2b. RB-sf'!K63</f>
        <v>0</v>
      </c>
      <c r="N175" s="526">
        <v>1</v>
      </c>
      <c r="O175" s="172">
        <f t="shared" ref="O175:O184" si="25">SUM(P175:Y175)</f>
        <v>2099176485.8880477</v>
      </c>
      <c r="P175" s="468">
        <f>+'2b. RB-sf'!N94</f>
        <v>332550668.0280478</v>
      </c>
      <c r="Q175" s="468">
        <f>+'2b. RB-sf'!O94</f>
        <v>597523210.07080626</v>
      </c>
      <c r="R175" s="468">
        <f>+'2b. RB-sf'!P94</f>
        <v>159560465.3049843</v>
      </c>
      <c r="S175" s="468">
        <f>+'2b. RB-sf'!Q94</f>
        <v>174453717.5478189</v>
      </c>
      <c r="T175" s="468">
        <f>+'2b. RB-sf'!R94</f>
        <v>327478213.15558767</v>
      </c>
      <c r="U175" s="468">
        <f>+'2b. RB-sf'!S94</f>
        <v>80642631.368211746</v>
      </c>
      <c r="V175" s="468">
        <f>+'2b. RB-sf'!T94</f>
        <v>190703738.73218107</v>
      </c>
      <c r="W175" s="468">
        <f>+'2b. RB-sf'!U94</f>
        <v>128955756.09999993</v>
      </c>
      <c r="X175" s="468">
        <f>+'2b. RB-sf'!V94</f>
        <v>107308085.5804099</v>
      </c>
      <c r="Y175" s="468">
        <f>+'2b. RB-sf'!W94</f>
        <v>0</v>
      </c>
      <c r="Z175" s="527">
        <f t="shared" ref="Z175:Z184" si="26">SUM(AA175:AB175)</f>
        <v>141514308.95999998</v>
      </c>
      <c r="AA175" s="468">
        <f>+'2b. RB-sf'!Y94</f>
        <v>141514308.95999998</v>
      </c>
      <c r="AB175" s="468">
        <f>+'2b. RB-sf'!Z94</f>
        <v>0</v>
      </c>
      <c r="AC175" s="526">
        <v>1</v>
      </c>
      <c r="AD175" s="527">
        <f t="shared" ref="AD175:AD184" si="27">SUM(AE175:AG175)</f>
        <v>39046455.428348757</v>
      </c>
      <c r="AE175" s="468">
        <f>+'2b. RB-sf'!AC142</f>
        <v>35431144.438197859</v>
      </c>
      <c r="AF175" s="468">
        <f>+'2b. RB-sf'!AD142</f>
        <v>3615310.9901508992</v>
      </c>
      <c r="AG175" s="468">
        <f>'7b. LX_AG-sf'!AE$241</f>
        <v>0</v>
      </c>
      <c r="AH175" s="527">
        <f t="shared" ref="AH175:AH184" si="28">SUM(AI175:AI175)</f>
        <v>5541358.3705311799</v>
      </c>
      <c r="AI175" s="468">
        <f>+'2b. RB-sf'!AG142</f>
        <v>5541358.3705311799</v>
      </c>
      <c r="AJ175" s="526"/>
      <c r="AK175" s="62"/>
      <c r="AL175" s="62"/>
      <c r="AM175" s="62"/>
      <c r="AN175" s="62"/>
    </row>
    <row r="176" spans="1:40" x14ac:dyDescent="0.3">
      <c r="A176" s="62"/>
      <c r="B176" s="62" t="s">
        <v>531</v>
      </c>
      <c r="C176" s="62"/>
      <c r="D176" s="62"/>
      <c r="E176" s="62" t="s">
        <v>158</v>
      </c>
      <c r="F176" s="669"/>
      <c r="G176" s="669"/>
      <c r="H176" s="671"/>
      <c r="I176" s="672"/>
      <c r="J176" s="671"/>
      <c r="K176" s="669"/>
      <c r="L176" s="669"/>
      <c r="M176" s="669"/>
      <c r="N176" s="694"/>
      <c r="O176" s="677"/>
      <c r="P176" s="677"/>
      <c r="Q176" s="677"/>
      <c r="R176" s="677"/>
      <c r="S176" s="677"/>
      <c r="T176" s="677"/>
      <c r="U176" s="677"/>
      <c r="V176" s="677"/>
      <c r="W176" s="677"/>
      <c r="X176" s="677"/>
      <c r="Y176" s="677"/>
      <c r="Z176" s="677"/>
      <c r="AA176" s="677"/>
      <c r="AB176" s="677"/>
      <c r="AC176" s="694"/>
      <c r="AD176" s="677"/>
      <c r="AE176" s="677"/>
      <c r="AF176" s="677"/>
      <c r="AG176" s="677"/>
      <c r="AH176" s="677"/>
      <c r="AI176" s="677"/>
      <c r="AJ176" s="62"/>
      <c r="AK176" s="62"/>
      <c r="AL176" s="62"/>
      <c r="AM176" s="62"/>
      <c r="AN176" s="62"/>
    </row>
    <row r="177" spans="1:40" x14ac:dyDescent="0.3">
      <c r="A177" s="62"/>
      <c r="B177" s="62" t="s">
        <v>1053</v>
      </c>
      <c r="C177" s="62"/>
      <c r="D177" s="62"/>
      <c r="E177" s="62" t="s">
        <v>1095</v>
      </c>
      <c r="F177" s="669"/>
      <c r="G177" s="669"/>
      <c r="H177" s="669"/>
      <c r="I177" s="672"/>
      <c r="J177" s="669"/>
      <c r="K177" s="669"/>
      <c r="L177" s="669"/>
      <c r="M177" s="669"/>
      <c r="N177" s="691"/>
      <c r="O177" s="692"/>
      <c r="P177" s="669"/>
      <c r="Q177" s="669"/>
      <c r="R177" s="669"/>
      <c r="S177" s="669"/>
      <c r="T177" s="669"/>
      <c r="U177" s="669"/>
      <c r="V177" s="669"/>
      <c r="W177" s="669"/>
      <c r="X177" s="669"/>
      <c r="Y177" s="669"/>
      <c r="Z177" s="693"/>
      <c r="AA177" s="669"/>
      <c r="AB177" s="669"/>
      <c r="AC177" s="691"/>
      <c r="AD177" s="693"/>
      <c r="AE177" s="669"/>
      <c r="AF177" s="669"/>
      <c r="AG177" s="669"/>
      <c r="AH177" s="693"/>
      <c r="AI177" s="669"/>
      <c r="AJ177" s="526"/>
      <c r="AK177" s="62"/>
      <c r="AL177" s="62"/>
      <c r="AM177" s="62"/>
      <c r="AN177" s="62"/>
    </row>
    <row r="178" spans="1:40" x14ac:dyDescent="0.3">
      <c r="A178" s="62"/>
      <c r="B178" s="62" t="s">
        <v>532</v>
      </c>
      <c r="C178" s="62"/>
      <c r="D178" s="62"/>
      <c r="E178" s="62" t="s">
        <v>1095</v>
      </c>
      <c r="F178" s="468">
        <f t="shared" si="24"/>
        <v>66192416.159999996</v>
      </c>
      <c r="G178" s="468">
        <f>'7b. LX_AG-sf'!E$241</f>
        <v>43515962.003324836</v>
      </c>
      <c r="H178" s="669"/>
      <c r="I178" s="669"/>
      <c r="J178" s="669"/>
      <c r="K178" s="468">
        <f>'7b. LX_AG-sf'!I$241</f>
        <v>22676454.15667516</v>
      </c>
      <c r="L178" s="468">
        <f>'7b. LX_AG-sf'!J$241</f>
        <v>0</v>
      </c>
      <c r="M178" s="468"/>
      <c r="N178" s="526">
        <v>1</v>
      </c>
      <c r="O178" s="172">
        <f t="shared" si="25"/>
        <v>51544435.908528537</v>
      </c>
      <c r="P178" s="468">
        <f>'7b. LX_AG-sf'!N$241</f>
        <v>16188678.588415425</v>
      </c>
      <c r="Q178" s="468">
        <f>'7b. LX_AG-sf'!O$241</f>
        <v>14742342.935831249</v>
      </c>
      <c r="R178" s="468">
        <f>'7b. LX_AG-sf'!P$241</f>
        <v>4057801.875254239</v>
      </c>
      <c r="S178" s="468">
        <f>'7b. LX_AG-sf'!Q$241</f>
        <v>794748.9146647033</v>
      </c>
      <c r="T178" s="468">
        <f>'7b. LX_AG-sf'!R$241</f>
        <v>10477592.271150392</v>
      </c>
      <c r="U178" s="468">
        <f>'7b. LX_AG-sf'!S$241</f>
        <v>2788537.9736045781</v>
      </c>
      <c r="V178" s="468">
        <f>'7b. LX_AG-sf'!T$241</f>
        <v>868778.21527854819</v>
      </c>
      <c r="W178" s="468">
        <f>'7b. LX_AG-sf'!U$241</f>
        <v>0</v>
      </c>
      <c r="X178" s="468">
        <f>'7b. LX_AG-sf'!V$241</f>
        <v>1463901.2818474146</v>
      </c>
      <c r="Y178" s="468">
        <f>'7b. LX_AG-sf'!W$241</f>
        <v>162053.85248199227</v>
      </c>
      <c r="Z178" s="527">
        <f t="shared" si="26"/>
        <v>11382286.798041336</v>
      </c>
      <c r="AA178" s="468">
        <f>'7b. LX_AG-sf'!Y$241</f>
        <v>5533146.4714714596</v>
      </c>
      <c r="AB178" s="468">
        <f>'7b. LX_AG-sf'!Z$241</f>
        <v>5849140.3265698766</v>
      </c>
      <c r="AC178" s="526">
        <v>1</v>
      </c>
      <c r="AD178" s="527">
        <f t="shared" si="27"/>
        <v>15526882.993573921</v>
      </c>
      <c r="AE178" s="468">
        <f>'7b. LX_AG-sf'!AC$241</f>
        <v>14089249.023636159</v>
      </c>
      <c r="AF178" s="468">
        <f>'7b. LX_AG-sf'!AD$241</f>
        <v>1437633.9699377615</v>
      </c>
      <c r="AG178" s="468">
        <f>'7b. LX_AG-sf'!AE$241</f>
        <v>0</v>
      </c>
      <c r="AH178" s="527">
        <f t="shared" si="28"/>
        <v>2203529.67</v>
      </c>
      <c r="AI178" s="468">
        <f>'7b. LX_AG-sf'!AG$241</f>
        <v>2203529.67</v>
      </c>
      <c r="AJ178" s="526"/>
      <c r="AK178" s="62"/>
      <c r="AL178" s="62"/>
      <c r="AM178" s="62"/>
      <c r="AN178" s="62"/>
    </row>
    <row r="179" spans="1:40" x14ac:dyDescent="0.3">
      <c r="A179" s="62"/>
      <c r="B179" s="62" t="s">
        <v>533</v>
      </c>
      <c r="C179" s="62"/>
      <c r="D179" s="62"/>
      <c r="E179" s="62" t="s">
        <v>1095</v>
      </c>
      <c r="F179" s="468">
        <f t="shared" si="24"/>
        <v>66192416.159999996</v>
      </c>
      <c r="G179" s="468">
        <f>'7b. LX_AG-sf'!E$241</f>
        <v>43515962.003324836</v>
      </c>
      <c r="H179" s="669"/>
      <c r="I179" s="669"/>
      <c r="J179" s="669"/>
      <c r="K179" s="468">
        <f>'7b. LX_AG-sf'!I$241</f>
        <v>22676454.15667516</v>
      </c>
      <c r="L179" s="468">
        <f>'7b. LX_AG-sf'!J$241</f>
        <v>0</v>
      </c>
      <c r="M179" s="468"/>
      <c r="N179" s="526">
        <v>1</v>
      </c>
      <c r="O179" s="172">
        <f t="shared" si="25"/>
        <v>51544435.908528537</v>
      </c>
      <c r="P179" s="468">
        <f>'7b. LX_AG-sf'!N$241</f>
        <v>16188678.588415425</v>
      </c>
      <c r="Q179" s="468">
        <f>'7b. LX_AG-sf'!O$241</f>
        <v>14742342.935831249</v>
      </c>
      <c r="R179" s="468">
        <f>'7b. LX_AG-sf'!P$241</f>
        <v>4057801.875254239</v>
      </c>
      <c r="S179" s="468">
        <f>'7b. LX_AG-sf'!Q$241</f>
        <v>794748.9146647033</v>
      </c>
      <c r="T179" s="468">
        <f>'7b. LX_AG-sf'!R$241</f>
        <v>10477592.271150392</v>
      </c>
      <c r="U179" s="468">
        <f>'7b. LX_AG-sf'!S$241</f>
        <v>2788537.9736045781</v>
      </c>
      <c r="V179" s="468">
        <f>'7b. LX_AG-sf'!T$241</f>
        <v>868778.21527854819</v>
      </c>
      <c r="W179" s="468">
        <f>'7b. LX_AG-sf'!U$241</f>
        <v>0</v>
      </c>
      <c r="X179" s="468">
        <f>'7b. LX_AG-sf'!V$241</f>
        <v>1463901.2818474146</v>
      </c>
      <c r="Y179" s="468">
        <f>'7b. LX_AG-sf'!W$241</f>
        <v>162053.85248199227</v>
      </c>
      <c r="Z179" s="527">
        <f t="shared" si="26"/>
        <v>11382286.798041336</v>
      </c>
      <c r="AA179" s="468">
        <f>'7b. LX_AG-sf'!Y$241</f>
        <v>5533146.4714714596</v>
      </c>
      <c r="AB179" s="468">
        <f>'7b. LX_AG-sf'!Z$241</f>
        <v>5849140.3265698766</v>
      </c>
      <c r="AC179" s="526">
        <v>1</v>
      </c>
      <c r="AD179" s="527">
        <f t="shared" si="27"/>
        <v>15526882.993573921</v>
      </c>
      <c r="AE179" s="468">
        <f>'7b. LX_AG-sf'!AC$241</f>
        <v>14089249.023636159</v>
      </c>
      <c r="AF179" s="468">
        <f>'7b. LX_AG-sf'!AD$241</f>
        <v>1437633.9699377615</v>
      </c>
      <c r="AG179" s="468">
        <f>'7b. LX_AG-sf'!AE$241</f>
        <v>0</v>
      </c>
      <c r="AH179" s="527">
        <f t="shared" si="28"/>
        <v>2203529.67</v>
      </c>
      <c r="AI179" s="468">
        <f>'7b. LX_AG-sf'!AG$241</f>
        <v>2203529.67</v>
      </c>
      <c r="AJ179" s="526"/>
      <c r="AK179" s="62"/>
      <c r="AL179" s="62"/>
      <c r="AM179" s="62"/>
      <c r="AN179" s="62"/>
    </row>
    <row r="180" spans="1:40" x14ac:dyDescent="0.3">
      <c r="A180" s="62"/>
      <c r="B180" s="507" t="s">
        <v>1324</v>
      </c>
      <c r="C180" s="62" t="s">
        <v>19</v>
      </c>
      <c r="D180" s="62"/>
      <c r="E180" s="62"/>
      <c r="F180" s="669">
        <f t="shared" ref="F180" si="29">+G180+K180+L180+M180</f>
        <v>0</v>
      </c>
      <c r="G180" s="669">
        <f>+'2b. RB-sf'!E39</f>
        <v>0</v>
      </c>
      <c r="H180" s="671"/>
      <c r="I180" s="672"/>
      <c r="J180" s="671"/>
      <c r="K180" s="669">
        <f>+'2b. RB-sf'!I39</f>
        <v>0</v>
      </c>
      <c r="L180" s="669">
        <f>+'2b. RB-sf'!J43</f>
        <v>0</v>
      </c>
      <c r="M180" s="669">
        <f>+'2b. RB-sf'!K43</f>
        <v>0</v>
      </c>
      <c r="N180" s="691"/>
      <c r="O180" s="692"/>
      <c r="P180" s="669"/>
      <c r="Q180" s="669"/>
      <c r="R180" s="669"/>
      <c r="S180" s="669"/>
      <c r="T180" s="669"/>
      <c r="U180" s="669"/>
      <c r="V180" s="669"/>
      <c r="W180" s="669"/>
      <c r="X180" s="669"/>
      <c r="Y180" s="669"/>
      <c r="Z180" s="693"/>
      <c r="AA180" s="669"/>
      <c r="AB180" s="669"/>
      <c r="AC180" s="691"/>
      <c r="AD180" s="693"/>
      <c r="AE180" s="669"/>
      <c r="AF180" s="669"/>
      <c r="AG180" s="669"/>
      <c r="AH180" s="693"/>
      <c r="AI180" s="669"/>
      <c r="AJ180" s="526"/>
      <c r="AK180" s="62"/>
      <c r="AL180" s="62"/>
      <c r="AM180" s="62"/>
      <c r="AN180" s="62"/>
    </row>
    <row r="181" spans="1:40" x14ac:dyDescent="0.3">
      <c r="A181" s="62"/>
      <c r="B181" s="62" t="s">
        <v>107</v>
      </c>
      <c r="C181" s="62"/>
      <c r="D181" s="62"/>
      <c r="E181" s="62" t="s">
        <v>1095</v>
      </c>
      <c r="F181" s="468">
        <f t="shared" ref="F181:F184" si="30">+G181+K181+L181+M181</f>
        <v>66192416.159999996</v>
      </c>
      <c r="G181" s="468">
        <f>'7b. LX_AG-sf'!E$241</f>
        <v>43515962.003324836</v>
      </c>
      <c r="H181" s="669"/>
      <c r="I181" s="669"/>
      <c r="J181" s="669"/>
      <c r="K181" s="468">
        <f>'7b. LX_AG-sf'!I$241</f>
        <v>22676454.15667516</v>
      </c>
      <c r="L181" s="468">
        <f>'7b. LX_AG-sf'!J$241</f>
        <v>0</v>
      </c>
      <c r="M181" s="468"/>
      <c r="N181" s="526">
        <v>1</v>
      </c>
      <c r="O181" s="172">
        <f t="shared" si="25"/>
        <v>51544435.908528537</v>
      </c>
      <c r="P181" s="468">
        <f>'7b. LX_AG-sf'!N$241</f>
        <v>16188678.588415425</v>
      </c>
      <c r="Q181" s="468">
        <f>'7b. LX_AG-sf'!O$241</f>
        <v>14742342.935831249</v>
      </c>
      <c r="R181" s="468">
        <f>'7b. LX_AG-sf'!P$241</f>
        <v>4057801.875254239</v>
      </c>
      <c r="S181" s="468">
        <f>'7b. LX_AG-sf'!Q$241</f>
        <v>794748.9146647033</v>
      </c>
      <c r="T181" s="468">
        <f>'7b. LX_AG-sf'!R$241</f>
        <v>10477592.271150392</v>
      </c>
      <c r="U181" s="468">
        <f>'7b. LX_AG-sf'!S$241</f>
        <v>2788537.9736045781</v>
      </c>
      <c r="V181" s="468">
        <f>'7b. LX_AG-sf'!T$241</f>
        <v>868778.21527854819</v>
      </c>
      <c r="W181" s="468">
        <f>'7b. LX_AG-sf'!U$241</f>
        <v>0</v>
      </c>
      <c r="X181" s="468">
        <f>'7b. LX_AG-sf'!V$241</f>
        <v>1463901.2818474146</v>
      </c>
      <c r="Y181" s="468">
        <f>'7b. LX_AG-sf'!W$241</f>
        <v>162053.85248199227</v>
      </c>
      <c r="Z181" s="527">
        <f t="shared" si="26"/>
        <v>11382286.798041336</v>
      </c>
      <c r="AA181" s="468">
        <f>'7b. LX_AG-sf'!Y$241</f>
        <v>5533146.4714714596</v>
      </c>
      <c r="AB181" s="468">
        <f>'7b. LX_AG-sf'!Z$241</f>
        <v>5849140.3265698766</v>
      </c>
      <c r="AC181" s="526">
        <v>1</v>
      </c>
      <c r="AD181" s="527">
        <f t="shared" si="27"/>
        <v>15526882.993573921</v>
      </c>
      <c r="AE181" s="468">
        <f>'7b. LX_AG-sf'!AC$241</f>
        <v>14089249.023636159</v>
      </c>
      <c r="AF181" s="468">
        <f>'7b. LX_AG-sf'!AD$241</f>
        <v>1437633.9699377615</v>
      </c>
      <c r="AG181" s="468">
        <f>'7b. LX_AG-sf'!AE$241</f>
        <v>0</v>
      </c>
      <c r="AH181" s="527">
        <f t="shared" si="28"/>
        <v>2203529.67</v>
      </c>
      <c r="AI181" s="468">
        <f>'7b. LX_AG-sf'!AG$241</f>
        <v>2203529.67</v>
      </c>
      <c r="AJ181" s="526"/>
      <c r="AK181" s="62"/>
      <c r="AL181" s="62"/>
      <c r="AM181" s="62"/>
      <c r="AN181" s="62"/>
    </row>
    <row r="182" spans="1:40" x14ac:dyDescent="0.3">
      <c r="A182" s="62"/>
      <c r="B182" s="62" t="s">
        <v>106</v>
      </c>
      <c r="C182" s="62"/>
      <c r="D182" s="62"/>
      <c r="E182" s="62" t="s">
        <v>1095</v>
      </c>
      <c r="F182" s="468">
        <f t="shared" si="30"/>
        <v>66192416.159999996</v>
      </c>
      <c r="G182" s="468">
        <f>'7b. LX_AG-sf'!E$241</f>
        <v>43515962.003324836</v>
      </c>
      <c r="H182" s="669"/>
      <c r="I182" s="669"/>
      <c r="J182" s="669"/>
      <c r="K182" s="468">
        <f>'7b. LX_AG-sf'!I$241</f>
        <v>22676454.15667516</v>
      </c>
      <c r="L182" s="468">
        <f>'7b. LX_AG-sf'!J$241</f>
        <v>0</v>
      </c>
      <c r="M182" s="468"/>
      <c r="N182" s="526">
        <v>1</v>
      </c>
      <c r="O182" s="172">
        <f t="shared" si="25"/>
        <v>51544435.908528537</v>
      </c>
      <c r="P182" s="468">
        <f>'7b. LX_AG-sf'!N$241</f>
        <v>16188678.588415425</v>
      </c>
      <c r="Q182" s="468">
        <f>'7b. LX_AG-sf'!O$241</f>
        <v>14742342.935831249</v>
      </c>
      <c r="R182" s="468">
        <f>'7b. LX_AG-sf'!P$241</f>
        <v>4057801.875254239</v>
      </c>
      <c r="S182" s="468">
        <f>'7b. LX_AG-sf'!Q$241</f>
        <v>794748.9146647033</v>
      </c>
      <c r="T182" s="468">
        <f>'7b. LX_AG-sf'!R$241</f>
        <v>10477592.271150392</v>
      </c>
      <c r="U182" s="468">
        <f>'7b. LX_AG-sf'!S$241</f>
        <v>2788537.9736045781</v>
      </c>
      <c r="V182" s="468">
        <f>'7b. LX_AG-sf'!T$241</f>
        <v>868778.21527854819</v>
      </c>
      <c r="W182" s="468">
        <f>'7b. LX_AG-sf'!U$241</f>
        <v>0</v>
      </c>
      <c r="X182" s="468">
        <f>'7b. LX_AG-sf'!V$241</f>
        <v>1463901.2818474146</v>
      </c>
      <c r="Y182" s="468">
        <f>'7b. LX_AG-sf'!W$241</f>
        <v>162053.85248199227</v>
      </c>
      <c r="Z182" s="527">
        <f t="shared" si="26"/>
        <v>11382286.798041336</v>
      </c>
      <c r="AA182" s="468">
        <f>'7b. LX_AG-sf'!Y$241</f>
        <v>5533146.4714714596</v>
      </c>
      <c r="AB182" s="468">
        <f>'7b. LX_AG-sf'!Z$241</f>
        <v>5849140.3265698766</v>
      </c>
      <c r="AC182" s="526">
        <v>1</v>
      </c>
      <c r="AD182" s="527">
        <f t="shared" si="27"/>
        <v>15526882.993573921</v>
      </c>
      <c r="AE182" s="468">
        <f>'7b. LX_AG-sf'!AC$241</f>
        <v>14089249.023636159</v>
      </c>
      <c r="AF182" s="468">
        <f>'7b. LX_AG-sf'!AD$241</f>
        <v>1437633.9699377615</v>
      </c>
      <c r="AG182" s="468">
        <f>'7b. LX_AG-sf'!AE$241</f>
        <v>0</v>
      </c>
      <c r="AH182" s="527">
        <f t="shared" si="28"/>
        <v>2203529.67</v>
      </c>
      <c r="AI182" s="468">
        <f>'7b. LX_AG-sf'!AG$241</f>
        <v>2203529.67</v>
      </c>
      <c r="AJ182" s="526"/>
      <c r="AK182" s="62"/>
      <c r="AL182" s="62"/>
      <c r="AM182" s="62"/>
      <c r="AN182" s="62"/>
    </row>
    <row r="183" spans="1:40" x14ac:dyDescent="0.3">
      <c r="A183" s="62"/>
      <c r="B183" s="62" t="s">
        <v>895</v>
      </c>
      <c r="C183" s="62"/>
      <c r="D183" s="62"/>
      <c r="E183" s="62" t="s">
        <v>1095</v>
      </c>
      <c r="F183" s="468">
        <f t="shared" si="30"/>
        <v>66192416.159999996</v>
      </c>
      <c r="G183" s="468">
        <f>'7b. LX_AG-sf'!E$241</f>
        <v>43515962.003324836</v>
      </c>
      <c r="H183" s="669"/>
      <c r="I183" s="669"/>
      <c r="J183" s="669"/>
      <c r="K183" s="468">
        <f>'7b. LX_AG-sf'!I$241</f>
        <v>22676454.15667516</v>
      </c>
      <c r="L183" s="468">
        <f>'7b. LX_AG-sf'!J$241</f>
        <v>0</v>
      </c>
      <c r="M183" s="468"/>
      <c r="N183" s="526">
        <v>1</v>
      </c>
      <c r="O183" s="172">
        <f t="shared" si="25"/>
        <v>51544435.908528537</v>
      </c>
      <c r="P183" s="468">
        <f>'7b. LX_AG-sf'!N$241</f>
        <v>16188678.588415425</v>
      </c>
      <c r="Q183" s="468">
        <f>'7b. LX_AG-sf'!O$241</f>
        <v>14742342.935831249</v>
      </c>
      <c r="R183" s="468">
        <f>'7b. LX_AG-sf'!P$241</f>
        <v>4057801.875254239</v>
      </c>
      <c r="S183" s="468">
        <f>'7b. LX_AG-sf'!Q$241</f>
        <v>794748.9146647033</v>
      </c>
      <c r="T183" s="468">
        <f>'7b. LX_AG-sf'!R$241</f>
        <v>10477592.271150392</v>
      </c>
      <c r="U183" s="468">
        <f>'7b. LX_AG-sf'!S$241</f>
        <v>2788537.9736045781</v>
      </c>
      <c r="V183" s="468">
        <f>'7b. LX_AG-sf'!T$241</f>
        <v>868778.21527854819</v>
      </c>
      <c r="W183" s="468">
        <f>'7b. LX_AG-sf'!U$241</f>
        <v>0</v>
      </c>
      <c r="X183" s="468">
        <f>'7b. LX_AG-sf'!V$241</f>
        <v>1463901.2818474146</v>
      </c>
      <c r="Y183" s="468">
        <f>'7b. LX_AG-sf'!W$241</f>
        <v>162053.85248199227</v>
      </c>
      <c r="Z183" s="527">
        <f t="shared" si="26"/>
        <v>11382286.798041336</v>
      </c>
      <c r="AA183" s="468">
        <f>'7b. LX_AG-sf'!Y$241</f>
        <v>5533146.4714714596</v>
      </c>
      <c r="AB183" s="468">
        <f>'7b. LX_AG-sf'!Z$241</f>
        <v>5849140.3265698766</v>
      </c>
      <c r="AC183" s="526">
        <v>1</v>
      </c>
      <c r="AD183" s="527">
        <f t="shared" si="27"/>
        <v>15526882.993573921</v>
      </c>
      <c r="AE183" s="468">
        <f>'7b. LX_AG-sf'!AC$241</f>
        <v>14089249.023636159</v>
      </c>
      <c r="AF183" s="468">
        <f>'7b. LX_AG-sf'!AD$241</f>
        <v>1437633.9699377615</v>
      </c>
      <c r="AG183" s="468">
        <f>'7b. LX_AG-sf'!AE$241</f>
        <v>0</v>
      </c>
      <c r="AH183" s="527">
        <f t="shared" si="28"/>
        <v>2203529.67</v>
      </c>
      <c r="AI183" s="468">
        <f>'7b. LX_AG-sf'!AG$241</f>
        <v>2203529.67</v>
      </c>
      <c r="AJ183" s="526"/>
      <c r="AK183" s="62"/>
      <c r="AL183" s="62"/>
      <c r="AM183" s="62"/>
      <c r="AN183" s="62"/>
    </row>
    <row r="184" spans="1:40" x14ac:dyDescent="0.3">
      <c r="A184" s="62"/>
      <c r="B184" s="62" t="s">
        <v>108</v>
      </c>
      <c r="C184" s="62"/>
      <c r="D184" s="62"/>
      <c r="E184" s="62" t="s">
        <v>1095</v>
      </c>
      <c r="F184" s="468">
        <f t="shared" si="30"/>
        <v>66192416.159999996</v>
      </c>
      <c r="G184" s="468">
        <f>'7b. LX_AG-sf'!E$241</f>
        <v>43515962.003324836</v>
      </c>
      <c r="H184" s="669"/>
      <c r="I184" s="669"/>
      <c r="J184" s="669"/>
      <c r="K184" s="468">
        <f>'7b. LX_AG-sf'!I$241</f>
        <v>22676454.15667516</v>
      </c>
      <c r="L184" s="468">
        <f>'7b. LX_AG-sf'!J$241</f>
        <v>0</v>
      </c>
      <c r="M184" s="468"/>
      <c r="N184" s="526">
        <v>1</v>
      </c>
      <c r="O184" s="172">
        <f t="shared" si="25"/>
        <v>51544435.908528537</v>
      </c>
      <c r="P184" s="468">
        <f>'7b. LX_AG-sf'!N$241</f>
        <v>16188678.588415425</v>
      </c>
      <c r="Q184" s="468">
        <f>'7b. LX_AG-sf'!O$241</f>
        <v>14742342.935831249</v>
      </c>
      <c r="R184" s="468">
        <f>'7b. LX_AG-sf'!P$241</f>
        <v>4057801.875254239</v>
      </c>
      <c r="S184" s="468">
        <f>'7b. LX_AG-sf'!Q$241</f>
        <v>794748.9146647033</v>
      </c>
      <c r="T184" s="468">
        <f>'7b. LX_AG-sf'!R$241</f>
        <v>10477592.271150392</v>
      </c>
      <c r="U184" s="468">
        <f>'7b. LX_AG-sf'!S$241</f>
        <v>2788537.9736045781</v>
      </c>
      <c r="V184" s="468">
        <f>'7b. LX_AG-sf'!T$241</f>
        <v>868778.21527854819</v>
      </c>
      <c r="W184" s="468">
        <f>'7b. LX_AG-sf'!U$241</f>
        <v>0</v>
      </c>
      <c r="X184" s="468">
        <f>'7b. LX_AG-sf'!V$241</f>
        <v>1463901.2818474146</v>
      </c>
      <c r="Y184" s="468">
        <f>'7b. LX_AG-sf'!W$241</f>
        <v>162053.85248199227</v>
      </c>
      <c r="Z184" s="527">
        <f t="shared" si="26"/>
        <v>11382286.798041336</v>
      </c>
      <c r="AA184" s="468">
        <f>'7b. LX_AG-sf'!Y$241</f>
        <v>5533146.4714714596</v>
      </c>
      <c r="AB184" s="468">
        <f>'7b. LX_AG-sf'!Z$241</f>
        <v>5849140.3265698766</v>
      </c>
      <c r="AC184" s="526">
        <v>1</v>
      </c>
      <c r="AD184" s="527">
        <f t="shared" si="27"/>
        <v>15526882.993573921</v>
      </c>
      <c r="AE184" s="468">
        <f>'7b. LX_AG-sf'!AC$241</f>
        <v>14089249.023636159</v>
      </c>
      <c r="AF184" s="468">
        <f>'7b. LX_AG-sf'!AD$241</f>
        <v>1437633.9699377615</v>
      </c>
      <c r="AG184" s="468">
        <f>'7b. LX_AG-sf'!AE$241</f>
        <v>0</v>
      </c>
      <c r="AH184" s="527">
        <f t="shared" si="28"/>
        <v>2203529.67</v>
      </c>
      <c r="AI184" s="468">
        <f>'7b. LX_AG-sf'!AG$241</f>
        <v>2203529.67</v>
      </c>
      <c r="AJ184" s="526"/>
      <c r="AK184" s="62"/>
      <c r="AL184" s="62"/>
      <c r="AM184" s="62"/>
      <c r="AN184" s="62"/>
    </row>
    <row r="185" spans="1:40" x14ac:dyDescent="0.3">
      <c r="A185" s="62"/>
      <c r="B185" s="62" t="s">
        <v>524</v>
      </c>
      <c r="C185" s="62"/>
      <c r="D185" s="62"/>
      <c r="E185" s="684"/>
      <c r="F185" s="688"/>
      <c r="G185" s="688"/>
      <c r="H185" s="695"/>
      <c r="I185" s="695"/>
      <c r="J185" s="695"/>
      <c r="K185" s="688"/>
      <c r="L185" s="688"/>
      <c r="M185" s="688"/>
      <c r="N185" s="688"/>
      <c r="O185" s="688"/>
      <c r="P185" s="690"/>
      <c r="Q185" s="690"/>
      <c r="R185" s="690"/>
      <c r="S185" s="690"/>
      <c r="T185" s="690"/>
      <c r="U185" s="690"/>
      <c r="V185" s="690"/>
      <c r="W185" s="690"/>
      <c r="X185" s="690"/>
      <c r="Y185" s="690"/>
      <c r="Z185" s="690"/>
      <c r="AA185" s="690"/>
      <c r="AB185" s="690"/>
      <c r="AC185" s="690"/>
      <c r="AD185" s="690"/>
      <c r="AE185" s="690"/>
      <c r="AF185" s="690"/>
      <c r="AG185" s="690"/>
      <c r="AH185" s="690"/>
      <c r="AI185" s="690"/>
      <c r="AJ185" s="520"/>
      <c r="AK185" s="62"/>
      <c r="AL185" s="62"/>
      <c r="AM185" s="62"/>
      <c r="AN185" s="62"/>
    </row>
    <row r="186" spans="1:40" x14ac:dyDescent="0.3">
      <c r="A186" s="62"/>
      <c r="B186" s="62"/>
      <c r="C186" s="62"/>
      <c r="D186" s="62"/>
      <c r="E186" s="62"/>
      <c r="F186" s="523"/>
      <c r="G186" s="523"/>
      <c r="H186" s="523"/>
      <c r="I186" s="523"/>
      <c r="J186" s="523"/>
      <c r="K186" s="523"/>
      <c r="L186" s="523"/>
      <c r="M186" s="523"/>
      <c r="N186" s="523"/>
      <c r="O186" s="523"/>
      <c r="P186" s="520"/>
      <c r="Q186" s="520"/>
      <c r="R186" s="520"/>
      <c r="S186" s="520"/>
      <c r="T186" s="520"/>
      <c r="U186" s="520"/>
      <c r="V186" s="520"/>
      <c r="W186" s="520"/>
      <c r="X186" s="520"/>
      <c r="Y186" s="520"/>
      <c r="Z186" s="520"/>
      <c r="AA186" s="520"/>
      <c r="AB186" s="520"/>
      <c r="AC186" s="520"/>
      <c r="AD186" s="520"/>
      <c r="AE186" s="520"/>
      <c r="AF186" s="520"/>
      <c r="AG186" s="520"/>
      <c r="AH186" s="520"/>
      <c r="AI186" s="520"/>
      <c r="AJ186" s="520"/>
      <c r="AK186" s="62"/>
      <c r="AL186" s="62"/>
      <c r="AM186" s="62"/>
      <c r="AN186" s="62"/>
    </row>
    <row r="187" spans="1:40" x14ac:dyDescent="0.3">
      <c r="A187" s="62"/>
      <c r="B187" s="62" t="s">
        <v>534</v>
      </c>
      <c r="C187" s="62"/>
      <c r="D187" s="62"/>
      <c r="E187" s="62"/>
      <c r="F187" s="520"/>
      <c r="G187" s="520"/>
      <c r="H187" s="520"/>
      <c r="I187" s="520"/>
      <c r="J187" s="520"/>
      <c r="K187" s="520"/>
      <c r="L187" s="520"/>
      <c r="M187" s="520"/>
      <c r="N187" s="520"/>
      <c r="O187" s="520"/>
      <c r="P187" s="520"/>
      <c r="Q187" s="520"/>
      <c r="R187" s="520"/>
      <c r="S187" s="520"/>
      <c r="T187" s="520"/>
      <c r="U187" s="520"/>
      <c r="V187" s="520"/>
      <c r="W187" s="520"/>
      <c r="X187" s="520"/>
      <c r="Y187" s="520"/>
      <c r="Z187" s="520"/>
      <c r="AA187" s="520"/>
      <c r="AB187" s="520"/>
      <c r="AC187" s="520"/>
      <c r="AD187" s="520"/>
      <c r="AE187" s="520"/>
      <c r="AF187" s="520"/>
      <c r="AG187" s="520"/>
      <c r="AH187" s="520"/>
      <c r="AI187" s="520"/>
      <c r="AJ187" s="520"/>
      <c r="AK187" s="62"/>
      <c r="AL187" s="62"/>
      <c r="AM187" s="62"/>
      <c r="AN187" s="62"/>
    </row>
    <row r="188" spans="1:40" x14ac:dyDescent="0.3">
      <c r="A188" s="62"/>
      <c r="B188" s="498" t="s">
        <v>535</v>
      </c>
      <c r="C188" s="498"/>
      <c r="D188" s="498"/>
      <c r="E188" s="498"/>
      <c r="F188" s="520"/>
      <c r="G188" s="520"/>
      <c r="H188" s="520"/>
      <c r="I188" s="520"/>
      <c r="J188" s="520"/>
      <c r="K188" s="520"/>
      <c r="L188" s="520"/>
      <c r="M188" s="520"/>
      <c r="N188" s="520"/>
      <c r="O188" s="520"/>
      <c r="P188" s="520"/>
      <c r="Q188" s="520"/>
      <c r="R188" s="520"/>
      <c r="S188" s="520"/>
      <c r="T188" s="520"/>
      <c r="U188" s="520"/>
      <c r="V188" s="520"/>
      <c r="W188" s="520"/>
      <c r="X188" s="520"/>
      <c r="Y188" s="520"/>
      <c r="Z188" s="520"/>
      <c r="AA188" s="520"/>
      <c r="AB188" s="520"/>
      <c r="AC188" s="520"/>
      <c r="AD188" s="520"/>
      <c r="AE188" s="520"/>
      <c r="AF188" s="520"/>
      <c r="AG188" s="520"/>
      <c r="AH188" s="520"/>
      <c r="AI188" s="520"/>
      <c r="AJ188" s="520"/>
      <c r="AK188" s="62"/>
      <c r="AL188" s="62"/>
      <c r="AM188" s="62"/>
      <c r="AN188" s="62"/>
    </row>
    <row r="189" spans="1:40" x14ac:dyDescent="0.3">
      <c r="A189" s="62"/>
      <c r="B189" s="62" t="s">
        <v>536</v>
      </c>
      <c r="C189" s="62"/>
      <c r="D189" s="62"/>
      <c r="E189" s="62"/>
      <c r="F189" s="520"/>
      <c r="G189" s="520"/>
      <c r="H189" s="520"/>
      <c r="I189" s="520"/>
      <c r="J189" s="520"/>
      <c r="K189" s="520"/>
      <c r="L189" s="520"/>
      <c r="M189" s="520"/>
      <c r="N189" s="520"/>
      <c r="O189" s="520"/>
      <c r="P189" s="520"/>
      <c r="Q189" s="520"/>
      <c r="R189" s="520"/>
      <c r="S189" s="520"/>
      <c r="T189" s="520"/>
      <c r="U189" s="520"/>
      <c r="V189" s="520"/>
      <c r="W189" s="520"/>
      <c r="X189" s="520"/>
      <c r="Y189" s="520"/>
      <c r="Z189" s="520"/>
      <c r="AA189" s="520"/>
      <c r="AB189" s="520"/>
      <c r="AC189" s="520"/>
      <c r="AD189" s="520"/>
      <c r="AE189" s="520"/>
      <c r="AF189" s="520"/>
      <c r="AG189" s="520"/>
      <c r="AH189" s="520"/>
      <c r="AI189" s="520"/>
      <c r="AJ189" s="520"/>
      <c r="AK189" s="62"/>
      <c r="AL189" s="62"/>
      <c r="AM189" s="62"/>
      <c r="AN189" s="62"/>
    </row>
    <row r="190" spans="1:40" x14ac:dyDescent="0.3">
      <c r="A190" s="62"/>
      <c r="B190" s="498" t="s">
        <v>537</v>
      </c>
      <c r="C190" s="498"/>
      <c r="D190" s="498"/>
      <c r="E190" s="498"/>
      <c r="F190" s="520"/>
      <c r="G190" s="520"/>
      <c r="H190" s="520"/>
      <c r="I190" s="520"/>
      <c r="J190" s="520"/>
      <c r="K190" s="520"/>
      <c r="L190" s="520"/>
      <c r="M190" s="520"/>
      <c r="N190" s="520"/>
      <c r="O190" s="520"/>
      <c r="P190" s="520"/>
      <c r="Q190" s="520"/>
      <c r="R190" s="520"/>
      <c r="S190" s="520"/>
      <c r="T190" s="520"/>
      <c r="U190" s="520"/>
      <c r="V190" s="520"/>
      <c r="W190" s="520"/>
      <c r="X190" s="520"/>
      <c r="Y190" s="520"/>
      <c r="Z190" s="520"/>
      <c r="AA190" s="520"/>
      <c r="AB190" s="520"/>
      <c r="AC190" s="520"/>
      <c r="AD190" s="520"/>
      <c r="AE190" s="520"/>
      <c r="AF190" s="520"/>
      <c r="AG190" s="520"/>
      <c r="AH190" s="520"/>
      <c r="AI190" s="520"/>
      <c r="AJ190" s="520"/>
      <c r="AK190" s="62"/>
      <c r="AL190" s="62"/>
      <c r="AM190" s="62"/>
      <c r="AN190" s="62"/>
    </row>
    <row r="191" spans="1:40" x14ac:dyDescent="0.3">
      <c r="A191" s="62"/>
      <c r="B191" s="498" t="s">
        <v>524</v>
      </c>
      <c r="C191" s="498"/>
      <c r="D191" s="498"/>
      <c r="E191" s="498"/>
      <c r="F191" s="523"/>
      <c r="G191" s="523"/>
      <c r="H191" s="523"/>
      <c r="I191" s="523"/>
      <c r="J191" s="523"/>
      <c r="K191" s="523"/>
      <c r="L191" s="523"/>
      <c r="M191" s="523"/>
      <c r="N191" s="523">
        <f>SUM(N187:N190)</f>
        <v>0</v>
      </c>
      <c r="O191" s="523">
        <f>SUM(O187:O190)</f>
        <v>0</v>
      </c>
      <c r="P191" s="520"/>
      <c r="Q191" s="520"/>
      <c r="R191" s="520"/>
      <c r="S191" s="520"/>
      <c r="T191" s="520"/>
      <c r="U191" s="520"/>
      <c r="V191" s="520"/>
      <c r="W191" s="520"/>
      <c r="X191" s="520"/>
      <c r="Y191" s="520"/>
      <c r="Z191" s="520"/>
      <c r="AA191" s="520"/>
      <c r="AB191" s="520"/>
      <c r="AC191" s="520"/>
      <c r="AD191" s="520"/>
      <c r="AE191" s="520"/>
      <c r="AF191" s="520"/>
      <c r="AG191" s="520"/>
      <c r="AH191" s="520"/>
      <c r="AI191" s="520"/>
      <c r="AJ191" s="520"/>
      <c r="AK191" s="62"/>
      <c r="AL191" s="62"/>
      <c r="AM191" s="62"/>
      <c r="AN191" s="62"/>
    </row>
    <row r="192" spans="1:40" x14ac:dyDescent="0.3">
      <c r="A192" s="62"/>
      <c r="B192" s="62"/>
      <c r="C192" s="62"/>
      <c r="D192" s="62"/>
      <c r="E192" s="62"/>
      <c r="F192" s="520"/>
      <c r="G192" s="520"/>
      <c r="H192" s="520"/>
      <c r="I192" s="520"/>
      <c r="J192" s="520"/>
      <c r="K192" s="520"/>
      <c r="L192" s="520"/>
      <c r="M192" s="520"/>
      <c r="N192" s="520"/>
      <c r="O192" s="520"/>
      <c r="P192" s="520"/>
      <c r="Q192" s="520"/>
      <c r="R192" s="520"/>
      <c r="S192" s="520"/>
      <c r="T192" s="520"/>
      <c r="U192" s="520"/>
      <c r="V192" s="520"/>
      <c r="W192" s="520"/>
      <c r="X192" s="520"/>
      <c r="Y192" s="520"/>
      <c r="Z192" s="520"/>
      <c r="AA192" s="520"/>
      <c r="AB192" s="520"/>
      <c r="AC192" s="520"/>
      <c r="AD192" s="520"/>
      <c r="AE192" s="520"/>
      <c r="AF192" s="520"/>
      <c r="AG192" s="520"/>
      <c r="AH192" s="520"/>
      <c r="AI192" s="520"/>
      <c r="AJ192" s="520"/>
      <c r="AK192" s="62"/>
      <c r="AL192" s="62"/>
      <c r="AM192" s="62"/>
      <c r="AN192" s="62"/>
    </row>
    <row r="193" spans="1:40" x14ac:dyDescent="0.3">
      <c r="A193" s="463" t="s">
        <v>538</v>
      </c>
      <c r="B193" s="62"/>
      <c r="C193" s="62"/>
      <c r="D193" s="62"/>
      <c r="E193" s="62"/>
      <c r="F193" s="523"/>
      <c r="G193" s="523"/>
      <c r="H193" s="523"/>
      <c r="I193" s="523"/>
      <c r="J193" s="523"/>
      <c r="K193" s="523"/>
      <c r="L193" s="523"/>
      <c r="M193" s="523"/>
      <c r="N193" s="523"/>
      <c r="O193" s="523"/>
      <c r="P193" s="520"/>
      <c r="Q193" s="520"/>
      <c r="R193" s="520"/>
      <c r="S193" s="520"/>
      <c r="T193" s="520"/>
      <c r="U193" s="520"/>
      <c r="V193" s="520"/>
      <c r="W193" s="520"/>
      <c r="X193" s="520"/>
      <c r="Y193" s="520"/>
      <c r="Z193" s="520"/>
      <c r="AA193" s="520"/>
      <c r="AB193" s="520"/>
      <c r="AC193" s="520"/>
      <c r="AD193" s="520"/>
      <c r="AE193" s="520"/>
      <c r="AF193" s="520"/>
      <c r="AG193" s="520"/>
      <c r="AH193" s="520"/>
      <c r="AI193" s="520"/>
      <c r="AJ193" s="520"/>
      <c r="AK193" s="62"/>
      <c r="AL193" s="62"/>
      <c r="AM193" s="62"/>
      <c r="AN193" s="62"/>
    </row>
    <row r="194" spans="1:40" x14ac:dyDescent="0.3">
      <c r="A194" s="62"/>
      <c r="B194" s="62"/>
      <c r="C194" s="62"/>
      <c r="D194" s="62"/>
      <c r="E194" s="62"/>
      <c r="F194" s="520"/>
      <c r="G194" s="520"/>
      <c r="H194" s="520"/>
      <c r="I194" s="520"/>
      <c r="J194" s="520"/>
      <c r="K194" s="520"/>
      <c r="L194" s="520"/>
      <c r="M194" s="520"/>
      <c r="N194" s="520"/>
      <c r="O194" s="520"/>
      <c r="P194" s="520"/>
      <c r="Q194" s="520"/>
      <c r="R194" s="520"/>
      <c r="S194" s="520"/>
      <c r="T194" s="520"/>
      <c r="U194" s="520"/>
      <c r="V194" s="520"/>
      <c r="W194" s="520"/>
      <c r="X194" s="520"/>
      <c r="Y194" s="520"/>
      <c r="Z194" s="520"/>
      <c r="AA194" s="520"/>
      <c r="AB194" s="520"/>
      <c r="AC194" s="520"/>
      <c r="AD194" s="520"/>
      <c r="AE194" s="520"/>
      <c r="AF194" s="520"/>
      <c r="AG194" s="520"/>
      <c r="AH194" s="520"/>
      <c r="AI194" s="520"/>
      <c r="AJ194" s="520"/>
      <c r="AK194" s="62"/>
      <c r="AL194" s="62"/>
      <c r="AM194" s="62"/>
      <c r="AN194" s="62"/>
    </row>
    <row r="195" spans="1:40" x14ac:dyDescent="0.3">
      <c r="A195" s="62"/>
      <c r="B195" s="62"/>
      <c r="C195" s="62"/>
      <c r="D195" s="62"/>
      <c r="E195" s="62"/>
      <c r="F195" s="520"/>
      <c r="G195" s="520"/>
      <c r="H195" s="520"/>
      <c r="I195" s="520"/>
      <c r="J195" s="520"/>
      <c r="K195" s="520"/>
      <c r="L195" s="520"/>
      <c r="M195" s="520"/>
      <c r="N195" s="520"/>
      <c r="O195" s="520"/>
      <c r="P195" s="520"/>
      <c r="Q195" s="520"/>
      <c r="R195" s="520"/>
      <c r="S195" s="520"/>
      <c r="T195" s="520"/>
      <c r="U195" s="520"/>
      <c r="V195" s="520"/>
      <c r="W195" s="520"/>
      <c r="X195" s="520"/>
      <c r="Y195" s="520"/>
      <c r="Z195" s="520"/>
      <c r="AA195" s="520"/>
      <c r="AB195" s="520"/>
      <c r="AC195" s="520"/>
      <c r="AD195" s="520"/>
      <c r="AE195" s="520"/>
      <c r="AF195" s="520"/>
      <c r="AG195" s="520"/>
      <c r="AH195" s="520"/>
      <c r="AI195" s="520"/>
      <c r="AJ195" s="520"/>
      <c r="AK195" s="62"/>
      <c r="AL195" s="62"/>
      <c r="AM195" s="62"/>
      <c r="AN195" s="62"/>
    </row>
    <row r="196" spans="1:40" x14ac:dyDescent="0.3">
      <c r="A196" s="62"/>
      <c r="B196" s="62"/>
      <c r="C196" s="62"/>
      <c r="D196" s="62"/>
      <c r="E196" s="62"/>
      <c r="F196" s="520"/>
      <c r="G196" s="520"/>
      <c r="H196" s="520"/>
      <c r="I196" s="520"/>
      <c r="J196" s="520"/>
      <c r="K196" s="520"/>
      <c r="L196" s="520"/>
      <c r="M196" s="520"/>
      <c r="N196" s="520"/>
      <c r="O196" s="520"/>
      <c r="P196" s="520"/>
      <c r="Q196" s="520"/>
      <c r="R196" s="520"/>
      <c r="S196" s="520"/>
      <c r="T196" s="520"/>
      <c r="U196" s="520"/>
      <c r="V196" s="520"/>
      <c r="W196" s="520"/>
      <c r="X196" s="520"/>
      <c r="Y196" s="520"/>
      <c r="Z196" s="520"/>
      <c r="AA196" s="520"/>
      <c r="AB196" s="520"/>
      <c r="AC196" s="520"/>
      <c r="AD196" s="520"/>
      <c r="AE196" s="520"/>
      <c r="AF196" s="520"/>
      <c r="AG196" s="520"/>
      <c r="AH196" s="520"/>
      <c r="AI196" s="520"/>
      <c r="AJ196" s="520"/>
      <c r="AK196" s="62"/>
      <c r="AL196" s="62"/>
      <c r="AM196" s="62"/>
      <c r="AN196" s="62"/>
    </row>
    <row r="197" spans="1:40" x14ac:dyDescent="0.3">
      <c r="A197" s="62"/>
      <c r="B197" s="62"/>
      <c r="C197" s="62"/>
      <c r="D197" s="62"/>
      <c r="E197" s="62"/>
      <c r="F197" s="520"/>
      <c r="G197" s="520"/>
      <c r="H197" s="520"/>
      <c r="I197" s="520"/>
      <c r="J197" s="520"/>
      <c r="K197" s="520"/>
      <c r="L197" s="520"/>
      <c r="M197" s="520"/>
      <c r="N197" s="520"/>
      <c r="O197" s="520"/>
      <c r="P197" s="520"/>
      <c r="Q197" s="520"/>
      <c r="R197" s="520"/>
      <c r="S197" s="520"/>
      <c r="T197" s="520"/>
      <c r="U197" s="520"/>
      <c r="V197" s="520"/>
      <c r="W197" s="520"/>
      <c r="X197" s="520"/>
      <c r="Y197" s="520"/>
      <c r="Z197" s="520"/>
      <c r="AA197" s="520"/>
      <c r="AB197" s="520"/>
      <c r="AC197" s="520"/>
      <c r="AD197" s="520"/>
      <c r="AE197" s="520"/>
      <c r="AF197" s="520"/>
      <c r="AG197" s="520"/>
      <c r="AH197" s="520"/>
      <c r="AI197" s="520"/>
      <c r="AJ197" s="520"/>
      <c r="AK197" s="62"/>
      <c r="AL197" s="62"/>
      <c r="AM197" s="62"/>
      <c r="AN197" s="62"/>
    </row>
    <row r="198" spans="1:40" x14ac:dyDescent="0.3">
      <c r="A198" s="62"/>
      <c r="B198" s="62"/>
      <c r="C198" s="62"/>
      <c r="D198" s="62"/>
      <c r="E198" s="62"/>
      <c r="F198" s="520"/>
      <c r="G198" s="520"/>
      <c r="H198" s="520"/>
      <c r="I198" s="520"/>
      <c r="J198" s="520"/>
      <c r="K198" s="520"/>
      <c r="L198" s="520"/>
      <c r="M198" s="520"/>
      <c r="N198" s="520"/>
      <c r="O198" s="520"/>
      <c r="P198" s="520"/>
      <c r="Q198" s="520"/>
      <c r="R198" s="520"/>
      <c r="S198" s="520"/>
      <c r="T198" s="520"/>
      <c r="U198" s="520"/>
      <c r="V198" s="520"/>
      <c r="W198" s="520"/>
      <c r="X198" s="520"/>
      <c r="Y198" s="520"/>
      <c r="Z198" s="520"/>
      <c r="AA198" s="520"/>
      <c r="AB198" s="520"/>
      <c r="AC198" s="520"/>
      <c r="AD198" s="520"/>
      <c r="AE198" s="520"/>
      <c r="AF198" s="520"/>
      <c r="AG198" s="520"/>
      <c r="AH198" s="520"/>
      <c r="AI198" s="520"/>
      <c r="AJ198" s="520"/>
      <c r="AK198" s="62"/>
      <c r="AL198" s="62"/>
      <c r="AM198" s="62"/>
      <c r="AN198" s="62"/>
    </row>
    <row r="199" spans="1:40" x14ac:dyDescent="0.3">
      <c r="A199" s="62"/>
      <c r="B199" s="62"/>
      <c r="C199" s="62"/>
      <c r="D199" s="62"/>
      <c r="E199" s="62"/>
      <c r="F199" s="520"/>
      <c r="G199" s="520"/>
      <c r="H199" s="520"/>
      <c r="I199" s="520"/>
      <c r="J199" s="520"/>
      <c r="K199" s="520"/>
      <c r="L199" s="520"/>
      <c r="M199" s="520"/>
      <c r="N199" s="520"/>
      <c r="O199" s="520"/>
      <c r="P199" s="520"/>
      <c r="Q199" s="520"/>
      <c r="R199" s="520"/>
      <c r="S199" s="520"/>
      <c r="T199" s="520"/>
      <c r="U199" s="520"/>
      <c r="V199" s="520"/>
      <c r="W199" s="520"/>
      <c r="X199" s="520"/>
      <c r="Y199" s="520"/>
      <c r="Z199" s="520"/>
      <c r="AA199" s="520"/>
      <c r="AB199" s="520"/>
      <c r="AC199" s="520"/>
      <c r="AD199" s="520"/>
      <c r="AE199" s="520"/>
      <c r="AF199" s="520"/>
      <c r="AG199" s="520"/>
      <c r="AH199" s="520"/>
      <c r="AI199" s="520"/>
      <c r="AJ199" s="520"/>
      <c r="AK199" s="62"/>
      <c r="AL199" s="62"/>
      <c r="AM199" s="62"/>
      <c r="AN199" s="62"/>
    </row>
    <row r="200" spans="1:40" x14ac:dyDescent="0.3">
      <c r="A200" s="62"/>
      <c r="B200" s="62"/>
      <c r="C200" s="62"/>
      <c r="D200" s="62"/>
      <c r="E200" s="62"/>
      <c r="F200" s="520"/>
      <c r="G200" s="520"/>
      <c r="H200" s="520"/>
      <c r="I200" s="520"/>
      <c r="J200" s="520"/>
      <c r="K200" s="520"/>
      <c r="L200" s="520"/>
      <c r="M200" s="520"/>
      <c r="N200" s="520"/>
      <c r="O200" s="520"/>
      <c r="P200" s="520"/>
      <c r="Q200" s="520"/>
      <c r="R200" s="520"/>
      <c r="S200" s="520"/>
      <c r="T200" s="520"/>
      <c r="U200" s="520"/>
      <c r="V200" s="520"/>
      <c r="W200" s="520"/>
      <c r="X200" s="520"/>
      <c r="Y200" s="520"/>
      <c r="Z200" s="520"/>
      <c r="AA200" s="520"/>
      <c r="AB200" s="520"/>
      <c r="AC200" s="520"/>
      <c r="AD200" s="520"/>
      <c r="AE200" s="520"/>
      <c r="AF200" s="520"/>
      <c r="AG200" s="520"/>
      <c r="AH200" s="520"/>
      <c r="AI200" s="520"/>
      <c r="AJ200" s="520"/>
      <c r="AK200" s="62"/>
      <c r="AL200" s="62"/>
      <c r="AM200" s="62"/>
      <c r="AN200" s="62"/>
    </row>
    <row r="201" spans="1:40" x14ac:dyDescent="0.3">
      <c r="A201" s="62"/>
      <c r="B201" s="62"/>
      <c r="C201" s="62"/>
      <c r="D201" s="62"/>
      <c r="E201" s="62"/>
      <c r="F201" s="520"/>
      <c r="G201" s="520"/>
      <c r="H201" s="520"/>
      <c r="I201" s="520"/>
      <c r="J201" s="520"/>
      <c r="K201" s="520"/>
      <c r="L201" s="520"/>
      <c r="M201" s="520"/>
      <c r="N201" s="520"/>
      <c r="O201" s="520"/>
      <c r="P201" s="520"/>
      <c r="Q201" s="520"/>
      <c r="R201" s="520"/>
      <c r="S201" s="520"/>
      <c r="T201" s="520"/>
      <c r="U201" s="520"/>
      <c r="V201" s="520"/>
      <c r="W201" s="520"/>
      <c r="X201" s="520"/>
      <c r="Y201" s="520"/>
      <c r="Z201" s="520"/>
      <c r="AA201" s="520"/>
      <c r="AB201" s="520"/>
      <c r="AC201" s="520"/>
      <c r="AD201" s="520"/>
      <c r="AE201" s="520"/>
      <c r="AF201" s="520"/>
      <c r="AG201" s="520"/>
      <c r="AH201" s="520"/>
      <c r="AI201" s="520"/>
      <c r="AJ201" s="520"/>
      <c r="AK201" s="62"/>
      <c r="AL201" s="62"/>
      <c r="AM201" s="62"/>
      <c r="AN201" s="62"/>
    </row>
    <row r="202" spans="1:40" x14ac:dyDescent="0.3">
      <c r="A202" s="62"/>
      <c r="B202" s="62"/>
      <c r="C202" s="62"/>
      <c r="D202" s="62"/>
      <c r="E202" s="62"/>
      <c r="F202" s="520"/>
      <c r="G202" s="520"/>
      <c r="H202" s="520"/>
      <c r="I202" s="520"/>
      <c r="J202" s="520"/>
      <c r="K202" s="520"/>
      <c r="L202" s="520"/>
      <c r="M202" s="520"/>
      <c r="N202" s="520"/>
      <c r="O202" s="520"/>
      <c r="P202" s="520"/>
      <c r="Q202" s="520"/>
      <c r="R202" s="520"/>
      <c r="S202" s="520"/>
      <c r="T202" s="520"/>
      <c r="U202" s="520"/>
      <c r="V202" s="520"/>
      <c r="W202" s="520"/>
      <c r="X202" s="520"/>
      <c r="Y202" s="520"/>
      <c r="Z202" s="520"/>
      <c r="AA202" s="520"/>
      <c r="AB202" s="520"/>
      <c r="AC202" s="520"/>
      <c r="AD202" s="520"/>
      <c r="AE202" s="520"/>
      <c r="AF202" s="520"/>
      <c r="AG202" s="520"/>
      <c r="AH202" s="520"/>
      <c r="AI202" s="520"/>
      <c r="AJ202" s="520"/>
      <c r="AK202" s="62"/>
      <c r="AL202" s="62"/>
      <c r="AM202" s="62"/>
      <c r="AN202" s="62"/>
    </row>
    <row r="203" spans="1:40" x14ac:dyDescent="0.3">
      <c r="A203" s="62"/>
      <c r="B203" s="62"/>
      <c r="C203" s="62"/>
      <c r="D203" s="62"/>
      <c r="E203" s="62"/>
      <c r="F203" s="520"/>
      <c r="G203" s="520"/>
      <c r="H203" s="520"/>
      <c r="I203" s="520"/>
      <c r="J203" s="520"/>
      <c r="K203" s="520"/>
      <c r="L203" s="520"/>
      <c r="M203" s="520"/>
      <c r="N203" s="520"/>
      <c r="O203" s="520"/>
      <c r="P203" s="520"/>
      <c r="Q203" s="520"/>
      <c r="R203" s="520"/>
      <c r="S203" s="520"/>
      <c r="T203" s="520"/>
      <c r="U203" s="520"/>
      <c r="V203" s="520"/>
      <c r="W203" s="520"/>
      <c r="X203" s="520"/>
      <c r="Y203" s="520"/>
      <c r="Z203" s="520"/>
      <c r="AA203" s="520"/>
      <c r="AB203" s="520"/>
      <c r="AC203" s="520"/>
      <c r="AD203" s="520"/>
      <c r="AE203" s="520"/>
      <c r="AF203" s="520"/>
      <c r="AG203" s="520"/>
      <c r="AH203" s="520"/>
      <c r="AI203" s="520"/>
      <c r="AJ203" s="520"/>
      <c r="AK203" s="62"/>
      <c r="AL203" s="62"/>
      <c r="AM203" s="62"/>
      <c r="AN203" s="62"/>
    </row>
    <row r="204" spans="1:40" x14ac:dyDescent="0.3">
      <c r="A204" s="62"/>
      <c r="B204" s="62"/>
      <c r="C204" s="62"/>
      <c r="D204" s="62"/>
      <c r="E204" s="62"/>
      <c r="F204" s="520"/>
      <c r="G204" s="520"/>
      <c r="H204" s="520"/>
      <c r="I204" s="520"/>
      <c r="J204" s="520"/>
      <c r="K204" s="520"/>
      <c r="L204" s="520"/>
      <c r="M204" s="520"/>
      <c r="N204" s="520"/>
      <c r="O204" s="520"/>
      <c r="P204" s="520"/>
      <c r="Q204" s="520"/>
      <c r="R204" s="520"/>
      <c r="S204" s="520"/>
      <c r="T204" s="520"/>
      <c r="U204" s="520"/>
      <c r="V204" s="520"/>
      <c r="W204" s="520"/>
      <c r="X204" s="520"/>
      <c r="Y204" s="520"/>
      <c r="Z204" s="520"/>
      <c r="AA204" s="520"/>
      <c r="AB204" s="520"/>
      <c r="AC204" s="520"/>
      <c r="AD204" s="520"/>
      <c r="AE204" s="520"/>
      <c r="AF204" s="520"/>
      <c r="AG204" s="520"/>
      <c r="AH204" s="520"/>
      <c r="AI204" s="520"/>
      <c r="AJ204" s="520"/>
      <c r="AK204" s="62"/>
      <c r="AL204" s="62"/>
      <c r="AM204" s="62"/>
      <c r="AN204" s="62"/>
    </row>
    <row r="205" spans="1:40" x14ac:dyDescent="0.3">
      <c r="A205" s="62"/>
      <c r="B205" s="62"/>
      <c r="C205" s="62"/>
      <c r="D205" s="62"/>
      <c r="E205" s="62"/>
      <c r="F205" s="520"/>
      <c r="G205" s="520"/>
      <c r="H205" s="520"/>
      <c r="I205" s="520"/>
      <c r="J205" s="520"/>
      <c r="K205" s="520"/>
      <c r="L205" s="520"/>
      <c r="M205" s="520"/>
      <c r="N205" s="520"/>
      <c r="O205" s="520"/>
      <c r="P205" s="520"/>
      <c r="Q205" s="520"/>
      <c r="R205" s="520"/>
      <c r="S205" s="520"/>
      <c r="T205" s="520"/>
      <c r="U205" s="520"/>
      <c r="V205" s="520"/>
      <c r="W205" s="520"/>
      <c r="X205" s="520"/>
      <c r="Y205" s="520"/>
      <c r="Z205" s="520"/>
      <c r="AA205" s="520"/>
      <c r="AB205" s="520"/>
      <c r="AC205" s="520"/>
      <c r="AD205" s="520"/>
      <c r="AE205" s="520"/>
      <c r="AF205" s="520"/>
      <c r="AG205" s="520"/>
      <c r="AH205" s="520"/>
      <c r="AI205" s="520"/>
      <c r="AJ205" s="520"/>
      <c r="AK205" s="62"/>
      <c r="AL205" s="62"/>
      <c r="AM205" s="62"/>
      <c r="AN205" s="62"/>
    </row>
    <row r="206" spans="1:40" x14ac:dyDescent="0.3">
      <c r="A206" s="62"/>
      <c r="B206" s="62"/>
      <c r="C206" s="62"/>
      <c r="D206" s="62"/>
      <c r="E206" s="62"/>
      <c r="F206" s="520"/>
      <c r="G206" s="520"/>
      <c r="H206" s="520"/>
      <c r="I206" s="520"/>
      <c r="J206" s="520"/>
      <c r="K206" s="520"/>
      <c r="L206" s="520"/>
      <c r="M206" s="520"/>
      <c r="N206" s="520"/>
      <c r="O206" s="520"/>
      <c r="P206" s="520"/>
      <c r="Q206" s="520"/>
      <c r="R206" s="520"/>
      <c r="S206" s="520"/>
      <c r="T206" s="520"/>
      <c r="U206" s="520"/>
      <c r="V206" s="520"/>
      <c r="W206" s="520"/>
      <c r="X206" s="520"/>
      <c r="Y206" s="520"/>
      <c r="Z206" s="520"/>
      <c r="AA206" s="520"/>
      <c r="AB206" s="520"/>
      <c r="AC206" s="520"/>
      <c r="AD206" s="520"/>
      <c r="AE206" s="520"/>
      <c r="AF206" s="520"/>
      <c r="AG206" s="520"/>
      <c r="AH206" s="520"/>
      <c r="AI206" s="520"/>
      <c r="AJ206" s="520"/>
      <c r="AK206" s="62"/>
      <c r="AL206" s="62"/>
      <c r="AM206" s="62"/>
      <c r="AN206" s="62"/>
    </row>
    <row r="207" spans="1:40" x14ac:dyDescent="0.3">
      <c r="A207" s="62"/>
      <c r="B207" s="62"/>
      <c r="C207" s="62"/>
      <c r="D207" s="62"/>
      <c r="E207" s="62"/>
      <c r="F207" s="520"/>
      <c r="G207" s="520"/>
      <c r="H207" s="520"/>
      <c r="I207" s="520"/>
      <c r="J207" s="520"/>
      <c r="K207" s="520"/>
      <c r="L207" s="520"/>
      <c r="M207" s="520"/>
      <c r="N207" s="520"/>
      <c r="O207" s="520"/>
      <c r="P207" s="520"/>
      <c r="Q207" s="520"/>
      <c r="R207" s="520"/>
      <c r="S207" s="520"/>
      <c r="T207" s="520"/>
      <c r="U207" s="520"/>
      <c r="V207" s="520"/>
      <c r="W207" s="520"/>
      <c r="X207" s="520"/>
      <c r="Y207" s="520"/>
      <c r="Z207" s="520"/>
      <c r="AA207" s="520"/>
      <c r="AB207" s="520"/>
      <c r="AC207" s="520"/>
      <c r="AD207" s="520"/>
      <c r="AE207" s="520"/>
      <c r="AF207" s="520"/>
      <c r="AG207" s="520"/>
      <c r="AH207" s="520"/>
      <c r="AI207" s="520"/>
      <c r="AJ207" s="520"/>
      <c r="AK207" s="62"/>
      <c r="AL207" s="62"/>
      <c r="AM207" s="62"/>
      <c r="AN207" s="62"/>
    </row>
    <row r="208" spans="1:40" x14ac:dyDescent="0.3">
      <c r="A208" s="62"/>
      <c r="B208" s="62"/>
      <c r="C208" s="62"/>
      <c r="D208" s="62"/>
      <c r="E208" s="62"/>
      <c r="F208" s="520"/>
      <c r="G208" s="520"/>
      <c r="H208" s="520"/>
      <c r="I208" s="520"/>
      <c r="J208" s="520"/>
      <c r="K208" s="520"/>
      <c r="L208" s="520"/>
      <c r="M208" s="520"/>
      <c r="N208" s="520"/>
      <c r="O208" s="520"/>
      <c r="P208" s="520"/>
      <c r="Q208" s="520"/>
      <c r="R208" s="520"/>
      <c r="S208" s="520"/>
      <c r="T208" s="520"/>
      <c r="U208" s="520"/>
      <c r="V208" s="520"/>
      <c r="W208" s="520"/>
      <c r="X208" s="520"/>
      <c r="Y208" s="520"/>
      <c r="Z208" s="520"/>
      <c r="AA208" s="520"/>
      <c r="AB208" s="520"/>
      <c r="AC208" s="520"/>
      <c r="AD208" s="520"/>
      <c r="AE208" s="520"/>
      <c r="AF208" s="520"/>
      <c r="AG208" s="520"/>
      <c r="AH208" s="520"/>
      <c r="AI208" s="520"/>
      <c r="AJ208" s="520"/>
      <c r="AK208" s="62"/>
      <c r="AL208" s="62"/>
      <c r="AM208" s="62"/>
      <c r="AN208" s="62"/>
    </row>
    <row r="209" spans="1:40" x14ac:dyDescent="0.3">
      <c r="A209" s="62"/>
      <c r="B209" s="62"/>
      <c r="C209" s="62"/>
      <c r="D209" s="62"/>
      <c r="E209" s="62"/>
      <c r="F209" s="520"/>
      <c r="G209" s="520"/>
      <c r="H209" s="520"/>
      <c r="I209" s="520"/>
      <c r="J209" s="520"/>
      <c r="K209" s="520"/>
      <c r="L209" s="520"/>
      <c r="M209" s="520"/>
      <c r="N209" s="520"/>
      <c r="O209" s="520"/>
      <c r="P209" s="520"/>
      <c r="Q209" s="520"/>
      <c r="R209" s="520"/>
      <c r="S209" s="520"/>
      <c r="T209" s="520"/>
      <c r="U209" s="520"/>
      <c r="V209" s="520"/>
      <c r="W209" s="520"/>
      <c r="X209" s="520"/>
      <c r="Y209" s="520"/>
      <c r="Z209" s="520"/>
      <c r="AA209" s="520"/>
      <c r="AB209" s="520"/>
      <c r="AC209" s="520"/>
      <c r="AD209" s="520"/>
      <c r="AE209" s="520"/>
      <c r="AF209" s="520"/>
      <c r="AG209" s="520"/>
      <c r="AH209" s="520"/>
      <c r="AI209" s="520"/>
      <c r="AJ209" s="520"/>
      <c r="AK209" s="62"/>
      <c r="AL209" s="62"/>
      <c r="AM209" s="62"/>
      <c r="AN209" s="62"/>
    </row>
    <row r="210" spans="1:40" x14ac:dyDescent="0.3">
      <c r="A210" s="62"/>
      <c r="B210" s="62"/>
      <c r="C210" s="62"/>
      <c r="D210" s="62"/>
      <c r="E210" s="62"/>
      <c r="F210" s="520"/>
      <c r="G210" s="520"/>
      <c r="H210" s="520"/>
      <c r="I210" s="520"/>
      <c r="J210" s="520"/>
      <c r="K210" s="520"/>
      <c r="L210" s="520"/>
      <c r="M210" s="520"/>
      <c r="N210" s="520"/>
      <c r="O210" s="520"/>
      <c r="P210" s="520"/>
      <c r="Q210" s="520"/>
      <c r="R210" s="520"/>
      <c r="S210" s="520"/>
      <c r="T210" s="520"/>
      <c r="U210" s="520"/>
      <c r="V210" s="520"/>
      <c r="W210" s="520"/>
      <c r="X210" s="520"/>
      <c r="Y210" s="520"/>
      <c r="Z210" s="520"/>
      <c r="AA210" s="520"/>
      <c r="AB210" s="520"/>
      <c r="AC210" s="520"/>
      <c r="AD210" s="520"/>
      <c r="AE210" s="520"/>
      <c r="AF210" s="520"/>
      <c r="AG210" s="520"/>
      <c r="AH210" s="520"/>
      <c r="AI210" s="520"/>
      <c r="AJ210" s="520"/>
      <c r="AK210" s="62"/>
      <c r="AL210" s="62"/>
      <c r="AM210" s="62"/>
      <c r="AN210" s="62"/>
    </row>
    <row r="211" spans="1:40" x14ac:dyDescent="0.3">
      <c r="A211" s="62"/>
      <c r="B211" s="62"/>
      <c r="C211" s="62"/>
      <c r="D211" s="62"/>
      <c r="E211" s="62"/>
      <c r="F211" s="520"/>
      <c r="G211" s="520"/>
      <c r="H211" s="520"/>
      <c r="I211" s="520"/>
      <c r="J211" s="520"/>
      <c r="K211" s="520"/>
      <c r="L211" s="520"/>
      <c r="M211" s="520"/>
      <c r="N211" s="520"/>
      <c r="O211" s="520"/>
      <c r="P211" s="520"/>
      <c r="Q211" s="520"/>
      <c r="R211" s="520"/>
      <c r="S211" s="520"/>
      <c r="T211" s="520"/>
      <c r="U211" s="520"/>
      <c r="V211" s="520"/>
      <c r="W211" s="520"/>
      <c r="X211" s="520"/>
      <c r="Y211" s="520"/>
      <c r="Z211" s="520"/>
      <c r="AA211" s="520"/>
      <c r="AB211" s="520"/>
      <c r="AC211" s="520"/>
      <c r="AD211" s="520"/>
      <c r="AE211" s="520"/>
      <c r="AF211" s="520"/>
      <c r="AG211" s="520"/>
      <c r="AH211" s="520"/>
      <c r="AI211" s="520"/>
      <c r="AJ211" s="520"/>
      <c r="AK211" s="62"/>
      <c r="AL211" s="62"/>
      <c r="AM211" s="62"/>
      <c r="AN211" s="62"/>
    </row>
    <row r="212" spans="1:40" x14ac:dyDescent="0.3">
      <c r="A212" s="62"/>
      <c r="B212" s="62"/>
      <c r="C212" s="62"/>
      <c r="D212" s="62"/>
      <c r="E212" s="62"/>
      <c r="F212" s="520"/>
      <c r="G212" s="520"/>
      <c r="H212" s="520"/>
      <c r="I212" s="520"/>
      <c r="J212" s="520"/>
      <c r="K212" s="520"/>
      <c r="L212" s="520"/>
      <c r="M212" s="520"/>
      <c r="N212" s="520"/>
      <c r="O212" s="520"/>
      <c r="P212" s="520"/>
      <c r="Q212" s="520"/>
      <c r="R212" s="520"/>
      <c r="S212" s="520"/>
      <c r="T212" s="520"/>
      <c r="U212" s="520"/>
      <c r="V212" s="520"/>
      <c r="W212" s="520"/>
      <c r="X212" s="520"/>
      <c r="Y212" s="520"/>
      <c r="Z212" s="520"/>
      <c r="AA212" s="520"/>
      <c r="AB212" s="520"/>
      <c r="AC212" s="520"/>
      <c r="AD212" s="520"/>
      <c r="AE212" s="520"/>
      <c r="AF212" s="520"/>
      <c r="AG212" s="520"/>
      <c r="AH212" s="520"/>
      <c r="AI212" s="520"/>
      <c r="AJ212" s="520"/>
      <c r="AK212" s="62"/>
      <c r="AL212" s="62"/>
      <c r="AM212" s="62"/>
      <c r="AN212" s="62"/>
    </row>
    <row r="213" spans="1:40" x14ac:dyDescent="0.3">
      <c r="A213" s="62"/>
      <c r="B213" s="62"/>
      <c r="C213" s="62"/>
      <c r="D213" s="62"/>
      <c r="E213" s="62"/>
      <c r="F213" s="520"/>
      <c r="G213" s="520"/>
      <c r="H213" s="520"/>
      <c r="I213" s="520"/>
      <c r="J213" s="520"/>
      <c r="K213" s="520"/>
      <c r="L213" s="520"/>
      <c r="M213" s="520"/>
      <c r="N213" s="520"/>
      <c r="O213" s="520"/>
      <c r="P213" s="520"/>
      <c r="Q213" s="520"/>
      <c r="R213" s="520"/>
      <c r="S213" s="520"/>
      <c r="T213" s="520"/>
      <c r="U213" s="520"/>
      <c r="V213" s="520"/>
      <c r="W213" s="520"/>
      <c r="X213" s="520"/>
      <c r="Y213" s="520"/>
      <c r="Z213" s="520"/>
      <c r="AA213" s="520"/>
      <c r="AB213" s="520"/>
      <c r="AC213" s="520"/>
      <c r="AD213" s="520"/>
      <c r="AE213" s="520"/>
      <c r="AF213" s="520"/>
      <c r="AG213" s="520"/>
      <c r="AH213" s="520"/>
      <c r="AI213" s="520"/>
      <c r="AJ213" s="520"/>
      <c r="AK213" s="62"/>
      <c r="AL213" s="62"/>
      <c r="AM213" s="62"/>
      <c r="AN213" s="62"/>
    </row>
    <row r="214" spans="1:40" x14ac:dyDescent="0.3">
      <c r="A214" s="62"/>
      <c r="B214" s="62"/>
      <c r="C214" s="62"/>
      <c r="D214" s="62"/>
      <c r="E214" s="62"/>
      <c r="F214" s="520"/>
      <c r="G214" s="520"/>
      <c r="H214" s="520"/>
      <c r="I214" s="520"/>
      <c r="J214" s="520"/>
      <c r="K214" s="520"/>
      <c r="L214" s="520"/>
      <c r="M214" s="520"/>
      <c r="N214" s="520"/>
      <c r="O214" s="520"/>
      <c r="P214" s="520"/>
      <c r="Q214" s="520"/>
      <c r="R214" s="520"/>
      <c r="S214" s="520"/>
      <c r="T214" s="520"/>
      <c r="U214" s="520"/>
      <c r="V214" s="520"/>
      <c r="W214" s="520"/>
      <c r="X214" s="520"/>
      <c r="Y214" s="520"/>
      <c r="Z214" s="520"/>
      <c r="AA214" s="520"/>
      <c r="AB214" s="520"/>
      <c r="AC214" s="520"/>
      <c r="AD214" s="520"/>
      <c r="AE214" s="520"/>
      <c r="AF214" s="520"/>
      <c r="AG214" s="520"/>
      <c r="AH214" s="520"/>
      <c r="AI214" s="520"/>
      <c r="AJ214" s="520"/>
      <c r="AK214" s="62"/>
      <c r="AL214" s="62"/>
      <c r="AM214" s="62"/>
      <c r="AN214" s="62"/>
    </row>
    <row r="215" spans="1:40" x14ac:dyDescent="0.3">
      <c r="A215" s="62"/>
      <c r="B215" s="62"/>
      <c r="C215" s="62"/>
      <c r="D215" s="62"/>
      <c r="E215" s="62"/>
      <c r="F215" s="520"/>
      <c r="G215" s="520"/>
      <c r="H215" s="520"/>
      <c r="I215" s="520"/>
      <c r="J215" s="520"/>
      <c r="K215" s="520"/>
      <c r="L215" s="520"/>
      <c r="M215" s="520"/>
      <c r="N215" s="520"/>
      <c r="O215" s="520"/>
      <c r="P215" s="520"/>
      <c r="Q215" s="520"/>
      <c r="R215" s="520"/>
      <c r="S215" s="520"/>
      <c r="T215" s="520"/>
      <c r="U215" s="520"/>
      <c r="V215" s="520"/>
      <c r="W215" s="520"/>
      <c r="X215" s="520"/>
      <c r="Y215" s="520"/>
      <c r="Z215" s="520"/>
      <c r="AA215" s="520"/>
      <c r="AB215" s="520"/>
      <c r="AC215" s="520"/>
      <c r="AD215" s="520"/>
      <c r="AE215" s="520"/>
      <c r="AF215" s="520"/>
      <c r="AG215" s="520"/>
      <c r="AH215" s="520"/>
      <c r="AI215" s="520"/>
      <c r="AJ215" s="520"/>
      <c r="AK215" s="62"/>
      <c r="AL215" s="62"/>
      <c r="AM215" s="62"/>
      <c r="AN215" s="62"/>
    </row>
    <row r="216" spans="1:40" x14ac:dyDescent="0.3">
      <c r="A216" s="62"/>
      <c r="B216" s="62"/>
      <c r="C216" s="62"/>
      <c r="D216" s="62"/>
      <c r="E216" s="62"/>
      <c r="F216" s="520"/>
      <c r="G216" s="520"/>
      <c r="H216" s="520"/>
      <c r="I216" s="520"/>
      <c r="J216" s="520"/>
      <c r="K216" s="520"/>
      <c r="L216" s="520"/>
      <c r="M216" s="520"/>
      <c r="N216" s="520"/>
      <c r="O216" s="520"/>
      <c r="P216" s="520"/>
      <c r="Q216" s="520"/>
      <c r="R216" s="520"/>
      <c r="S216" s="520"/>
      <c r="T216" s="520"/>
      <c r="U216" s="520"/>
      <c r="V216" s="520"/>
      <c r="W216" s="520"/>
      <c r="X216" s="520"/>
      <c r="Y216" s="520"/>
      <c r="Z216" s="520"/>
      <c r="AA216" s="520"/>
      <c r="AB216" s="520"/>
      <c r="AC216" s="520"/>
      <c r="AD216" s="520"/>
      <c r="AE216" s="520"/>
      <c r="AF216" s="520"/>
      <c r="AG216" s="520"/>
      <c r="AH216" s="520"/>
      <c r="AI216" s="520"/>
      <c r="AJ216" s="520"/>
      <c r="AK216" s="62"/>
      <c r="AL216" s="62"/>
      <c r="AM216" s="62"/>
      <c r="AN216" s="62"/>
    </row>
    <row r="217" spans="1:40" x14ac:dyDescent="0.3">
      <c r="A217" s="62"/>
      <c r="B217" s="62"/>
      <c r="C217" s="62"/>
      <c r="D217" s="62"/>
      <c r="E217" s="62"/>
      <c r="F217" s="520"/>
      <c r="G217" s="520"/>
      <c r="H217" s="520"/>
      <c r="I217" s="520"/>
      <c r="J217" s="520"/>
      <c r="K217" s="520"/>
      <c r="L217" s="520"/>
      <c r="M217" s="520"/>
      <c r="N217" s="520"/>
      <c r="O217" s="520"/>
      <c r="P217" s="520"/>
      <c r="Q217" s="520"/>
      <c r="R217" s="520"/>
      <c r="S217" s="520"/>
      <c r="T217" s="520"/>
      <c r="U217" s="520"/>
      <c r="V217" s="520"/>
      <c r="W217" s="520"/>
      <c r="X217" s="520"/>
      <c r="Y217" s="520"/>
      <c r="Z217" s="520"/>
      <c r="AA217" s="520"/>
      <c r="AB217" s="520"/>
      <c r="AC217" s="520"/>
      <c r="AD217" s="520"/>
      <c r="AE217" s="520"/>
      <c r="AF217" s="520"/>
      <c r="AG217" s="520"/>
      <c r="AH217" s="520"/>
      <c r="AI217" s="520"/>
      <c r="AJ217" s="520"/>
      <c r="AK217" s="62"/>
      <c r="AL217" s="62"/>
      <c r="AM217" s="62"/>
      <c r="AN217" s="62"/>
    </row>
    <row r="218" spans="1:40" x14ac:dyDescent="0.3">
      <c r="A218" s="62"/>
      <c r="B218" s="62"/>
      <c r="C218" s="62"/>
      <c r="D218" s="62"/>
      <c r="E218" s="62"/>
      <c r="F218" s="520"/>
      <c r="G218" s="520"/>
      <c r="H218" s="520"/>
      <c r="I218" s="520"/>
      <c r="J218" s="520"/>
      <c r="K218" s="520"/>
      <c r="L218" s="520"/>
      <c r="M218" s="520"/>
      <c r="N218" s="520"/>
      <c r="O218" s="520"/>
      <c r="P218" s="520"/>
      <c r="Q218" s="520"/>
      <c r="R218" s="520"/>
      <c r="S218" s="520"/>
      <c r="T218" s="520"/>
      <c r="U218" s="520"/>
      <c r="V218" s="520"/>
      <c r="W218" s="520"/>
      <c r="X218" s="520"/>
      <c r="Y218" s="520"/>
      <c r="Z218" s="520"/>
      <c r="AA218" s="520"/>
      <c r="AB218" s="520"/>
      <c r="AC218" s="520"/>
      <c r="AD218" s="520"/>
      <c r="AE218" s="520"/>
      <c r="AF218" s="520"/>
      <c r="AG218" s="520"/>
      <c r="AH218" s="520"/>
      <c r="AI218" s="520"/>
      <c r="AJ218" s="520"/>
      <c r="AK218" s="62"/>
      <c r="AL218" s="62"/>
      <c r="AM218" s="62"/>
      <c r="AN218" s="62"/>
    </row>
    <row r="219" spans="1:40" x14ac:dyDescent="0.3">
      <c r="A219" s="62"/>
      <c r="B219" s="62"/>
      <c r="C219" s="62"/>
      <c r="D219" s="62"/>
      <c r="E219" s="62"/>
      <c r="F219" s="520"/>
      <c r="G219" s="520"/>
      <c r="H219" s="520"/>
      <c r="I219" s="520"/>
      <c r="J219" s="520"/>
      <c r="K219" s="520"/>
      <c r="L219" s="520"/>
      <c r="M219" s="520"/>
      <c r="N219" s="520"/>
      <c r="O219" s="520"/>
      <c r="P219" s="520"/>
      <c r="Q219" s="520"/>
      <c r="R219" s="520"/>
      <c r="S219" s="520"/>
      <c r="T219" s="520"/>
      <c r="U219" s="520"/>
      <c r="V219" s="520"/>
      <c r="W219" s="520"/>
      <c r="X219" s="520"/>
      <c r="Y219" s="520"/>
      <c r="Z219" s="520"/>
      <c r="AA219" s="520"/>
      <c r="AB219" s="520"/>
      <c r="AC219" s="520"/>
      <c r="AD219" s="520"/>
      <c r="AE219" s="520"/>
      <c r="AF219" s="520"/>
      <c r="AG219" s="520"/>
      <c r="AH219" s="520"/>
      <c r="AI219" s="520"/>
      <c r="AJ219" s="520"/>
      <c r="AK219" s="62"/>
      <c r="AL219" s="62"/>
      <c r="AM219" s="62"/>
      <c r="AN219" s="62"/>
    </row>
    <row r="220" spans="1:40" x14ac:dyDescent="0.3">
      <c r="A220" s="62"/>
      <c r="B220" s="62"/>
      <c r="C220" s="62"/>
      <c r="D220" s="62"/>
      <c r="E220" s="62"/>
      <c r="F220" s="520"/>
      <c r="G220" s="520"/>
      <c r="H220" s="520"/>
      <c r="I220" s="520"/>
      <c r="J220" s="520"/>
      <c r="K220" s="520"/>
      <c r="L220" s="520"/>
      <c r="M220" s="520"/>
      <c r="N220" s="520"/>
      <c r="O220" s="520"/>
      <c r="P220" s="520"/>
      <c r="Q220" s="520"/>
      <c r="R220" s="520"/>
      <c r="S220" s="520"/>
      <c r="T220" s="520"/>
      <c r="U220" s="520"/>
      <c r="V220" s="520"/>
      <c r="W220" s="520"/>
      <c r="X220" s="520"/>
      <c r="Y220" s="520"/>
      <c r="Z220" s="520"/>
      <c r="AA220" s="520"/>
      <c r="AB220" s="520"/>
      <c r="AC220" s="520"/>
      <c r="AD220" s="520"/>
      <c r="AE220" s="520"/>
      <c r="AF220" s="520"/>
      <c r="AG220" s="520"/>
      <c r="AH220" s="520"/>
      <c r="AI220" s="520"/>
      <c r="AJ220" s="520"/>
      <c r="AK220" s="62"/>
      <c r="AL220" s="62"/>
      <c r="AM220" s="62"/>
      <c r="AN220" s="62"/>
    </row>
    <row r="221" spans="1:40" x14ac:dyDescent="0.3">
      <c r="A221" s="62"/>
      <c r="B221" s="62"/>
      <c r="C221" s="62"/>
      <c r="D221" s="62"/>
      <c r="E221" s="62"/>
      <c r="F221" s="520"/>
      <c r="G221" s="520"/>
      <c r="H221" s="520"/>
      <c r="I221" s="520"/>
      <c r="J221" s="520"/>
      <c r="K221" s="520"/>
      <c r="L221" s="520"/>
      <c r="M221" s="520"/>
      <c r="N221" s="520"/>
      <c r="O221" s="520"/>
      <c r="P221" s="520"/>
      <c r="Q221" s="520"/>
      <c r="R221" s="520"/>
      <c r="S221" s="520"/>
      <c r="T221" s="520"/>
      <c r="U221" s="520"/>
      <c r="V221" s="520"/>
      <c r="W221" s="520"/>
      <c r="X221" s="520"/>
      <c r="Y221" s="520"/>
      <c r="Z221" s="520"/>
      <c r="AA221" s="520"/>
      <c r="AB221" s="520"/>
      <c r="AC221" s="520"/>
      <c r="AD221" s="520"/>
      <c r="AE221" s="520"/>
      <c r="AF221" s="520"/>
      <c r="AG221" s="520"/>
      <c r="AH221" s="520"/>
      <c r="AI221" s="520"/>
      <c r="AJ221" s="520"/>
      <c r="AK221" s="62"/>
      <c r="AL221" s="62"/>
      <c r="AM221" s="62"/>
      <c r="AN221" s="62"/>
    </row>
    <row r="222" spans="1:40" x14ac:dyDescent="0.3">
      <c r="A222" s="62"/>
      <c r="B222" s="62"/>
      <c r="C222" s="62"/>
      <c r="D222" s="62"/>
      <c r="E222" s="62"/>
      <c r="F222" s="520"/>
      <c r="G222" s="520"/>
      <c r="H222" s="520"/>
      <c r="I222" s="520"/>
      <c r="J222" s="520"/>
      <c r="K222" s="520"/>
      <c r="L222" s="520"/>
      <c r="M222" s="520"/>
      <c r="N222" s="520"/>
      <c r="O222" s="520"/>
      <c r="P222" s="520"/>
      <c r="Q222" s="520"/>
      <c r="R222" s="520"/>
      <c r="S222" s="520"/>
      <c r="T222" s="520"/>
      <c r="U222" s="520"/>
      <c r="V222" s="520"/>
      <c r="W222" s="520"/>
      <c r="X222" s="520"/>
      <c r="Y222" s="520"/>
      <c r="Z222" s="520"/>
      <c r="AA222" s="520"/>
      <c r="AB222" s="520"/>
      <c r="AC222" s="520"/>
      <c r="AD222" s="520"/>
      <c r="AE222" s="520"/>
      <c r="AF222" s="520"/>
      <c r="AG222" s="520"/>
      <c r="AH222" s="520"/>
      <c r="AI222" s="520"/>
      <c r="AJ222" s="520"/>
      <c r="AK222" s="62"/>
      <c r="AL222" s="62"/>
      <c r="AM222" s="62"/>
      <c r="AN222" s="62"/>
    </row>
    <row r="223" spans="1:40" x14ac:dyDescent="0.3">
      <c r="A223" s="62"/>
      <c r="B223" s="62"/>
      <c r="C223" s="62"/>
      <c r="D223" s="62"/>
      <c r="E223" s="62"/>
      <c r="F223" s="520"/>
      <c r="G223" s="520"/>
      <c r="H223" s="520"/>
      <c r="I223" s="520"/>
      <c r="J223" s="520"/>
      <c r="K223" s="520"/>
      <c r="L223" s="520"/>
      <c r="M223" s="520"/>
      <c r="N223" s="520"/>
      <c r="O223" s="520"/>
      <c r="P223" s="520"/>
      <c r="Q223" s="520"/>
      <c r="R223" s="520"/>
      <c r="S223" s="520"/>
      <c r="T223" s="520"/>
      <c r="U223" s="520"/>
      <c r="V223" s="520"/>
      <c r="W223" s="520"/>
      <c r="X223" s="520"/>
      <c r="Y223" s="520"/>
      <c r="Z223" s="520"/>
      <c r="AA223" s="520"/>
      <c r="AB223" s="520"/>
      <c r="AC223" s="520"/>
      <c r="AD223" s="520"/>
      <c r="AE223" s="520"/>
      <c r="AF223" s="520"/>
      <c r="AG223" s="520"/>
      <c r="AH223" s="520"/>
      <c r="AI223" s="520"/>
      <c r="AJ223" s="520"/>
      <c r="AK223" s="62"/>
      <c r="AL223" s="62"/>
      <c r="AM223" s="62"/>
      <c r="AN223" s="62"/>
    </row>
    <row r="224" spans="1:40" x14ac:dyDescent="0.3">
      <c r="A224" s="62"/>
      <c r="B224" s="62"/>
      <c r="C224" s="62"/>
      <c r="D224" s="62"/>
      <c r="E224" s="62"/>
      <c r="F224" s="520"/>
      <c r="G224" s="520"/>
      <c r="H224" s="520"/>
      <c r="I224" s="520"/>
      <c r="J224" s="520"/>
      <c r="K224" s="520"/>
      <c r="L224" s="520"/>
      <c r="M224" s="520"/>
      <c r="N224" s="520"/>
      <c r="O224" s="520"/>
      <c r="P224" s="520"/>
      <c r="Q224" s="520"/>
      <c r="R224" s="520"/>
      <c r="S224" s="520"/>
      <c r="T224" s="520"/>
      <c r="U224" s="520"/>
      <c r="V224" s="520"/>
      <c r="W224" s="520"/>
      <c r="X224" s="520"/>
      <c r="Y224" s="520"/>
      <c r="Z224" s="520"/>
      <c r="AA224" s="520"/>
      <c r="AB224" s="520"/>
      <c r="AC224" s="520"/>
      <c r="AD224" s="520"/>
      <c r="AE224" s="520"/>
      <c r="AF224" s="520"/>
      <c r="AG224" s="520"/>
      <c r="AH224" s="520"/>
      <c r="AI224" s="520"/>
      <c r="AJ224" s="520"/>
      <c r="AK224" s="62"/>
      <c r="AL224" s="62"/>
      <c r="AM224" s="62"/>
      <c r="AN224" s="62"/>
    </row>
    <row r="225" spans="1:40" x14ac:dyDescent="0.3">
      <c r="A225" s="62"/>
      <c r="B225" s="62"/>
      <c r="C225" s="62"/>
      <c r="D225" s="62"/>
      <c r="E225" s="62"/>
      <c r="F225" s="520"/>
      <c r="G225" s="520"/>
      <c r="H225" s="520"/>
      <c r="I225" s="520"/>
      <c r="J225" s="520"/>
      <c r="K225" s="520"/>
      <c r="L225" s="520"/>
      <c r="M225" s="520"/>
      <c r="N225" s="520"/>
      <c r="O225" s="520"/>
      <c r="P225" s="520"/>
      <c r="Q225" s="520"/>
      <c r="R225" s="520"/>
      <c r="S225" s="520"/>
      <c r="T225" s="520"/>
      <c r="U225" s="520"/>
      <c r="V225" s="520"/>
      <c r="W225" s="520"/>
      <c r="X225" s="520"/>
      <c r="Y225" s="520"/>
      <c r="Z225" s="520"/>
      <c r="AA225" s="520"/>
      <c r="AB225" s="520"/>
      <c r="AC225" s="520"/>
      <c r="AD225" s="520"/>
      <c r="AE225" s="520"/>
      <c r="AF225" s="520"/>
      <c r="AG225" s="520"/>
      <c r="AH225" s="520"/>
      <c r="AI225" s="520"/>
      <c r="AJ225" s="520"/>
      <c r="AK225" s="62"/>
      <c r="AL225" s="62"/>
      <c r="AM225" s="62"/>
      <c r="AN225" s="62"/>
    </row>
    <row r="226" spans="1:40" x14ac:dyDescent="0.3">
      <c r="A226" s="62"/>
      <c r="B226" s="62"/>
      <c r="C226" s="62"/>
      <c r="D226" s="62"/>
      <c r="E226" s="62"/>
      <c r="F226" s="520"/>
      <c r="G226" s="520"/>
      <c r="H226" s="520"/>
      <c r="I226" s="520"/>
      <c r="J226" s="520"/>
      <c r="K226" s="520"/>
      <c r="L226" s="520"/>
      <c r="M226" s="520"/>
      <c r="N226" s="520"/>
      <c r="O226" s="520"/>
      <c r="P226" s="520"/>
      <c r="Q226" s="520"/>
      <c r="R226" s="520"/>
      <c r="S226" s="520"/>
      <c r="T226" s="520"/>
      <c r="U226" s="520"/>
      <c r="V226" s="520"/>
      <c r="W226" s="520"/>
      <c r="X226" s="520"/>
      <c r="Y226" s="520"/>
      <c r="Z226" s="520"/>
      <c r="AA226" s="520"/>
      <c r="AB226" s="520"/>
      <c r="AC226" s="520"/>
      <c r="AD226" s="520"/>
      <c r="AE226" s="520"/>
      <c r="AF226" s="520"/>
      <c r="AG226" s="520"/>
      <c r="AH226" s="520"/>
      <c r="AI226" s="520"/>
      <c r="AJ226" s="520"/>
      <c r="AK226" s="62"/>
      <c r="AL226" s="62"/>
      <c r="AM226" s="62"/>
      <c r="AN226" s="62"/>
    </row>
    <row r="227" spans="1:40" x14ac:dyDescent="0.3">
      <c r="A227" s="62"/>
      <c r="B227" s="62"/>
      <c r="C227" s="62"/>
      <c r="D227" s="62"/>
      <c r="E227" s="62"/>
      <c r="F227" s="520"/>
      <c r="G227" s="520"/>
      <c r="H227" s="520"/>
      <c r="I227" s="520"/>
      <c r="J227" s="520"/>
      <c r="K227" s="520"/>
      <c r="L227" s="520"/>
      <c r="M227" s="520"/>
      <c r="N227" s="520"/>
      <c r="O227" s="520"/>
      <c r="P227" s="520"/>
      <c r="Q227" s="520"/>
      <c r="R227" s="520"/>
      <c r="S227" s="520"/>
      <c r="T227" s="520"/>
      <c r="U227" s="520"/>
      <c r="V227" s="520"/>
      <c r="W227" s="520"/>
      <c r="X227" s="520"/>
      <c r="Y227" s="520"/>
      <c r="Z227" s="520"/>
      <c r="AA227" s="520"/>
      <c r="AB227" s="520"/>
      <c r="AC227" s="520"/>
      <c r="AD227" s="520"/>
      <c r="AE227" s="520"/>
      <c r="AF227" s="520"/>
      <c r="AG227" s="520"/>
      <c r="AH227" s="520"/>
      <c r="AI227" s="520"/>
      <c r="AJ227" s="520"/>
      <c r="AK227" s="62"/>
      <c r="AL227" s="62"/>
      <c r="AM227" s="62"/>
      <c r="AN227" s="62"/>
    </row>
    <row r="228" spans="1:40" x14ac:dyDescent="0.3">
      <c r="A228" s="62"/>
      <c r="B228" s="62"/>
      <c r="C228" s="62"/>
      <c r="D228" s="62"/>
      <c r="E228" s="62"/>
      <c r="F228" s="520"/>
      <c r="G228" s="520"/>
      <c r="H228" s="520"/>
      <c r="I228" s="520"/>
      <c r="J228" s="520"/>
      <c r="K228" s="520"/>
      <c r="L228" s="520"/>
      <c r="M228" s="520"/>
      <c r="N228" s="520"/>
      <c r="O228" s="520"/>
      <c r="P228" s="520"/>
      <c r="Q228" s="520"/>
      <c r="R228" s="520"/>
      <c r="S228" s="520"/>
      <c r="T228" s="520"/>
      <c r="U228" s="520"/>
      <c r="V228" s="520"/>
      <c r="W228" s="520"/>
      <c r="X228" s="520"/>
      <c r="Y228" s="520"/>
      <c r="Z228" s="520"/>
      <c r="AA228" s="520"/>
      <c r="AB228" s="520"/>
      <c r="AC228" s="520"/>
      <c r="AD228" s="520"/>
      <c r="AE228" s="520"/>
      <c r="AF228" s="520"/>
      <c r="AG228" s="520"/>
      <c r="AH228" s="520"/>
      <c r="AI228" s="520"/>
      <c r="AJ228" s="520"/>
      <c r="AK228" s="62"/>
      <c r="AL228" s="62"/>
      <c r="AM228" s="62"/>
      <c r="AN228" s="62"/>
    </row>
    <row r="229" spans="1:40" x14ac:dyDescent="0.3">
      <c r="A229" s="62"/>
      <c r="B229" s="62"/>
      <c r="C229" s="62"/>
      <c r="D229" s="62"/>
      <c r="E229" s="62"/>
      <c r="F229" s="520"/>
      <c r="G229" s="520"/>
      <c r="H229" s="520"/>
      <c r="I229" s="520"/>
      <c r="J229" s="520"/>
      <c r="K229" s="520"/>
      <c r="L229" s="520"/>
      <c r="M229" s="520"/>
      <c r="N229" s="520"/>
      <c r="O229" s="520"/>
      <c r="P229" s="520"/>
      <c r="Q229" s="520"/>
      <c r="R229" s="520"/>
      <c r="S229" s="520"/>
      <c r="T229" s="520"/>
      <c r="U229" s="520"/>
      <c r="V229" s="520"/>
      <c r="W229" s="520"/>
      <c r="X229" s="520"/>
      <c r="Y229" s="520"/>
      <c r="Z229" s="520"/>
      <c r="AA229" s="520"/>
      <c r="AB229" s="520"/>
      <c r="AC229" s="520"/>
      <c r="AD229" s="520"/>
      <c r="AE229" s="520"/>
      <c r="AF229" s="520"/>
      <c r="AG229" s="520"/>
      <c r="AH229" s="520"/>
      <c r="AI229" s="520"/>
      <c r="AJ229" s="520"/>
      <c r="AK229" s="62"/>
      <c r="AL229" s="62"/>
      <c r="AM229" s="62"/>
      <c r="AN229" s="62"/>
    </row>
    <row r="230" spans="1:40" x14ac:dyDescent="0.3">
      <c r="A230" s="62"/>
      <c r="B230" s="62"/>
      <c r="C230" s="62"/>
      <c r="D230" s="62"/>
      <c r="E230" s="62"/>
      <c r="F230" s="520"/>
      <c r="G230" s="520"/>
      <c r="H230" s="520"/>
      <c r="I230" s="520"/>
      <c r="J230" s="520"/>
      <c r="K230" s="520"/>
      <c r="L230" s="520"/>
      <c r="M230" s="520"/>
      <c r="N230" s="520"/>
      <c r="O230" s="520"/>
      <c r="P230" s="520"/>
      <c r="Q230" s="520"/>
      <c r="R230" s="520"/>
      <c r="S230" s="520"/>
      <c r="T230" s="520"/>
      <c r="U230" s="520"/>
      <c r="V230" s="520"/>
      <c r="W230" s="520"/>
      <c r="X230" s="520"/>
      <c r="Y230" s="520"/>
      <c r="Z230" s="520"/>
      <c r="AA230" s="520"/>
      <c r="AB230" s="520"/>
      <c r="AC230" s="520"/>
      <c r="AD230" s="520"/>
      <c r="AE230" s="520"/>
      <c r="AF230" s="520"/>
      <c r="AG230" s="520"/>
      <c r="AH230" s="520"/>
      <c r="AI230" s="520"/>
      <c r="AJ230" s="520"/>
      <c r="AK230" s="62"/>
      <c r="AL230" s="62"/>
      <c r="AM230" s="62"/>
      <c r="AN230" s="62"/>
    </row>
    <row r="231" spans="1:40" x14ac:dyDescent="0.3">
      <c r="A231" s="62"/>
      <c r="B231" s="62"/>
      <c r="C231" s="62"/>
      <c r="D231" s="62"/>
      <c r="E231" s="62"/>
      <c r="F231" s="520"/>
      <c r="G231" s="520"/>
      <c r="H231" s="520"/>
      <c r="I231" s="520"/>
      <c r="J231" s="520"/>
      <c r="K231" s="520"/>
      <c r="L231" s="520"/>
      <c r="M231" s="520"/>
      <c r="N231" s="520"/>
      <c r="O231" s="520"/>
      <c r="P231" s="520"/>
      <c r="Q231" s="520"/>
      <c r="R231" s="520"/>
      <c r="S231" s="520"/>
      <c r="T231" s="520"/>
      <c r="U231" s="520"/>
      <c r="V231" s="520"/>
      <c r="W231" s="520"/>
      <c r="X231" s="520"/>
      <c r="Y231" s="520"/>
      <c r="Z231" s="520"/>
      <c r="AA231" s="520"/>
      <c r="AB231" s="520"/>
      <c r="AC231" s="520"/>
      <c r="AD231" s="520"/>
      <c r="AE231" s="520"/>
      <c r="AF231" s="520"/>
      <c r="AG231" s="520"/>
      <c r="AH231" s="520"/>
      <c r="AI231" s="520"/>
      <c r="AJ231" s="520"/>
      <c r="AK231" s="62"/>
      <c r="AL231" s="62"/>
      <c r="AM231" s="62"/>
      <c r="AN231" s="62"/>
    </row>
    <row r="232" spans="1:40" x14ac:dyDescent="0.3">
      <c r="A232" s="62"/>
      <c r="B232" s="62"/>
      <c r="C232" s="62"/>
      <c r="D232" s="62"/>
      <c r="E232" s="62"/>
      <c r="F232" s="520"/>
      <c r="G232" s="520"/>
      <c r="H232" s="520"/>
      <c r="I232" s="520"/>
      <c r="J232" s="520"/>
      <c r="K232" s="520"/>
      <c r="L232" s="520"/>
      <c r="M232" s="520"/>
      <c r="N232" s="520"/>
      <c r="O232" s="520"/>
      <c r="P232" s="520"/>
      <c r="Q232" s="520"/>
      <c r="R232" s="520"/>
      <c r="S232" s="520"/>
      <c r="T232" s="520"/>
      <c r="U232" s="520"/>
      <c r="V232" s="520"/>
      <c r="W232" s="520"/>
      <c r="X232" s="520"/>
      <c r="Y232" s="520"/>
      <c r="Z232" s="520"/>
      <c r="AA232" s="520"/>
      <c r="AB232" s="520"/>
      <c r="AC232" s="520"/>
      <c r="AD232" s="520"/>
      <c r="AE232" s="520"/>
      <c r="AF232" s="520"/>
      <c r="AG232" s="520"/>
      <c r="AH232" s="520"/>
      <c r="AI232" s="520"/>
      <c r="AJ232" s="520"/>
      <c r="AK232" s="62"/>
      <c r="AL232" s="62"/>
      <c r="AM232" s="62"/>
      <c r="AN232" s="62"/>
    </row>
    <row r="233" spans="1:40" x14ac:dyDescent="0.3">
      <c r="A233" s="62"/>
      <c r="B233" s="62"/>
      <c r="C233" s="62"/>
      <c r="D233" s="62"/>
      <c r="E233" s="62"/>
      <c r="F233" s="520"/>
      <c r="G233" s="520"/>
      <c r="H233" s="520"/>
      <c r="I233" s="520"/>
      <c r="J233" s="520"/>
      <c r="K233" s="520"/>
      <c r="L233" s="520"/>
      <c r="M233" s="520"/>
      <c r="N233" s="520"/>
      <c r="O233" s="520"/>
      <c r="P233" s="520"/>
      <c r="Q233" s="520"/>
      <c r="R233" s="520"/>
      <c r="S233" s="520"/>
      <c r="T233" s="520"/>
      <c r="U233" s="520"/>
      <c r="V233" s="520"/>
      <c r="W233" s="520"/>
      <c r="X233" s="520"/>
      <c r="Y233" s="520"/>
      <c r="Z233" s="520"/>
      <c r="AA233" s="520"/>
      <c r="AB233" s="520"/>
      <c r="AC233" s="520"/>
      <c r="AD233" s="520"/>
      <c r="AE233" s="520"/>
      <c r="AF233" s="520"/>
      <c r="AG233" s="520"/>
      <c r="AH233" s="520"/>
      <c r="AI233" s="520"/>
      <c r="AJ233" s="520"/>
      <c r="AK233" s="62"/>
      <c r="AL233" s="62"/>
      <c r="AM233" s="62"/>
      <c r="AN233" s="62"/>
    </row>
    <row r="234" spans="1:40" x14ac:dyDescent="0.3">
      <c r="A234" s="62"/>
      <c r="B234" s="62"/>
      <c r="C234" s="62"/>
      <c r="D234" s="62"/>
      <c r="E234" s="62"/>
      <c r="F234" s="520"/>
      <c r="G234" s="520"/>
      <c r="H234" s="520"/>
      <c r="I234" s="520"/>
      <c r="J234" s="520"/>
      <c r="K234" s="520"/>
      <c r="L234" s="520"/>
      <c r="M234" s="520"/>
      <c r="N234" s="520"/>
      <c r="O234" s="520"/>
      <c r="P234" s="520"/>
      <c r="Q234" s="520"/>
      <c r="R234" s="520"/>
      <c r="S234" s="520"/>
      <c r="T234" s="520"/>
      <c r="U234" s="520"/>
      <c r="V234" s="520"/>
      <c r="W234" s="520"/>
      <c r="X234" s="520"/>
      <c r="Y234" s="520"/>
      <c r="Z234" s="520"/>
      <c r="AA234" s="520"/>
      <c r="AB234" s="520"/>
      <c r="AC234" s="520"/>
      <c r="AD234" s="520"/>
      <c r="AE234" s="520"/>
      <c r="AF234" s="520"/>
      <c r="AG234" s="520"/>
      <c r="AH234" s="520"/>
      <c r="AI234" s="520"/>
      <c r="AJ234" s="520"/>
      <c r="AK234" s="62"/>
      <c r="AL234" s="62"/>
      <c r="AM234" s="62"/>
      <c r="AN234" s="62"/>
    </row>
    <row r="235" spans="1:40" x14ac:dyDescent="0.3">
      <c r="A235" s="62"/>
      <c r="B235" s="62"/>
      <c r="C235" s="62"/>
      <c r="D235" s="62"/>
      <c r="E235" s="62"/>
      <c r="F235" s="520"/>
      <c r="G235" s="520"/>
      <c r="H235" s="520"/>
      <c r="I235" s="520"/>
      <c r="J235" s="520"/>
      <c r="K235" s="520"/>
      <c r="L235" s="520"/>
      <c r="M235" s="520"/>
      <c r="N235" s="520"/>
      <c r="O235" s="520"/>
      <c r="P235" s="520"/>
      <c r="Q235" s="520"/>
      <c r="R235" s="520"/>
      <c r="S235" s="520"/>
      <c r="T235" s="520"/>
      <c r="U235" s="520"/>
      <c r="V235" s="520"/>
      <c r="W235" s="520"/>
      <c r="X235" s="520"/>
      <c r="Y235" s="520"/>
      <c r="Z235" s="520"/>
      <c r="AA235" s="520"/>
      <c r="AB235" s="520"/>
      <c r="AC235" s="520"/>
      <c r="AD235" s="520"/>
      <c r="AE235" s="520"/>
      <c r="AF235" s="520"/>
      <c r="AG235" s="520"/>
      <c r="AH235" s="520"/>
      <c r="AI235" s="520"/>
      <c r="AJ235" s="520"/>
      <c r="AK235" s="62"/>
      <c r="AL235" s="62"/>
      <c r="AM235" s="62"/>
      <c r="AN235" s="62"/>
    </row>
    <row r="236" spans="1:40" x14ac:dyDescent="0.3">
      <c r="A236" s="62"/>
      <c r="B236" s="62"/>
      <c r="C236" s="62"/>
      <c r="D236" s="62"/>
      <c r="E236" s="62"/>
      <c r="F236" s="520"/>
      <c r="G236" s="520"/>
      <c r="H236" s="520"/>
      <c r="I236" s="520"/>
      <c r="J236" s="520"/>
      <c r="K236" s="520"/>
      <c r="L236" s="520"/>
      <c r="M236" s="520"/>
      <c r="N236" s="520"/>
      <c r="O236" s="520"/>
      <c r="P236" s="520"/>
      <c r="Q236" s="520"/>
      <c r="R236" s="520"/>
      <c r="S236" s="520"/>
      <c r="T236" s="520"/>
      <c r="U236" s="520"/>
      <c r="V236" s="520"/>
      <c r="W236" s="520"/>
      <c r="X236" s="520"/>
      <c r="Y236" s="520"/>
      <c r="Z236" s="520"/>
      <c r="AA236" s="520"/>
      <c r="AB236" s="520"/>
      <c r="AC236" s="520"/>
      <c r="AD236" s="520"/>
      <c r="AE236" s="520"/>
      <c r="AF236" s="520"/>
      <c r="AG236" s="520"/>
      <c r="AH236" s="520"/>
      <c r="AI236" s="520"/>
      <c r="AJ236" s="520"/>
      <c r="AK236" s="62"/>
      <c r="AL236" s="62"/>
      <c r="AM236" s="62"/>
      <c r="AN236" s="62"/>
    </row>
    <row r="237" spans="1:40" x14ac:dyDescent="0.3">
      <c r="A237" s="62"/>
      <c r="B237" s="62"/>
      <c r="C237" s="62"/>
      <c r="D237" s="62"/>
      <c r="E237" s="62"/>
      <c r="F237" s="520"/>
      <c r="G237" s="520"/>
      <c r="H237" s="520"/>
      <c r="I237" s="520"/>
      <c r="J237" s="520"/>
      <c r="K237" s="520"/>
      <c r="L237" s="520"/>
      <c r="M237" s="520"/>
      <c r="N237" s="520"/>
      <c r="O237" s="520"/>
      <c r="P237" s="520"/>
      <c r="Q237" s="520"/>
      <c r="R237" s="520"/>
      <c r="S237" s="520"/>
      <c r="T237" s="520"/>
      <c r="U237" s="520"/>
      <c r="V237" s="520"/>
      <c r="W237" s="520"/>
      <c r="X237" s="520"/>
      <c r="Y237" s="520"/>
      <c r="Z237" s="520"/>
      <c r="AA237" s="520"/>
      <c r="AB237" s="520"/>
      <c r="AC237" s="520"/>
      <c r="AD237" s="520"/>
      <c r="AE237" s="520"/>
      <c r="AF237" s="520"/>
      <c r="AG237" s="520"/>
      <c r="AH237" s="520"/>
      <c r="AI237" s="520"/>
      <c r="AJ237" s="520"/>
      <c r="AK237" s="62"/>
      <c r="AL237" s="62"/>
      <c r="AM237" s="62"/>
      <c r="AN237" s="62"/>
    </row>
    <row r="238" spans="1:40" x14ac:dyDescent="0.3">
      <c r="A238" s="62"/>
      <c r="B238" s="62"/>
      <c r="C238" s="62"/>
      <c r="D238" s="62"/>
      <c r="E238" s="62"/>
      <c r="F238" s="520"/>
      <c r="G238" s="520"/>
      <c r="H238" s="520"/>
      <c r="I238" s="520"/>
      <c r="J238" s="520"/>
      <c r="K238" s="520"/>
      <c r="L238" s="520"/>
      <c r="M238" s="520"/>
      <c r="N238" s="520"/>
      <c r="O238" s="520"/>
      <c r="P238" s="520"/>
      <c r="Q238" s="520"/>
      <c r="R238" s="520"/>
      <c r="S238" s="520"/>
      <c r="T238" s="520"/>
      <c r="U238" s="520"/>
      <c r="V238" s="520"/>
      <c r="W238" s="520"/>
      <c r="X238" s="520"/>
      <c r="Y238" s="520"/>
      <c r="Z238" s="520"/>
      <c r="AA238" s="520"/>
      <c r="AB238" s="520"/>
      <c r="AC238" s="520"/>
      <c r="AD238" s="520"/>
      <c r="AE238" s="520"/>
      <c r="AF238" s="520"/>
      <c r="AG238" s="520"/>
      <c r="AH238" s="520"/>
      <c r="AI238" s="520"/>
      <c r="AJ238" s="520"/>
      <c r="AK238" s="62"/>
      <c r="AL238" s="62"/>
      <c r="AM238" s="62"/>
      <c r="AN238" s="62"/>
    </row>
    <row r="239" spans="1:40" x14ac:dyDescent="0.3">
      <c r="A239" s="62"/>
      <c r="B239" s="62"/>
      <c r="C239" s="62"/>
      <c r="D239" s="62"/>
      <c r="E239" s="62"/>
      <c r="F239" s="520"/>
      <c r="G239" s="520"/>
      <c r="H239" s="520"/>
      <c r="I239" s="520"/>
      <c r="J239" s="520"/>
      <c r="K239" s="520"/>
      <c r="L239" s="520"/>
      <c r="M239" s="520"/>
      <c r="N239" s="520"/>
      <c r="O239" s="520"/>
      <c r="P239" s="520"/>
      <c r="Q239" s="520"/>
      <c r="R239" s="520"/>
      <c r="S239" s="520"/>
      <c r="T239" s="520"/>
      <c r="U239" s="520"/>
      <c r="V239" s="520"/>
      <c r="W239" s="520"/>
      <c r="X239" s="520"/>
      <c r="Y239" s="520"/>
      <c r="Z239" s="520"/>
      <c r="AA239" s="520"/>
      <c r="AB239" s="520"/>
      <c r="AC239" s="520"/>
      <c r="AD239" s="520"/>
      <c r="AE239" s="520"/>
      <c r="AF239" s="520"/>
      <c r="AG239" s="520"/>
      <c r="AH239" s="520"/>
      <c r="AI239" s="520"/>
      <c r="AJ239" s="520"/>
      <c r="AK239" s="62"/>
      <c r="AL239" s="62"/>
      <c r="AM239" s="62"/>
      <c r="AN239" s="62"/>
    </row>
    <row r="240" spans="1:40" x14ac:dyDescent="0.3">
      <c r="A240" s="62"/>
      <c r="B240" s="62"/>
      <c r="C240" s="62"/>
      <c r="D240" s="62"/>
      <c r="E240" s="62"/>
      <c r="F240" s="520"/>
      <c r="G240" s="520"/>
      <c r="H240" s="520"/>
      <c r="I240" s="520"/>
      <c r="J240" s="520"/>
      <c r="K240" s="520"/>
      <c r="L240" s="520"/>
      <c r="M240" s="520"/>
      <c r="N240" s="520"/>
      <c r="O240" s="520"/>
      <c r="P240" s="520"/>
      <c r="Q240" s="520"/>
      <c r="R240" s="520"/>
      <c r="S240" s="520"/>
      <c r="T240" s="520"/>
      <c r="U240" s="520"/>
      <c r="V240" s="520"/>
      <c r="W240" s="520"/>
      <c r="X240" s="520"/>
      <c r="Y240" s="520"/>
      <c r="Z240" s="520"/>
      <c r="AA240" s="520"/>
      <c r="AB240" s="520"/>
      <c r="AC240" s="520"/>
      <c r="AD240" s="520"/>
      <c r="AE240" s="520"/>
      <c r="AF240" s="520"/>
      <c r="AG240" s="520"/>
      <c r="AH240" s="520"/>
      <c r="AI240" s="520"/>
      <c r="AJ240" s="520"/>
      <c r="AK240" s="62"/>
      <c r="AL240" s="62"/>
      <c r="AM240" s="62"/>
      <c r="AN240" s="62"/>
    </row>
    <row r="241" spans="1:40" x14ac:dyDescent="0.3">
      <c r="A241" s="62"/>
      <c r="B241" s="62"/>
      <c r="C241" s="62"/>
      <c r="D241" s="62"/>
      <c r="E241" s="62"/>
      <c r="F241" s="520"/>
      <c r="G241" s="520"/>
      <c r="H241" s="520"/>
      <c r="I241" s="520"/>
      <c r="J241" s="520"/>
      <c r="K241" s="520"/>
      <c r="L241" s="520"/>
      <c r="M241" s="520"/>
      <c r="N241" s="520"/>
      <c r="O241" s="520"/>
      <c r="P241" s="520"/>
      <c r="Q241" s="520"/>
      <c r="R241" s="520"/>
      <c r="S241" s="520"/>
      <c r="T241" s="520"/>
      <c r="U241" s="520"/>
      <c r="V241" s="520"/>
      <c r="W241" s="520"/>
      <c r="X241" s="520"/>
      <c r="Y241" s="520"/>
      <c r="Z241" s="520"/>
      <c r="AA241" s="520"/>
      <c r="AB241" s="520"/>
      <c r="AC241" s="520"/>
      <c r="AD241" s="520"/>
      <c r="AE241" s="520"/>
      <c r="AF241" s="520"/>
      <c r="AG241" s="520"/>
      <c r="AH241" s="520"/>
      <c r="AI241" s="520"/>
      <c r="AJ241" s="520"/>
      <c r="AK241" s="62"/>
      <c r="AL241" s="62"/>
      <c r="AM241" s="62"/>
      <c r="AN241" s="62"/>
    </row>
    <row r="242" spans="1:40" x14ac:dyDescent="0.3">
      <c r="A242" s="62"/>
      <c r="B242" s="62"/>
      <c r="C242" s="62"/>
      <c r="D242" s="62"/>
      <c r="E242" s="62"/>
      <c r="F242" s="520"/>
      <c r="G242" s="520"/>
      <c r="H242" s="520"/>
      <c r="I242" s="520"/>
      <c r="J242" s="520"/>
      <c r="K242" s="520"/>
      <c r="L242" s="520"/>
      <c r="M242" s="520"/>
      <c r="N242" s="520"/>
      <c r="O242" s="520"/>
      <c r="P242" s="520"/>
      <c r="Q242" s="520"/>
      <c r="R242" s="520"/>
      <c r="S242" s="520"/>
      <c r="T242" s="520"/>
      <c r="U242" s="520"/>
      <c r="V242" s="520"/>
      <c r="W242" s="520"/>
      <c r="X242" s="520"/>
      <c r="Y242" s="520"/>
      <c r="Z242" s="520"/>
      <c r="AA242" s="520"/>
      <c r="AB242" s="520"/>
      <c r="AC242" s="520"/>
      <c r="AD242" s="520"/>
      <c r="AE242" s="520"/>
      <c r="AF242" s="520"/>
      <c r="AG242" s="520"/>
      <c r="AH242" s="520"/>
      <c r="AI242" s="520"/>
      <c r="AJ242" s="520"/>
      <c r="AK242" s="62"/>
      <c r="AL242" s="62"/>
      <c r="AM242" s="62"/>
      <c r="AN242" s="62"/>
    </row>
    <row r="243" spans="1:40" x14ac:dyDescent="0.3">
      <c r="A243" s="62"/>
      <c r="B243" s="62"/>
      <c r="C243" s="62"/>
      <c r="D243" s="62"/>
      <c r="E243" s="62"/>
      <c r="F243" s="520"/>
      <c r="G243" s="520"/>
      <c r="H243" s="520"/>
      <c r="I243" s="520"/>
      <c r="J243" s="520"/>
      <c r="K243" s="520"/>
      <c r="L243" s="520"/>
      <c r="M243" s="520"/>
      <c r="N243" s="520"/>
      <c r="O243" s="520"/>
      <c r="P243" s="520"/>
      <c r="Q243" s="520"/>
      <c r="R243" s="520"/>
      <c r="S243" s="520"/>
      <c r="T243" s="520"/>
      <c r="U243" s="520"/>
      <c r="V243" s="520"/>
      <c r="W243" s="520"/>
      <c r="X243" s="520"/>
      <c r="Y243" s="520"/>
      <c r="Z243" s="520"/>
      <c r="AA243" s="520"/>
      <c r="AB243" s="520"/>
      <c r="AC243" s="520"/>
      <c r="AD243" s="520"/>
      <c r="AE243" s="520"/>
      <c r="AF243" s="520"/>
      <c r="AG243" s="520"/>
      <c r="AH243" s="520"/>
      <c r="AI243" s="520"/>
      <c r="AJ243" s="520"/>
      <c r="AK243" s="62"/>
      <c r="AL243" s="62"/>
      <c r="AM243" s="62"/>
      <c r="AN243" s="62"/>
    </row>
    <row r="244" spans="1:40" x14ac:dyDescent="0.3">
      <c r="A244" s="62"/>
      <c r="B244" s="62"/>
      <c r="C244" s="62"/>
      <c r="D244" s="62"/>
      <c r="E244" s="62"/>
      <c r="F244" s="520"/>
      <c r="G244" s="520"/>
      <c r="H244" s="520"/>
      <c r="I244" s="520"/>
      <c r="J244" s="520"/>
      <c r="K244" s="520"/>
      <c r="L244" s="520"/>
      <c r="M244" s="520"/>
      <c r="N244" s="520"/>
      <c r="O244" s="520"/>
      <c r="P244" s="520"/>
      <c r="Q244" s="520"/>
      <c r="R244" s="520"/>
      <c r="S244" s="520"/>
      <c r="T244" s="520"/>
      <c r="U244" s="520"/>
      <c r="V244" s="520"/>
      <c r="W244" s="520"/>
      <c r="X244" s="520"/>
      <c r="Y244" s="520"/>
      <c r="Z244" s="520"/>
      <c r="AA244" s="520"/>
      <c r="AB244" s="520"/>
      <c r="AC244" s="520"/>
      <c r="AD244" s="520"/>
      <c r="AE244" s="520"/>
      <c r="AF244" s="520"/>
      <c r="AG244" s="520"/>
      <c r="AH244" s="520"/>
      <c r="AI244" s="520"/>
      <c r="AJ244" s="520"/>
      <c r="AK244" s="62"/>
      <c r="AL244" s="62"/>
      <c r="AM244" s="62"/>
      <c r="AN244" s="62"/>
    </row>
    <row r="245" spans="1:40" x14ac:dyDescent="0.3">
      <c r="A245" s="62"/>
      <c r="B245" s="62"/>
      <c r="C245" s="62"/>
      <c r="D245" s="62"/>
      <c r="E245" s="62"/>
      <c r="F245" s="520"/>
      <c r="G245" s="520"/>
      <c r="H245" s="520"/>
      <c r="I245" s="520"/>
      <c r="J245" s="520"/>
      <c r="K245" s="520"/>
      <c r="L245" s="520"/>
      <c r="M245" s="520"/>
      <c r="N245" s="520"/>
      <c r="O245" s="520"/>
      <c r="P245" s="520"/>
      <c r="Q245" s="520"/>
      <c r="R245" s="520"/>
      <c r="S245" s="520"/>
      <c r="T245" s="520"/>
      <c r="U245" s="520"/>
      <c r="V245" s="520"/>
      <c r="W245" s="520"/>
      <c r="X245" s="520"/>
      <c r="Y245" s="520"/>
      <c r="Z245" s="520"/>
      <c r="AA245" s="520"/>
      <c r="AB245" s="520"/>
      <c r="AC245" s="520"/>
      <c r="AD245" s="520"/>
      <c r="AE245" s="520"/>
      <c r="AF245" s="520"/>
      <c r="AG245" s="520"/>
      <c r="AH245" s="520"/>
      <c r="AI245" s="520"/>
      <c r="AJ245" s="520"/>
      <c r="AK245" s="62"/>
      <c r="AL245" s="62"/>
      <c r="AM245" s="62"/>
      <c r="AN245" s="62"/>
    </row>
    <row r="246" spans="1:40" x14ac:dyDescent="0.3">
      <c r="A246" s="62"/>
      <c r="B246" s="62"/>
      <c r="C246" s="62"/>
      <c r="D246" s="62"/>
      <c r="E246" s="62"/>
      <c r="F246" s="520"/>
      <c r="G246" s="520"/>
      <c r="H246" s="520"/>
      <c r="I246" s="520"/>
      <c r="J246" s="520"/>
      <c r="K246" s="520"/>
      <c r="L246" s="520"/>
      <c r="M246" s="520"/>
      <c r="N246" s="520"/>
      <c r="O246" s="520"/>
      <c r="P246" s="520"/>
      <c r="Q246" s="520"/>
      <c r="R246" s="520"/>
      <c r="S246" s="520"/>
      <c r="T246" s="520"/>
      <c r="U246" s="520"/>
      <c r="V246" s="520"/>
      <c r="W246" s="520"/>
      <c r="X246" s="520"/>
      <c r="Y246" s="520"/>
      <c r="Z246" s="520"/>
      <c r="AA246" s="520"/>
      <c r="AB246" s="520"/>
      <c r="AC246" s="520"/>
      <c r="AD246" s="520"/>
      <c r="AE246" s="520"/>
      <c r="AF246" s="520"/>
      <c r="AG246" s="520"/>
      <c r="AH246" s="520"/>
      <c r="AI246" s="520"/>
      <c r="AJ246" s="520"/>
      <c r="AK246" s="62"/>
      <c r="AL246" s="62"/>
      <c r="AM246" s="62"/>
      <c r="AN246" s="62"/>
    </row>
    <row r="247" spans="1:40" x14ac:dyDescent="0.3">
      <c r="A247" s="62"/>
      <c r="B247" s="62"/>
      <c r="C247" s="62"/>
      <c r="D247" s="62"/>
      <c r="E247" s="62"/>
      <c r="F247" s="520"/>
      <c r="G247" s="520"/>
      <c r="H247" s="520"/>
      <c r="I247" s="520"/>
      <c r="J247" s="520"/>
      <c r="K247" s="520"/>
      <c r="L247" s="520"/>
      <c r="M247" s="520"/>
      <c r="N247" s="520"/>
      <c r="O247" s="520"/>
      <c r="P247" s="520"/>
      <c r="Q247" s="520"/>
      <c r="R247" s="520"/>
      <c r="S247" s="520"/>
      <c r="T247" s="520"/>
      <c r="U247" s="520"/>
      <c r="V247" s="520"/>
      <c r="W247" s="520"/>
      <c r="X247" s="520"/>
      <c r="Y247" s="520"/>
      <c r="Z247" s="520"/>
      <c r="AA247" s="520"/>
      <c r="AB247" s="520"/>
      <c r="AC247" s="520"/>
      <c r="AD247" s="520"/>
      <c r="AE247" s="520"/>
      <c r="AF247" s="520"/>
      <c r="AG247" s="520"/>
      <c r="AH247" s="520"/>
      <c r="AI247" s="520"/>
      <c r="AJ247" s="520"/>
      <c r="AK247" s="62"/>
      <c r="AL247" s="62"/>
      <c r="AM247" s="62"/>
      <c r="AN247" s="62"/>
    </row>
    <row r="248" spans="1:40" x14ac:dyDescent="0.3">
      <c r="A248" s="62"/>
      <c r="B248" s="62"/>
      <c r="C248" s="62"/>
      <c r="D248" s="62"/>
      <c r="E248" s="62"/>
      <c r="F248" s="520"/>
      <c r="G248" s="520"/>
      <c r="H248" s="520"/>
      <c r="I248" s="520"/>
      <c r="J248" s="520"/>
      <c r="K248" s="520"/>
      <c r="L248" s="520"/>
      <c r="M248" s="520"/>
      <c r="N248" s="520"/>
      <c r="O248" s="520"/>
      <c r="P248" s="520"/>
      <c r="Q248" s="520"/>
      <c r="R248" s="520"/>
      <c r="S248" s="520"/>
      <c r="T248" s="520"/>
      <c r="U248" s="520"/>
      <c r="V248" s="520"/>
      <c r="W248" s="520"/>
      <c r="X248" s="520"/>
      <c r="Y248" s="520"/>
      <c r="Z248" s="520"/>
      <c r="AA248" s="520"/>
      <c r="AB248" s="520"/>
      <c r="AC248" s="520"/>
      <c r="AD248" s="520"/>
      <c r="AE248" s="520"/>
      <c r="AF248" s="520"/>
      <c r="AG248" s="520"/>
      <c r="AH248" s="520"/>
      <c r="AI248" s="520"/>
      <c r="AJ248" s="520"/>
      <c r="AK248" s="62"/>
      <c r="AL248" s="62"/>
      <c r="AM248" s="62"/>
      <c r="AN248" s="62"/>
    </row>
    <row r="249" spans="1:40" x14ac:dyDescent="0.3">
      <c r="A249" s="62"/>
      <c r="B249" s="62"/>
      <c r="C249" s="62"/>
      <c r="D249" s="62"/>
      <c r="E249" s="62"/>
      <c r="F249" s="520"/>
      <c r="G249" s="520"/>
      <c r="H249" s="520"/>
      <c r="I249" s="520"/>
      <c r="J249" s="520"/>
      <c r="K249" s="520"/>
      <c r="L249" s="520"/>
      <c r="M249" s="520"/>
      <c r="N249" s="520"/>
      <c r="O249" s="520"/>
      <c r="P249" s="520"/>
      <c r="Q249" s="520"/>
      <c r="R249" s="520"/>
      <c r="S249" s="520"/>
      <c r="T249" s="520"/>
      <c r="U249" s="520"/>
      <c r="V249" s="520"/>
      <c r="W249" s="520"/>
      <c r="X249" s="520"/>
      <c r="Y249" s="520"/>
      <c r="Z249" s="520"/>
      <c r="AA249" s="520"/>
      <c r="AB249" s="520"/>
      <c r="AC249" s="520"/>
      <c r="AD249" s="520"/>
      <c r="AE249" s="520"/>
      <c r="AF249" s="520"/>
      <c r="AG249" s="520"/>
      <c r="AH249" s="520"/>
      <c r="AI249" s="520"/>
      <c r="AJ249" s="520"/>
      <c r="AK249" s="62"/>
      <c r="AL249" s="62"/>
      <c r="AM249" s="62"/>
      <c r="AN249" s="62"/>
    </row>
    <row r="250" spans="1:40" x14ac:dyDescent="0.3">
      <c r="A250" s="62"/>
      <c r="B250" s="62"/>
      <c r="C250" s="62"/>
      <c r="D250" s="62"/>
      <c r="E250" s="62"/>
      <c r="F250" s="520"/>
      <c r="G250" s="520"/>
      <c r="H250" s="520"/>
      <c r="I250" s="520"/>
      <c r="J250" s="520"/>
      <c r="K250" s="520"/>
      <c r="L250" s="520"/>
      <c r="M250" s="520"/>
      <c r="N250" s="520"/>
      <c r="O250" s="520"/>
      <c r="P250" s="520"/>
      <c r="Q250" s="520"/>
      <c r="R250" s="520"/>
      <c r="S250" s="520"/>
      <c r="T250" s="520"/>
      <c r="U250" s="520"/>
      <c r="V250" s="520"/>
      <c r="W250" s="520"/>
      <c r="X250" s="520"/>
      <c r="Y250" s="520"/>
      <c r="Z250" s="520"/>
      <c r="AA250" s="520"/>
      <c r="AB250" s="520"/>
      <c r="AC250" s="520"/>
      <c r="AD250" s="520"/>
      <c r="AE250" s="520"/>
      <c r="AF250" s="520"/>
      <c r="AG250" s="520"/>
      <c r="AH250" s="520"/>
      <c r="AI250" s="520"/>
      <c r="AJ250" s="520"/>
      <c r="AK250" s="62"/>
      <c r="AL250" s="62"/>
      <c r="AM250" s="62"/>
      <c r="AN250" s="62"/>
    </row>
    <row r="251" spans="1:40" x14ac:dyDescent="0.3">
      <c r="A251" s="62"/>
      <c r="B251" s="62"/>
      <c r="C251" s="62"/>
      <c r="D251" s="62"/>
      <c r="E251" s="62"/>
      <c r="F251" s="520"/>
      <c r="G251" s="520"/>
      <c r="H251" s="520"/>
      <c r="I251" s="520"/>
      <c r="J251" s="520"/>
      <c r="K251" s="520"/>
      <c r="L251" s="520"/>
      <c r="M251" s="520"/>
      <c r="N251" s="520"/>
      <c r="O251" s="520"/>
      <c r="P251" s="520"/>
      <c r="Q251" s="520"/>
      <c r="R251" s="520"/>
      <c r="S251" s="520"/>
      <c r="T251" s="520"/>
      <c r="U251" s="520"/>
      <c r="V251" s="520"/>
      <c r="W251" s="520"/>
      <c r="X251" s="520"/>
      <c r="Y251" s="520"/>
      <c r="Z251" s="520"/>
      <c r="AA251" s="520"/>
      <c r="AB251" s="520"/>
      <c r="AC251" s="520"/>
      <c r="AD251" s="520"/>
      <c r="AE251" s="520"/>
      <c r="AF251" s="520"/>
      <c r="AG251" s="520"/>
      <c r="AH251" s="520"/>
      <c r="AI251" s="520"/>
      <c r="AJ251" s="520"/>
      <c r="AK251" s="62"/>
      <c r="AL251" s="62"/>
      <c r="AM251" s="62"/>
      <c r="AN251" s="62"/>
    </row>
    <row r="252" spans="1:40" x14ac:dyDescent="0.3">
      <c r="A252" s="62"/>
      <c r="B252" s="62"/>
      <c r="C252" s="62"/>
      <c r="D252" s="62"/>
      <c r="E252" s="62"/>
      <c r="F252" s="520"/>
      <c r="G252" s="520"/>
      <c r="H252" s="520"/>
      <c r="I252" s="520"/>
      <c r="J252" s="520"/>
      <c r="K252" s="520"/>
      <c r="L252" s="520"/>
      <c r="M252" s="520"/>
      <c r="N252" s="520"/>
      <c r="O252" s="520"/>
      <c r="P252" s="520"/>
      <c r="Q252" s="520"/>
      <c r="R252" s="520"/>
      <c r="S252" s="520"/>
      <c r="T252" s="520"/>
      <c r="U252" s="520"/>
      <c r="V252" s="520"/>
      <c r="W252" s="520"/>
      <c r="X252" s="520"/>
      <c r="Y252" s="520"/>
      <c r="Z252" s="520"/>
      <c r="AA252" s="520"/>
      <c r="AB252" s="520"/>
      <c r="AC252" s="520"/>
      <c r="AD252" s="520"/>
      <c r="AE252" s="520"/>
      <c r="AF252" s="520"/>
      <c r="AG252" s="520"/>
      <c r="AH252" s="520"/>
      <c r="AI252" s="520"/>
      <c r="AJ252" s="520"/>
      <c r="AK252" s="62"/>
      <c r="AL252" s="62"/>
      <c r="AM252" s="62"/>
      <c r="AN252" s="62"/>
    </row>
    <row r="253" spans="1:40" x14ac:dyDescent="0.3">
      <c r="A253" s="62"/>
      <c r="B253" s="62"/>
      <c r="C253" s="62"/>
      <c r="D253" s="62"/>
      <c r="E253" s="62"/>
      <c r="F253" s="520"/>
      <c r="G253" s="520"/>
      <c r="H253" s="520"/>
      <c r="I253" s="520"/>
      <c r="J253" s="520"/>
      <c r="K253" s="520"/>
      <c r="L253" s="520"/>
      <c r="M253" s="520"/>
      <c r="N253" s="520"/>
      <c r="O253" s="520"/>
      <c r="P253" s="520"/>
      <c r="Q253" s="520"/>
      <c r="R253" s="520"/>
      <c r="S253" s="520"/>
      <c r="T253" s="520"/>
      <c r="U253" s="520"/>
      <c r="V253" s="520"/>
      <c r="W253" s="520"/>
      <c r="X253" s="520"/>
      <c r="Y253" s="520"/>
      <c r="Z253" s="520"/>
      <c r="AA253" s="520"/>
      <c r="AB253" s="520"/>
      <c r="AC253" s="520"/>
      <c r="AD253" s="520"/>
      <c r="AE253" s="520"/>
      <c r="AF253" s="520"/>
      <c r="AG253" s="520"/>
      <c r="AH253" s="520"/>
      <c r="AI253" s="520"/>
      <c r="AJ253" s="520"/>
      <c r="AK253" s="62"/>
      <c r="AL253" s="62"/>
      <c r="AM253" s="62"/>
      <c r="AN253" s="62"/>
    </row>
    <row r="254" spans="1:40" x14ac:dyDescent="0.3">
      <c r="A254" s="62"/>
      <c r="B254" s="62"/>
      <c r="C254" s="62"/>
      <c r="D254" s="62"/>
      <c r="E254" s="62"/>
      <c r="F254" s="520"/>
      <c r="G254" s="520"/>
      <c r="H254" s="520"/>
      <c r="I254" s="520"/>
      <c r="J254" s="520"/>
      <c r="K254" s="520"/>
      <c r="L254" s="520"/>
      <c r="M254" s="520"/>
      <c r="N254" s="520"/>
      <c r="O254" s="520"/>
      <c r="P254" s="520"/>
      <c r="Q254" s="520"/>
      <c r="R254" s="520"/>
      <c r="S254" s="520"/>
      <c r="T254" s="520"/>
      <c r="U254" s="520"/>
      <c r="V254" s="520"/>
      <c r="W254" s="520"/>
      <c r="X254" s="520"/>
      <c r="Y254" s="520"/>
      <c r="Z254" s="520"/>
      <c r="AA254" s="520"/>
      <c r="AB254" s="520"/>
      <c r="AC254" s="520"/>
      <c r="AD254" s="520"/>
      <c r="AE254" s="520"/>
      <c r="AF254" s="520"/>
      <c r="AG254" s="520"/>
      <c r="AH254" s="520"/>
      <c r="AI254" s="520"/>
      <c r="AJ254" s="520"/>
      <c r="AK254" s="62"/>
      <c r="AL254" s="62"/>
      <c r="AM254" s="62"/>
      <c r="AN254" s="62"/>
    </row>
    <row r="255" spans="1:40" x14ac:dyDescent="0.3">
      <c r="A255" s="62"/>
      <c r="B255" s="62"/>
      <c r="C255" s="62"/>
      <c r="D255" s="62"/>
      <c r="E255" s="62"/>
      <c r="F255" s="520"/>
      <c r="G255" s="520"/>
      <c r="H255" s="520"/>
      <c r="I255" s="520"/>
      <c r="J255" s="520"/>
      <c r="K255" s="520"/>
      <c r="L255" s="520"/>
      <c r="M255" s="520"/>
      <c r="N255" s="520"/>
      <c r="O255" s="520"/>
      <c r="P255" s="520"/>
      <c r="Q255" s="520"/>
      <c r="R255" s="520"/>
      <c r="S255" s="520"/>
      <c r="T255" s="520"/>
      <c r="U255" s="520"/>
      <c r="V255" s="520"/>
      <c r="W255" s="520"/>
      <c r="X255" s="520"/>
      <c r="Y255" s="520"/>
      <c r="Z255" s="520"/>
      <c r="AA255" s="520"/>
      <c r="AB255" s="520"/>
      <c r="AC255" s="520"/>
      <c r="AD255" s="520"/>
      <c r="AE255" s="520"/>
      <c r="AF255" s="520"/>
      <c r="AG255" s="520"/>
      <c r="AH255" s="520"/>
      <c r="AI255" s="520"/>
      <c r="AJ255" s="520"/>
      <c r="AK255" s="62"/>
      <c r="AL255" s="62"/>
      <c r="AM255" s="62"/>
      <c r="AN255" s="62"/>
    </row>
    <row r="256" spans="1:40" x14ac:dyDescent="0.3">
      <c r="A256" s="62"/>
      <c r="B256" s="62"/>
      <c r="C256" s="62"/>
      <c r="D256" s="62"/>
      <c r="E256" s="62"/>
      <c r="F256" s="520"/>
      <c r="G256" s="520"/>
      <c r="H256" s="520"/>
      <c r="I256" s="520"/>
      <c r="J256" s="520"/>
      <c r="K256" s="520"/>
      <c r="L256" s="520"/>
      <c r="M256" s="520"/>
      <c r="N256" s="520"/>
      <c r="O256" s="520"/>
      <c r="P256" s="520"/>
      <c r="Q256" s="520"/>
      <c r="R256" s="520"/>
      <c r="S256" s="520"/>
      <c r="T256" s="520"/>
      <c r="U256" s="520"/>
      <c r="V256" s="520"/>
      <c r="W256" s="520"/>
      <c r="X256" s="520"/>
      <c r="Y256" s="520"/>
      <c r="Z256" s="520"/>
      <c r="AA256" s="520"/>
      <c r="AB256" s="520"/>
      <c r="AC256" s="520"/>
      <c r="AD256" s="520"/>
      <c r="AE256" s="520"/>
      <c r="AF256" s="520"/>
      <c r="AG256" s="520"/>
      <c r="AH256" s="520"/>
      <c r="AI256" s="520"/>
      <c r="AJ256" s="520"/>
      <c r="AK256" s="62"/>
      <c r="AL256" s="62"/>
      <c r="AM256" s="62"/>
      <c r="AN256" s="62"/>
    </row>
    <row r="257" spans="1:40" x14ac:dyDescent="0.3">
      <c r="A257" s="62"/>
      <c r="B257" s="62"/>
      <c r="C257" s="62"/>
      <c r="D257" s="62"/>
      <c r="E257" s="62"/>
      <c r="F257" s="520"/>
      <c r="G257" s="520"/>
      <c r="H257" s="520"/>
      <c r="I257" s="520"/>
      <c r="J257" s="520"/>
      <c r="K257" s="520"/>
      <c r="L257" s="520"/>
      <c r="M257" s="520"/>
      <c r="N257" s="520"/>
      <c r="O257" s="520"/>
      <c r="P257" s="520"/>
      <c r="Q257" s="520"/>
      <c r="R257" s="520"/>
      <c r="S257" s="520"/>
      <c r="T257" s="520"/>
      <c r="U257" s="520"/>
      <c r="V257" s="520"/>
      <c r="W257" s="520"/>
      <c r="X257" s="520"/>
      <c r="Y257" s="520"/>
      <c r="Z257" s="520"/>
      <c r="AA257" s="520"/>
      <c r="AB257" s="520"/>
      <c r="AC257" s="520"/>
      <c r="AD257" s="520"/>
      <c r="AE257" s="520"/>
      <c r="AF257" s="520"/>
      <c r="AG257" s="520"/>
      <c r="AH257" s="520"/>
      <c r="AI257" s="520"/>
      <c r="AJ257" s="520"/>
      <c r="AK257" s="62"/>
      <c r="AL257" s="62"/>
      <c r="AM257" s="62"/>
      <c r="AN257" s="62"/>
    </row>
    <row r="258" spans="1:40" x14ac:dyDescent="0.3">
      <c r="A258" s="62"/>
      <c r="B258" s="62"/>
      <c r="C258" s="62"/>
      <c r="D258" s="62"/>
      <c r="E258" s="62"/>
      <c r="F258" s="520"/>
      <c r="G258" s="520"/>
      <c r="H258" s="520"/>
      <c r="I258" s="520"/>
      <c r="J258" s="520"/>
      <c r="K258" s="520"/>
      <c r="L258" s="520"/>
      <c r="M258" s="520"/>
      <c r="N258" s="520"/>
      <c r="O258" s="520"/>
      <c r="P258" s="520"/>
      <c r="Q258" s="520"/>
      <c r="R258" s="520"/>
      <c r="S258" s="520"/>
      <c r="T258" s="520"/>
      <c r="U258" s="520"/>
      <c r="V258" s="520"/>
      <c r="W258" s="520"/>
      <c r="X258" s="520"/>
      <c r="Y258" s="520"/>
      <c r="Z258" s="520"/>
      <c r="AA258" s="520"/>
      <c r="AB258" s="520"/>
      <c r="AC258" s="520"/>
      <c r="AD258" s="520"/>
      <c r="AE258" s="520"/>
      <c r="AF258" s="520"/>
      <c r="AG258" s="520"/>
      <c r="AH258" s="520"/>
      <c r="AI258" s="520"/>
      <c r="AJ258" s="520"/>
      <c r="AK258" s="62"/>
      <c r="AL258" s="62"/>
      <c r="AM258" s="62"/>
      <c r="AN258" s="62"/>
    </row>
    <row r="259" spans="1:40" x14ac:dyDescent="0.3">
      <c r="A259" s="62"/>
      <c r="B259" s="62"/>
      <c r="C259" s="62"/>
      <c r="D259" s="62"/>
      <c r="E259" s="62"/>
      <c r="F259" s="520"/>
      <c r="G259" s="520"/>
      <c r="H259" s="520"/>
      <c r="I259" s="520"/>
      <c r="J259" s="520"/>
      <c r="K259" s="520"/>
      <c r="L259" s="520"/>
      <c r="M259" s="520"/>
      <c r="N259" s="520"/>
      <c r="O259" s="520"/>
      <c r="P259" s="520"/>
      <c r="Q259" s="520"/>
      <c r="R259" s="520"/>
      <c r="S259" s="520"/>
      <c r="T259" s="520"/>
      <c r="U259" s="520"/>
      <c r="V259" s="520"/>
      <c r="W259" s="520"/>
      <c r="X259" s="520"/>
      <c r="Y259" s="520"/>
      <c r="Z259" s="520"/>
      <c r="AA259" s="520"/>
      <c r="AB259" s="520"/>
      <c r="AC259" s="520"/>
      <c r="AD259" s="520"/>
      <c r="AE259" s="520"/>
      <c r="AF259" s="520"/>
      <c r="AG259" s="520"/>
      <c r="AH259" s="520"/>
      <c r="AI259" s="520"/>
      <c r="AJ259" s="520"/>
      <c r="AK259" s="62"/>
      <c r="AL259" s="62"/>
      <c r="AM259" s="62"/>
      <c r="AN259" s="62"/>
    </row>
    <row r="260" spans="1:40" x14ac:dyDescent="0.3">
      <c r="A260" s="62"/>
      <c r="B260" s="62"/>
      <c r="C260" s="62"/>
      <c r="D260" s="62"/>
      <c r="E260" s="62"/>
      <c r="F260" s="520"/>
      <c r="G260" s="520"/>
      <c r="H260" s="520"/>
      <c r="I260" s="520"/>
      <c r="J260" s="520"/>
      <c r="K260" s="520"/>
      <c r="L260" s="520"/>
      <c r="M260" s="520"/>
      <c r="N260" s="520"/>
      <c r="O260" s="520"/>
      <c r="P260" s="520"/>
      <c r="Q260" s="520"/>
      <c r="R260" s="520"/>
      <c r="S260" s="520"/>
      <c r="T260" s="520"/>
      <c r="U260" s="520"/>
      <c r="V260" s="520"/>
      <c r="W260" s="520"/>
      <c r="X260" s="520"/>
      <c r="Y260" s="520"/>
      <c r="Z260" s="520"/>
      <c r="AA260" s="520"/>
      <c r="AB260" s="520"/>
      <c r="AC260" s="520"/>
      <c r="AD260" s="520"/>
      <c r="AE260" s="520"/>
      <c r="AF260" s="520"/>
      <c r="AG260" s="520"/>
      <c r="AH260" s="520"/>
      <c r="AI260" s="520"/>
      <c r="AJ260" s="520"/>
      <c r="AK260" s="62"/>
      <c r="AL260" s="62"/>
      <c r="AM260" s="62"/>
      <c r="AN260" s="62"/>
    </row>
    <row r="261" spans="1:40" x14ac:dyDescent="0.3">
      <c r="A261" s="62"/>
      <c r="B261" s="62"/>
      <c r="C261" s="62"/>
      <c r="D261" s="62"/>
      <c r="E261" s="62"/>
      <c r="F261" s="520"/>
      <c r="G261" s="520"/>
      <c r="H261" s="520"/>
      <c r="I261" s="520"/>
      <c r="J261" s="520"/>
      <c r="K261" s="520"/>
      <c r="L261" s="520"/>
      <c r="M261" s="520"/>
      <c r="N261" s="520"/>
      <c r="O261" s="520"/>
      <c r="P261" s="520"/>
      <c r="Q261" s="520"/>
      <c r="R261" s="520"/>
      <c r="S261" s="520"/>
      <c r="T261" s="520"/>
      <c r="U261" s="520"/>
      <c r="V261" s="520"/>
      <c r="W261" s="520"/>
      <c r="X261" s="520"/>
      <c r="Y261" s="520"/>
      <c r="Z261" s="520"/>
      <c r="AA261" s="520"/>
      <c r="AB261" s="520"/>
      <c r="AC261" s="520"/>
      <c r="AD261" s="520"/>
      <c r="AE261" s="520"/>
      <c r="AF261" s="520"/>
      <c r="AG261" s="520"/>
      <c r="AH261" s="520"/>
      <c r="AI261" s="520"/>
      <c r="AJ261" s="520"/>
      <c r="AK261" s="62"/>
      <c r="AL261" s="62"/>
      <c r="AM261" s="62"/>
      <c r="AN261" s="62"/>
    </row>
    <row r="262" spans="1:40" x14ac:dyDescent="0.3">
      <c r="A262" s="62"/>
      <c r="B262" s="62"/>
      <c r="C262" s="62"/>
      <c r="D262" s="62"/>
      <c r="E262" s="62"/>
      <c r="F262" s="520"/>
      <c r="G262" s="520"/>
      <c r="H262" s="520"/>
      <c r="I262" s="520"/>
      <c r="J262" s="520"/>
      <c r="K262" s="520"/>
      <c r="L262" s="520"/>
      <c r="M262" s="520"/>
      <c r="N262" s="520"/>
      <c r="O262" s="520"/>
      <c r="P262" s="520"/>
      <c r="Q262" s="520"/>
      <c r="R262" s="520"/>
      <c r="S262" s="520"/>
      <c r="T262" s="520"/>
      <c r="U262" s="520"/>
      <c r="V262" s="520"/>
      <c r="W262" s="520"/>
      <c r="X262" s="520"/>
      <c r="Y262" s="520"/>
      <c r="Z262" s="520"/>
      <c r="AA262" s="520"/>
      <c r="AB262" s="520"/>
      <c r="AC262" s="520"/>
      <c r="AD262" s="520"/>
      <c r="AE262" s="520"/>
      <c r="AF262" s="520"/>
      <c r="AG262" s="520"/>
      <c r="AH262" s="520"/>
      <c r="AI262" s="520"/>
      <c r="AJ262" s="520"/>
      <c r="AK262" s="62"/>
      <c r="AL262" s="62"/>
      <c r="AM262" s="62"/>
      <c r="AN262" s="62"/>
    </row>
    <row r="263" spans="1:40" x14ac:dyDescent="0.3">
      <c r="A263" s="62"/>
      <c r="B263" s="62"/>
      <c r="C263" s="62"/>
      <c r="D263" s="62"/>
      <c r="E263" s="62"/>
      <c r="F263" s="520"/>
      <c r="G263" s="520"/>
      <c r="H263" s="520"/>
      <c r="I263" s="520"/>
      <c r="J263" s="520"/>
      <c r="K263" s="520"/>
      <c r="L263" s="520"/>
      <c r="M263" s="520"/>
      <c r="N263" s="520"/>
      <c r="O263" s="520"/>
      <c r="P263" s="520"/>
      <c r="Q263" s="520"/>
      <c r="R263" s="520"/>
      <c r="S263" s="520"/>
      <c r="T263" s="520"/>
      <c r="U263" s="520"/>
      <c r="V263" s="520"/>
      <c r="W263" s="520"/>
      <c r="X263" s="520"/>
      <c r="Y263" s="520"/>
      <c r="Z263" s="520"/>
      <c r="AA263" s="520"/>
      <c r="AB263" s="520"/>
      <c r="AC263" s="520"/>
      <c r="AD263" s="520"/>
      <c r="AE263" s="520"/>
      <c r="AF263" s="520"/>
      <c r="AG263" s="520"/>
      <c r="AH263" s="520"/>
      <c r="AI263" s="520"/>
      <c r="AJ263" s="520"/>
      <c r="AK263" s="62"/>
      <c r="AL263" s="62"/>
      <c r="AM263" s="62"/>
      <c r="AN263" s="62"/>
    </row>
    <row r="264" spans="1:40" x14ac:dyDescent="0.3">
      <c r="A264" s="62"/>
      <c r="B264" s="62"/>
      <c r="C264" s="62"/>
      <c r="D264" s="62"/>
      <c r="E264" s="62"/>
      <c r="F264" s="520"/>
      <c r="G264" s="520"/>
      <c r="H264" s="520"/>
      <c r="I264" s="520"/>
      <c r="J264" s="520"/>
      <c r="K264" s="520"/>
      <c r="L264" s="520"/>
      <c r="M264" s="520"/>
      <c r="N264" s="520"/>
      <c r="O264" s="520"/>
      <c r="P264" s="520"/>
      <c r="Q264" s="520"/>
      <c r="R264" s="520"/>
      <c r="S264" s="520"/>
      <c r="T264" s="520"/>
      <c r="U264" s="520"/>
      <c r="V264" s="520"/>
      <c r="W264" s="520"/>
      <c r="X264" s="520"/>
      <c r="Y264" s="520"/>
      <c r="Z264" s="520"/>
      <c r="AA264" s="520"/>
      <c r="AB264" s="520"/>
      <c r="AC264" s="520"/>
      <c r="AD264" s="520"/>
      <c r="AE264" s="520"/>
      <c r="AF264" s="520"/>
      <c r="AG264" s="520"/>
      <c r="AH264" s="520"/>
      <c r="AI264" s="520"/>
      <c r="AJ264" s="520"/>
      <c r="AK264" s="62"/>
      <c r="AL264" s="62"/>
      <c r="AM264" s="62"/>
      <c r="AN264" s="62"/>
    </row>
    <row r="265" spans="1:40" x14ac:dyDescent="0.3">
      <c r="A265" s="62"/>
      <c r="B265" s="62"/>
      <c r="C265" s="62"/>
      <c r="D265" s="62"/>
      <c r="E265" s="62"/>
      <c r="F265" s="520"/>
      <c r="G265" s="520"/>
      <c r="H265" s="520"/>
      <c r="I265" s="520"/>
      <c r="J265" s="520"/>
      <c r="K265" s="520"/>
      <c r="L265" s="520"/>
      <c r="M265" s="520"/>
      <c r="N265" s="520"/>
      <c r="O265" s="520"/>
      <c r="P265" s="520"/>
      <c r="Q265" s="520"/>
      <c r="R265" s="520"/>
      <c r="S265" s="520"/>
      <c r="T265" s="520"/>
      <c r="U265" s="520"/>
      <c r="V265" s="520"/>
      <c r="W265" s="520"/>
      <c r="X265" s="520"/>
      <c r="Y265" s="520"/>
      <c r="Z265" s="520"/>
      <c r="AA265" s="520"/>
      <c r="AB265" s="520"/>
      <c r="AC265" s="520"/>
      <c r="AD265" s="520"/>
      <c r="AE265" s="520"/>
      <c r="AF265" s="520"/>
      <c r="AG265" s="520"/>
      <c r="AH265" s="520"/>
      <c r="AI265" s="520"/>
      <c r="AJ265" s="520"/>
      <c r="AK265" s="62"/>
      <c r="AL265" s="62"/>
      <c r="AM265" s="62"/>
      <c r="AN265" s="62"/>
    </row>
    <row r="266" spans="1:40" x14ac:dyDescent="0.3">
      <c r="A266" s="62"/>
      <c r="B266" s="62"/>
      <c r="C266" s="62"/>
      <c r="D266" s="62"/>
      <c r="E266" s="62"/>
      <c r="F266" s="520"/>
      <c r="G266" s="520"/>
      <c r="H266" s="520"/>
      <c r="I266" s="520"/>
      <c r="J266" s="520"/>
      <c r="K266" s="520"/>
      <c r="L266" s="520"/>
      <c r="M266" s="520"/>
      <c r="N266" s="520"/>
      <c r="O266" s="520"/>
      <c r="P266" s="520"/>
      <c r="Q266" s="520"/>
      <c r="R266" s="520"/>
      <c r="S266" s="520"/>
      <c r="T266" s="520"/>
      <c r="U266" s="520"/>
      <c r="V266" s="520"/>
      <c r="W266" s="520"/>
      <c r="X266" s="520"/>
      <c r="Y266" s="520"/>
      <c r="Z266" s="520"/>
      <c r="AA266" s="520"/>
      <c r="AB266" s="520"/>
      <c r="AC266" s="520"/>
      <c r="AD266" s="520"/>
      <c r="AE266" s="520"/>
      <c r="AF266" s="520"/>
      <c r="AG266" s="520"/>
      <c r="AH266" s="520"/>
      <c r="AI266" s="520"/>
      <c r="AJ266" s="520"/>
      <c r="AK266" s="62"/>
      <c r="AL266" s="62"/>
      <c r="AM266" s="62"/>
      <c r="AN266" s="62"/>
    </row>
    <row r="267" spans="1:40" x14ac:dyDescent="0.3">
      <c r="A267" s="62"/>
      <c r="B267" s="62"/>
      <c r="C267" s="62"/>
      <c r="D267" s="62"/>
      <c r="E267" s="62"/>
      <c r="F267" s="520"/>
      <c r="G267" s="520"/>
      <c r="H267" s="520"/>
      <c r="I267" s="520"/>
      <c r="J267" s="520"/>
      <c r="K267" s="520"/>
      <c r="L267" s="520"/>
      <c r="M267" s="520"/>
      <c r="N267" s="520"/>
      <c r="O267" s="520"/>
      <c r="P267" s="520"/>
      <c r="Q267" s="520"/>
      <c r="R267" s="520"/>
      <c r="S267" s="520"/>
      <c r="T267" s="520"/>
      <c r="U267" s="520"/>
      <c r="V267" s="520"/>
      <c r="W267" s="520"/>
      <c r="X267" s="520"/>
      <c r="Y267" s="520"/>
      <c r="Z267" s="520"/>
      <c r="AA267" s="520"/>
      <c r="AB267" s="520"/>
      <c r="AC267" s="520"/>
      <c r="AD267" s="520"/>
      <c r="AE267" s="520"/>
      <c r="AF267" s="520"/>
      <c r="AG267" s="520"/>
      <c r="AH267" s="520"/>
      <c r="AI267" s="520"/>
      <c r="AJ267" s="520"/>
      <c r="AK267" s="62"/>
      <c r="AL267" s="62"/>
      <c r="AM267" s="62"/>
      <c r="AN267" s="62"/>
    </row>
    <row r="268" spans="1:40" x14ac:dyDescent="0.3">
      <c r="A268" s="62"/>
      <c r="B268" s="62"/>
      <c r="C268" s="62"/>
      <c r="D268" s="62"/>
      <c r="E268" s="62"/>
      <c r="F268" s="520"/>
      <c r="G268" s="520"/>
      <c r="H268" s="520"/>
      <c r="I268" s="520"/>
      <c r="J268" s="520"/>
      <c r="K268" s="520"/>
      <c r="L268" s="520"/>
      <c r="M268" s="520"/>
      <c r="N268" s="520"/>
      <c r="O268" s="520"/>
      <c r="P268" s="520"/>
      <c r="Q268" s="520"/>
      <c r="R268" s="520"/>
      <c r="S268" s="520"/>
      <c r="T268" s="520"/>
      <c r="U268" s="520"/>
      <c r="V268" s="520"/>
      <c r="W268" s="520"/>
      <c r="X268" s="520"/>
      <c r="Y268" s="520"/>
      <c r="Z268" s="520"/>
      <c r="AA268" s="520"/>
      <c r="AB268" s="520"/>
      <c r="AC268" s="520"/>
      <c r="AD268" s="520"/>
      <c r="AE268" s="520"/>
      <c r="AF268" s="520"/>
      <c r="AG268" s="520"/>
      <c r="AH268" s="520"/>
      <c r="AI268" s="520"/>
      <c r="AJ268" s="520"/>
      <c r="AK268" s="62"/>
      <c r="AL268" s="62"/>
      <c r="AM268" s="62"/>
      <c r="AN268" s="62"/>
    </row>
    <row r="269" spans="1:40" x14ac:dyDescent="0.3">
      <c r="A269" s="62"/>
      <c r="B269" s="62"/>
      <c r="C269" s="62"/>
      <c r="D269" s="62"/>
      <c r="E269" s="62"/>
      <c r="F269" s="520"/>
      <c r="G269" s="520"/>
      <c r="H269" s="520"/>
      <c r="I269" s="520"/>
      <c r="J269" s="520"/>
      <c r="K269" s="520"/>
      <c r="L269" s="520"/>
      <c r="M269" s="520"/>
      <c r="N269" s="520"/>
      <c r="O269" s="520"/>
      <c r="P269" s="520"/>
      <c r="Q269" s="520"/>
      <c r="R269" s="520"/>
      <c r="S269" s="520"/>
      <c r="T269" s="520"/>
      <c r="U269" s="520"/>
      <c r="V269" s="520"/>
      <c r="W269" s="520"/>
      <c r="X269" s="520"/>
      <c r="Y269" s="520"/>
      <c r="Z269" s="520"/>
      <c r="AA269" s="520"/>
      <c r="AB269" s="520"/>
      <c r="AC269" s="520"/>
      <c r="AD269" s="520"/>
      <c r="AE269" s="520"/>
      <c r="AF269" s="520"/>
      <c r="AG269" s="520"/>
      <c r="AH269" s="520"/>
      <c r="AI269" s="520"/>
      <c r="AJ269" s="520"/>
      <c r="AK269" s="62"/>
      <c r="AL269" s="62"/>
      <c r="AM269" s="62"/>
      <c r="AN269" s="62"/>
    </row>
    <row r="270" spans="1:40" x14ac:dyDescent="0.3">
      <c r="A270" s="62"/>
      <c r="B270" s="62"/>
      <c r="C270" s="62"/>
      <c r="D270" s="62"/>
      <c r="E270" s="62"/>
      <c r="F270" s="520"/>
      <c r="G270" s="520"/>
      <c r="H270" s="520"/>
      <c r="I270" s="520"/>
      <c r="J270" s="520"/>
      <c r="K270" s="520"/>
      <c r="L270" s="520"/>
      <c r="M270" s="520"/>
      <c r="N270" s="520"/>
      <c r="O270" s="520"/>
      <c r="P270" s="520"/>
      <c r="Q270" s="520"/>
      <c r="R270" s="520"/>
      <c r="S270" s="520"/>
      <c r="T270" s="520"/>
      <c r="U270" s="520"/>
      <c r="V270" s="520"/>
      <c r="W270" s="520"/>
      <c r="X270" s="520"/>
      <c r="Y270" s="520"/>
      <c r="Z270" s="520"/>
      <c r="AA270" s="520"/>
      <c r="AB270" s="520"/>
      <c r="AC270" s="520"/>
      <c r="AD270" s="520"/>
      <c r="AE270" s="520"/>
      <c r="AF270" s="520"/>
      <c r="AG270" s="520"/>
      <c r="AH270" s="520"/>
      <c r="AI270" s="520"/>
      <c r="AJ270" s="520"/>
      <c r="AK270" s="62"/>
      <c r="AL270" s="62"/>
      <c r="AM270" s="62"/>
      <c r="AN270" s="62"/>
    </row>
    <row r="271" spans="1:40" x14ac:dyDescent="0.3">
      <c r="A271" s="62"/>
      <c r="B271" s="62"/>
      <c r="C271" s="62"/>
      <c r="D271" s="62"/>
      <c r="E271" s="62"/>
      <c r="F271" s="520"/>
      <c r="G271" s="520"/>
      <c r="H271" s="520"/>
      <c r="I271" s="520"/>
      <c r="J271" s="520"/>
      <c r="K271" s="520"/>
      <c r="L271" s="520"/>
      <c r="M271" s="520"/>
      <c r="N271" s="520"/>
      <c r="O271" s="520"/>
      <c r="P271" s="520"/>
      <c r="Q271" s="520"/>
      <c r="R271" s="520"/>
      <c r="S271" s="520"/>
      <c r="T271" s="520"/>
      <c r="U271" s="520"/>
      <c r="V271" s="520"/>
      <c r="W271" s="520"/>
      <c r="X271" s="520"/>
      <c r="Y271" s="520"/>
      <c r="Z271" s="520"/>
      <c r="AA271" s="520"/>
      <c r="AB271" s="520"/>
      <c r="AC271" s="520"/>
      <c r="AD271" s="520"/>
      <c r="AE271" s="520"/>
      <c r="AF271" s="520"/>
      <c r="AG271" s="520"/>
      <c r="AH271" s="520"/>
      <c r="AI271" s="520"/>
      <c r="AJ271" s="520"/>
      <c r="AK271" s="62"/>
      <c r="AL271" s="62"/>
      <c r="AM271" s="62"/>
      <c r="AN271" s="62"/>
    </row>
    <row r="272" spans="1:40" x14ac:dyDescent="0.3">
      <c r="A272" s="62"/>
      <c r="B272" s="62"/>
      <c r="C272" s="62"/>
      <c r="D272" s="62"/>
      <c r="E272" s="62"/>
      <c r="F272" s="520"/>
      <c r="G272" s="520"/>
      <c r="H272" s="520"/>
      <c r="I272" s="520"/>
      <c r="J272" s="520"/>
      <c r="K272" s="520"/>
      <c r="L272" s="520"/>
      <c r="M272" s="520"/>
      <c r="N272" s="520"/>
      <c r="O272" s="520"/>
      <c r="P272" s="520"/>
      <c r="Q272" s="520"/>
      <c r="R272" s="520"/>
      <c r="S272" s="520"/>
      <c r="T272" s="520"/>
      <c r="U272" s="520"/>
      <c r="V272" s="520"/>
      <c r="W272" s="520"/>
      <c r="X272" s="520"/>
      <c r="Y272" s="520"/>
      <c r="Z272" s="520"/>
      <c r="AA272" s="520"/>
      <c r="AB272" s="520"/>
      <c r="AC272" s="520"/>
      <c r="AD272" s="520"/>
      <c r="AE272" s="520"/>
      <c r="AF272" s="520"/>
      <c r="AG272" s="520"/>
      <c r="AH272" s="520"/>
      <c r="AI272" s="520"/>
      <c r="AJ272" s="520"/>
      <c r="AK272" s="62"/>
      <c r="AL272" s="62"/>
      <c r="AM272" s="62"/>
      <c r="AN272" s="62"/>
    </row>
    <row r="273" spans="1:40" x14ac:dyDescent="0.3">
      <c r="A273" s="62"/>
      <c r="B273" s="62"/>
      <c r="C273" s="62"/>
      <c r="D273" s="62"/>
      <c r="E273" s="62"/>
      <c r="F273" s="520"/>
      <c r="G273" s="520"/>
      <c r="H273" s="520"/>
      <c r="I273" s="520"/>
      <c r="J273" s="520"/>
      <c r="K273" s="520"/>
      <c r="L273" s="520"/>
      <c r="M273" s="520"/>
      <c r="N273" s="520"/>
      <c r="O273" s="520"/>
      <c r="P273" s="520"/>
      <c r="Q273" s="520"/>
      <c r="R273" s="520"/>
      <c r="S273" s="520"/>
      <c r="T273" s="520"/>
      <c r="U273" s="520"/>
      <c r="V273" s="520"/>
      <c r="W273" s="520"/>
      <c r="X273" s="520"/>
      <c r="Y273" s="520"/>
      <c r="Z273" s="520"/>
      <c r="AA273" s="520"/>
      <c r="AB273" s="520"/>
      <c r="AC273" s="520"/>
      <c r="AD273" s="520"/>
      <c r="AE273" s="520"/>
      <c r="AF273" s="520"/>
      <c r="AG273" s="520"/>
      <c r="AH273" s="520"/>
      <c r="AI273" s="520"/>
      <c r="AJ273" s="520"/>
      <c r="AK273" s="62"/>
      <c r="AL273" s="62"/>
      <c r="AM273" s="62"/>
      <c r="AN273" s="62"/>
    </row>
    <row r="274" spans="1:40" x14ac:dyDescent="0.3">
      <c r="A274" s="62"/>
      <c r="B274" s="62"/>
      <c r="C274" s="62"/>
      <c r="D274" s="62"/>
      <c r="E274" s="62"/>
      <c r="F274" s="520"/>
      <c r="G274" s="520"/>
      <c r="H274" s="520"/>
      <c r="I274" s="520"/>
      <c r="J274" s="520"/>
      <c r="K274" s="520"/>
      <c r="L274" s="520"/>
      <c r="M274" s="520"/>
      <c r="N274" s="520"/>
      <c r="O274" s="520"/>
      <c r="P274" s="520"/>
      <c r="Q274" s="520"/>
      <c r="R274" s="520"/>
      <c r="S274" s="520"/>
      <c r="T274" s="520"/>
      <c r="U274" s="520"/>
      <c r="V274" s="520"/>
      <c r="W274" s="520"/>
      <c r="X274" s="520"/>
      <c r="Y274" s="520"/>
      <c r="Z274" s="520"/>
      <c r="AA274" s="520"/>
      <c r="AB274" s="520"/>
      <c r="AC274" s="520"/>
      <c r="AD274" s="520"/>
      <c r="AE274" s="520"/>
      <c r="AF274" s="520"/>
      <c r="AG274" s="520"/>
      <c r="AH274" s="520"/>
      <c r="AI274" s="520"/>
      <c r="AJ274" s="520"/>
      <c r="AK274" s="62"/>
      <c r="AL274" s="62"/>
      <c r="AM274" s="62"/>
      <c r="AN274" s="62"/>
    </row>
    <row r="275" spans="1:40" x14ac:dyDescent="0.3">
      <c r="A275" s="62"/>
      <c r="B275" s="62"/>
      <c r="C275" s="62"/>
      <c r="D275" s="62"/>
      <c r="E275" s="62"/>
      <c r="F275" s="520"/>
      <c r="G275" s="520"/>
      <c r="H275" s="520"/>
      <c r="I275" s="520"/>
      <c r="J275" s="520"/>
      <c r="K275" s="520"/>
      <c r="L275" s="520"/>
      <c r="M275" s="520"/>
      <c r="N275" s="520"/>
      <c r="O275" s="520"/>
      <c r="P275" s="520"/>
      <c r="Q275" s="520"/>
      <c r="R275" s="520"/>
      <c r="S275" s="520"/>
      <c r="T275" s="520"/>
      <c r="U275" s="520"/>
      <c r="V275" s="520"/>
      <c r="W275" s="520"/>
      <c r="X275" s="520"/>
      <c r="Y275" s="520"/>
      <c r="Z275" s="520"/>
      <c r="AA275" s="520"/>
      <c r="AB275" s="520"/>
      <c r="AC275" s="520"/>
      <c r="AD275" s="520"/>
      <c r="AE275" s="520"/>
      <c r="AF275" s="520"/>
      <c r="AG275" s="520"/>
      <c r="AH275" s="520"/>
      <c r="AI275" s="520"/>
      <c r="AJ275" s="520"/>
      <c r="AK275" s="62"/>
      <c r="AL275" s="62"/>
      <c r="AM275" s="62"/>
      <c r="AN275" s="62"/>
    </row>
    <row r="276" spans="1:40" x14ac:dyDescent="0.3">
      <c r="A276" s="62"/>
      <c r="B276" s="62"/>
      <c r="C276" s="62"/>
      <c r="D276" s="62"/>
      <c r="E276" s="62"/>
      <c r="F276" s="520"/>
      <c r="G276" s="520"/>
      <c r="H276" s="520"/>
      <c r="I276" s="520"/>
      <c r="J276" s="520"/>
      <c r="K276" s="520"/>
      <c r="L276" s="520"/>
      <c r="M276" s="520"/>
      <c r="N276" s="520"/>
      <c r="O276" s="520"/>
      <c r="P276" s="520"/>
      <c r="Q276" s="520"/>
      <c r="R276" s="520"/>
      <c r="S276" s="520"/>
      <c r="T276" s="520"/>
      <c r="U276" s="520"/>
      <c r="V276" s="520"/>
      <c r="W276" s="520"/>
      <c r="X276" s="520"/>
      <c r="Y276" s="520"/>
      <c r="Z276" s="520"/>
      <c r="AA276" s="520"/>
      <c r="AB276" s="520"/>
      <c r="AC276" s="520"/>
      <c r="AD276" s="520"/>
      <c r="AE276" s="520"/>
      <c r="AF276" s="520"/>
      <c r="AG276" s="520"/>
      <c r="AH276" s="520"/>
      <c r="AI276" s="520"/>
      <c r="AJ276" s="520"/>
      <c r="AK276" s="62"/>
      <c r="AL276" s="62"/>
      <c r="AM276" s="62"/>
      <c r="AN276" s="62"/>
    </row>
    <row r="277" spans="1:40" x14ac:dyDescent="0.3">
      <c r="A277" s="62"/>
      <c r="B277" s="62"/>
      <c r="C277" s="62"/>
      <c r="D277" s="62"/>
      <c r="E277" s="62"/>
      <c r="F277" s="520"/>
      <c r="G277" s="520"/>
      <c r="H277" s="520"/>
      <c r="I277" s="520"/>
      <c r="J277" s="520"/>
      <c r="K277" s="520"/>
      <c r="L277" s="520"/>
      <c r="M277" s="520"/>
      <c r="N277" s="520"/>
      <c r="O277" s="520"/>
      <c r="P277" s="520"/>
      <c r="Q277" s="520"/>
      <c r="R277" s="520"/>
      <c r="S277" s="520"/>
      <c r="T277" s="520"/>
      <c r="U277" s="520"/>
      <c r="V277" s="520"/>
      <c r="W277" s="520"/>
      <c r="X277" s="520"/>
      <c r="Y277" s="520"/>
      <c r="Z277" s="520"/>
      <c r="AA277" s="520"/>
      <c r="AB277" s="520"/>
      <c r="AC277" s="520"/>
      <c r="AD277" s="520"/>
      <c r="AE277" s="520"/>
      <c r="AF277" s="520"/>
      <c r="AG277" s="520"/>
      <c r="AH277" s="520"/>
      <c r="AI277" s="520"/>
      <c r="AJ277" s="520"/>
      <c r="AK277" s="62"/>
      <c r="AL277" s="62"/>
      <c r="AM277" s="62"/>
      <c r="AN277" s="62"/>
    </row>
    <row r="278" spans="1:40" x14ac:dyDescent="0.3">
      <c r="A278" s="62"/>
      <c r="B278" s="62"/>
      <c r="C278" s="62"/>
      <c r="D278" s="62"/>
      <c r="E278" s="62"/>
      <c r="F278" s="520"/>
      <c r="G278" s="520"/>
      <c r="H278" s="520"/>
      <c r="I278" s="520"/>
      <c r="J278" s="520"/>
      <c r="K278" s="520"/>
      <c r="L278" s="520"/>
      <c r="M278" s="520"/>
      <c r="N278" s="520"/>
      <c r="O278" s="520"/>
      <c r="P278" s="520"/>
      <c r="Q278" s="520"/>
      <c r="R278" s="520"/>
      <c r="S278" s="520"/>
      <c r="T278" s="520"/>
      <c r="U278" s="520"/>
      <c r="V278" s="520"/>
      <c r="W278" s="520"/>
      <c r="X278" s="520"/>
      <c r="Y278" s="520"/>
      <c r="Z278" s="520"/>
      <c r="AA278" s="520"/>
      <c r="AB278" s="520"/>
      <c r="AC278" s="520"/>
      <c r="AD278" s="520"/>
      <c r="AE278" s="520"/>
      <c r="AF278" s="520"/>
      <c r="AG278" s="520"/>
      <c r="AH278" s="520"/>
      <c r="AI278" s="520"/>
      <c r="AJ278" s="520"/>
      <c r="AK278" s="62"/>
      <c r="AL278" s="62"/>
      <c r="AM278" s="62"/>
      <c r="AN278" s="62"/>
    </row>
    <row r="279" spans="1:40" x14ac:dyDescent="0.3">
      <c r="A279" s="62"/>
      <c r="B279" s="62"/>
      <c r="C279" s="62"/>
      <c r="D279" s="62"/>
      <c r="E279" s="62"/>
      <c r="F279" s="520"/>
      <c r="G279" s="520"/>
      <c r="H279" s="520"/>
      <c r="I279" s="520"/>
      <c r="J279" s="520"/>
      <c r="K279" s="520"/>
      <c r="L279" s="520"/>
      <c r="M279" s="520"/>
      <c r="N279" s="520"/>
      <c r="O279" s="520"/>
      <c r="P279" s="520"/>
      <c r="Q279" s="520"/>
      <c r="R279" s="520"/>
      <c r="S279" s="520"/>
      <c r="T279" s="520"/>
      <c r="U279" s="520"/>
      <c r="V279" s="520"/>
      <c r="W279" s="520"/>
      <c r="X279" s="520"/>
      <c r="Y279" s="520"/>
      <c r="Z279" s="520"/>
      <c r="AA279" s="520"/>
      <c r="AB279" s="520"/>
      <c r="AC279" s="520"/>
      <c r="AD279" s="520"/>
      <c r="AE279" s="520"/>
      <c r="AF279" s="520"/>
      <c r="AG279" s="520"/>
      <c r="AH279" s="520"/>
      <c r="AI279" s="520"/>
      <c r="AJ279" s="520"/>
      <c r="AK279" s="62"/>
      <c r="AL279" s="62"/>
      <c r="AM279" s="62"/>
      <c r="AN279" s="62"/>
    </row>
    <row r="280" spans="1:40" x14ac:dyDescent="0.3">
      <c r="A280" s="62"/>
      <c r="B280" s="62"/>
      <c r="C280" s="62"/>
      <c r="D280" s="62"/>
      <c r="E280" s="62"/>
      <c r="F280" s="520"/>
      <c r="G280" s="520"/>
      <c r="H280" s="520"/>
      <c r="I280" s="520"/>
      <c r="J280" s="520"/>
      <c r="K280" s="520"/>
      <c r="L280" s="520"/>
      <c r="M280" s="520"/>
      <c r="N280" s="520"/>
      <c r="O280" s="520"/>
      <c r="P280" s="520"/>
      <c r="Q280" s="520"/>
      <c r="R280" s="520"/>
      <c r="S280" s="520"/>
      <c r="T280" s="520"/>
      <c r="U280" s="520"/>
      <c r="V280" s="520"/>
      <c r="W280" s="520"/>
      <c r="X280" s="520"/>
      <c r="Y280" s="520"/>
      <c r="Z280" s="520"/>
      <c r="AA280" s="520"/>
      <c r="AB280" s="520"/>
      <c r="AC280" s="520"/>
      <c r="AD280" s="520"/>
      <c r="AE280" s="520"/>
      <c r="AF280" s="520"/>
      <c r="AG280" s="520"/>
      <c r="AH280" s="520"/>
      <c r="AI280" s="520"/>
      <c r="AJ280" s="520"/>
      <c r="AK280" s="62"/>
      <c r="AL280" s="62"/>
      <c r="AM280" s="62"/>
      <c r="AN280" s="62"/>
    </row>
    <row r="281" spans="1:40" x14ac:dyDescent="0.3">
      <c r="A281" s="62"/>
      <c r="B281" s="62"/>
      <c r="C281" s="62"/>
      <c r="D281" s="62"/>
      <c r="E281" s="62"/>
      <c r="F281" s="520"/>
      <c r="G281" s="520"/>
      <c r="H281" s="520"/>
      <c r="I281" s="520"/>
      <c r="J281" s="520"/>
      <c r="K281" s="520"/>
      <c r="L281" s="520"/>
      <c r="M281" s="520"/>
      <c r="N281" s="520"/>
      <c r="O281" s="520"/>
      <c r="P281" s="520"/>
      <c r="Q281" s="520"/>
      <c r="R281" s="520"/>
      <c r="S281" s="520"/>
      <c r="T281" s="520"/>
      <c r="U281" s="520"/>
      <c r="V281" s="520"/>
      <c r="W281" s="520"/>
      <c r="X281" s="520"/>
      <c r="Y281" s="520"/>
      <c r="Z281" s="520"/>
      <c r="AA281" s="520"/>
      <c r="AB281" s="520"/>
      <c r="AC281" s="520"/>
      <c r="AD281" s="520"/>
      <c r="AE281" s="520"/>
      <c r="AF281" s="520"/>
      <c r="AG281" s="520"/>
      <c r="AH281" s="520"/>
      <c r="AI281" s="520"/>
      <c r="AJ281" s="520"/>
      <c r="AK281" s="62"/>
      <c r="AL281" s="62"/>
      <c r="AM281" s="62"/>
      <c r="AN281" s="62"/>
    </row>
    <row r="282" spans="1:40" x14ac:dyDescent="0.3">
      <c r="A282" s="62"/>
      <c r="B282" s="62"/>
      <c r="C282" s="62"/>
      <c r="D282" s="62"/>
      <c r="E282" s="62"/>
      <c r="F282" s="520"/>
      <c r="G282" s="520"/>
      <c r="H282" s="520"/>
      <c r="I282" s="520"/>
      <c r="J282" s="520"/>
      <c r="K282" s="520"/>
      <c r="L282" s="520"/>
      <c r="M282" s="520"/>
      <c r="N282" s="520"/>
      <c r="O282" s="520"/>
      <c r="P282" s="520"/>
      <c r="Q282" s="520"/>
      <c r="R282" s="520"/>
      <c r="S282" s="520"/>
      <c r="T282" s="520"/>
      <c r="U282" s="520"/>
      <c r="V282" s="520"/>
      <c r="W282" s="520"/>
      <c r="X282" s="520"/>
      <c r="Y282" s="520"/>
      <c r="Z282" s="520"/>
      <c r="AA282" s="520"/>
      <c r="AB282" s="520"/>
      <c r="AC282" s="520"/>
      <c r="AD282" s="520"/>
      <c r="AE282" s="520"/>
      <c r="AF282" s="520"/>
      <c r="AG282" s="520"/>
      <c r="AH282" s="520"/>
      <c r="AI282" s="520"/>
      <c r="AJ282" s="520"/>
      <c r="AK282" s="62"/>
      <c r="AL282" s="62"/>
      <c r="AM282" s="62"/>
      <c r="AN282" s="62"/>
    </row>
    <row r="283" spans="1:40" x14ac:dyDescent="0.3">
      <c r="A283" s="62"/>
      <c r="B283" s="62"/>
      <c r="C283" s="62"/>
      <c r="D283" s="62"/>
      <c r="E283" s="62"/>
      <c r="F283" s="520"/>
      <c r="G283" s="520"/>
      <c r="H283" s="520"/>
      <c r="I283" s="520"/>
      <c r="J283" s="520"/>
      <c r="K283" s="520"/>
      <c r="L283" s="520"/>
      <c r="M283" s="520"/>
      <c r="N283" s="520"/>
      <c r="O283" s="520"/>
      <c r="P283" s="520"/>
      <c r="Q283" s="520"/>
      <c r="R283" s="520"/>
      <c r="S283" s="520"/>
      <c r="T283" s="520"/>
      <c r="U283" s="520"/>
      <c r="V283" s="520"/>
      <c r="W283" s="520"/>
      <c r="X283" s="520"/>
      <c r="Y283" s="520"/>
      <c r="Z283" s="520"/>
      <c r="AA283" s="520"/>
      <c r="AB283" s="520"/>
      <c r="AC283" s="520"/>
      <c r="AD283" s="520"/>
      <c r="AE283" s="520"/>
      <c r="AF283" s="520"/>
      <c r="AG283" s="520"/>
      <c r="AH283" s="520"/>
      <c r="AI283" s="520"/>
      <c r="AJ283" s="520"/>
      <c r="AK283" s="62"/>
      <c r="AL283" s="62"/>
      <c r="AM283" s="62"/>
      <c r="AN283" s="62"/>
    </row>
    <row r="284" spans="1:40" x14ac:dyDescent="0.3">
      <c r="A284" s="62"/>
      <c r="B284" s="62"/>
      <c r="C284" s="62"/>
      <c r="D284" s="62"/>
      <c r="E284" s="62"/>
      <c r="F284" s="520"/>
      <c r="G284" s="520"/>
      <c r="H284" s="520"/>
      <c r="I284" s="520"/>
      <c r="J284" s="520"/>
      <c r="K284" s="520"/>
      <c r="L284" s="520"/>
      <c r="M284" s="520"/>
      <c r="N284" s="520"/>
      <c r="O284" s="520"/>
      <c r="P284" s="520"/>
      <c r="Q284" s="520"/>
      <c r="R284" s="520"/>
      <c r="S284" s="520"/>
      <c r="T284" s="520"/>
      <c r="U284" s="520"/>
      <c r="V284" s="520"/>
      <c r="W284" s="520"/>
      <c r="X284" s="520"/>
      <c r="Y284" s="520"/>
      <c r="Z284" s="520"/>
      <c r="AA284" s="520"/>
      <c r="AB284" s="520"/>
      <c r="AC284" s="520"/>
      <c r="AD284" s="520"/>
      <c r="AE284" s="520"/>
      <c r="AF284" s="520"/>
      <c r="AG284" s="520"/>
      <c r="AH284" s="520"/>
      <c r="AI284" s="520"/>
      <c r="AJ284" s="520"/>
      <c r="AK284" s="62"/>
      <c r="AL284" s="62"/>
      <c r="AM284" s="62"/>
      <c r="AN284" s="62"/>
    </row>
    <row r="285" spans="1:40" x14ac:dyDescent="0.3">
      <c r="A285" s="62"/>
      <c r="B285" s="62"/>
      <c r="C285" s="62"/>
      <c r="D285" s="62"/>
      <c r="E285" s="62"/>
      <c r="F285" s="520"/>
      <c r="G285" s="520"/>
      <c r="H285" s="520"/>
      <c r="I285" s="520"/>
      <c r="J285" s="520"/>
      <c r="K285" s="520"/>
      <c r="L285" s="520"/>
      <c r="M285" s="520"/>
      <c r="N285" s="520"/>
      <c r="O285" s="520"/>
      <c r="P285" s="520"/>
      <c r="Q285" s="520"/>
      <c r="R285" s="520"/>
      <c r="S285" s="520"/>
      <c r="T285" s="520"/>
      <c r="U285" s="520"/>
      <c r="V285" s="520"/>
      <c r="W285" s="520"/>
      <c r="X285" s="520"/>
      <c r="Y285" s="520"/>
      <c r="Z285" s="520"/>
      <c r="AA285" s="520"/>
      <c r="AB285" s="520"/>
      <c r="AC285" s="520"/>
      <c r="AD285" s="520"/>
      <c r="AE285" s="520"/>
      <c r="AF285" s="520"/>
      <c r="AG285" s="520"/>
      <c r="AH285" s="520"/>
      <c r="AI285" s="520"/>
      <c r="AJ285" s="520"/>
      <c r="AK285" s="62"/>
      <c r="AL285" s="62"/>
      <c r="AM285" s="62"/>
      <c r="AN285" s="62"/>
    </row>
    <row r="286" spans="1:40" x14ac:dyDescent="0.3">
      <c r="A286" s="62"/>
      <c r="B286" s="62"/>
      <c r="C286" s="62"/>
      <c r="D286" s="62"/>
      <c r="E286" s="62"/>
      <c r="F286" s="520"/>
      <c r="G286" s="520"/>
      <c r="H286" s="520"/>
      <c r="I286" s="520"/>
      <c r="J286" s="520"/>
      <c r="K286" s="520"/>
      <c r="L286" s="520"/>
      <c r="M286" s="520"/>
      <c r="N286" s="520"/>
      <c r="O286" s="520"/>
      <c r="P286" s="520"/>
      <c r="Q286" s="520"/>
      <c r="R286" s="520"/>
      <c r="S286" s="520"/>
      <c r="T286" s="520"/>
      <c r="U286" s="520"/>
      <c r="V286" s="520"/>
      <c r="W286" s="520"/>
      <c r="X286" s="520"/>
      <c r="Y286" s="520"/>
      <c r="Z286" s="520"/>
      <c r="AA286" s="520"/>
      <c r="AB286" s="520"/>
      <c r="AC286" s="520"/>
      <c r="AD286" s="520"/>
      <c r="AE286" s="520"/>
      <c r="AF286" s="520"/>
      <c r="AG286" s="520"/>
      <c r="AH286" s="520"/>
      <c r="AI286" s="520"/>
      <c r="AJ286" s="520"/>
      <c r="AK286" s="62"/>
      <c r="AL286" s="62"/>
      <c r="AM286" s="62"/>
      <c r="AN286" s="62"/>
    </row>
    <row r="287" spans="1:40" x14ac:dyDescent="0.3">
      <c r="A287" s="62"/>
      <c r="B287" s="62"/>
      <c r="C287" s="62"/>
      <c r="D287" s="62"/>
      <c r="E287" s="62"/>
      <c r="F287" s="520"/>
      <c r="G287" s="520"/>
      <c r="H287" s="520"/>
      <c r="I287" s="520"/>
      <c r="J287" s="520"/>
      <c r="K287" s="520"/>
      <c r="L287" s="520"/>
      <c r="M287" s="520"/>
      <c r="N287" s="520"/>
      <c r="O287" s="520"/>
      <c r="P287" s="520"/>
      <c r="Q287" s="520"/>
      <c r="R287" s="520"/>
      <c r="S287" s="520"/>
      <c r="T287" s="520"/>
      <c r="U287" s="520"/>
      <c r="V287" s="520"/>
      <c r="W287" s="520"/>
      <c r="X287" s="520"/>
      <c r="Y287" s="520"/>
      <c r="Z287" s="520"/>
      <c r="AA287" s="520"/>
      <c r="AB287" s="520"/>
      <c r="AC287" s="520"/>
      <c r="AD287" s="520"/>
      <c r="AE287" s="520"/>
      <c r="AF287" s="520"/>
      <c r="AG287" s="520"/>
      <c r="AH287" s="520"/>
      <c r="AI287" s="520"/>
      <c r="AJ287" s="520"/>
      <c r="AK287" s="62"/>
      <c r="AL287" s="62"/>
      <c r="AM287" s="62"/>
      <c r="AN287" s="62"/>
    </row>
    <row r="288" spans="1:40" x14ac:dyDescent="0.3">
      <c r="A288" s="62"/>
      <c r="B288" s="62"/>
      <c r="C288" s="62"/>
      <c r="D288" s="62"/>
      <c r="E288" s="62"/>
      <c r="F288" s="520"/>
      <c r="G288" s="520"/>
      <c r="H288" s="520"/>
      <c r="I288" s="520"/>
      <c r="J288" s="520"/>
      <c r="K288" s="520"/>
      <c r="L288" s="520"/>
      <c r="M288" s="520"/>
      <c r="N288" s="520"/>
      <c r="O288" s="520"/>
      <c r="P288" s="520"/>
      <c r="Q288" s="520"/>
      <c r="R288" s="520"/>
      <c r="S288" s="520"/>
      <c r="T288" s="520"/>
      <c r="U288" s="520"/>
      <c r="V288" s="520"/>
      <c r="W288" s="520"/>
      <c r="X288" s="520"/>
      <c r="Y288" s="520"/>
      <c r="Z288" s="520"/>
      <c r="AA288" s="520"/>
      <c r="AB288" s="520"/>
      <c r="AC288" s="520"/>
      <c r="AD288" s="520"/>
      <c r="AE288" s="520"/>
      <c r="AF288" s="520"/>
      <c r="AG288" s="520"/>
      <c r="AH288" s="520"/>
      <c r="AI288" s="520"/>
      <c r="AJ288" s="520"/>
      <c r="AK288" s="62"/>
      <c r="AL288" s="62"/>
      <c r="AM288" s="62"/>
      <c r="AN288" s="62"/>
    </row>
    <row r="289" spans="1:40" x14ac:dyDescent="0.3">
      <c r="A289" s="62"/>
      <c r="B289" s="62"/>
      <c r="C289" s="62"/>
      <c r="D289" s="62"/>
      <c r="E289" s="62"/>
      <c r="F289" s="520"/>
      <c r="G289" s="520"/>
      <c r="H289" s="520"/>
      <c r="I289" s="520"/>
      <c r="J289" s="520"/>
      <c r="K289" s="520"/>
      <c r="L289" s="520"/>
      <c r="M289" s="520"/>
      <c r="N289" s="520"/>
      <c r="O289" s="520"/>
      <c r="P289" s="520"/>
      <c r="Q289" s="520"/>
      <c r="R289" s="520"/>
      <c r="S289" s="520"/>
      <c r="T289" s="520"/>
      <c r="U289" s="520"/>
      <c r="V289" s="520"/>
      <c r="W289" s="520"/>
      <c r="X289" s="520"/>
      <c r="Y289" s="520"/>
      <c r="Z289" s="520"/>
      <c r="AA289" s="520"/>
      <c r="AB289" s="520"/>
      <c r="AC289" s="520"/>
      <c r="AD289" s="520"/>
      <c r="AE289" s="520"/>
      <c r="AF289" s="520"/>
      <c r="AG289" s="520"/>
      <c r="AH289" s="520"/>
      <c r="AI289" s="520"/>
      <c r="AJ289" s="520"/>
      <c r="AK289" s="62"/>
      <c r="AL289" s="62"/>
      <c r="AM289" s="62"/>
      <c r="AN289" s="62"/>
    </row>
    <row r="290" spans="1:40" x14ac:dyDescent="0.3">
      <c r="A290" s="62"/>
      <c r="B290" s="62"/>
      <c r="C290" s="62"/>
      <c r="D290" s="62"/>
      <c r="E290" s="62"/>
      <c r="F290" s="520"/>
      <c r="G290" s="520"/>
      <c r="H290" s="520"/>
      <c r="I290" s="520"/>
      <c r="J290" s="520"/>
      <c r="K290" s="520"/>
      <c r="L290" s="520"/>
      <c r="M290" s="520"/>
      <c r="N290" s="520"/>
      <c r="O290" s="520"/>
      <c r="P290" s="520"/>
      <c r="Q290" s="520"/>
      <c r="R290" s="520"/>
      <c r="S290" s="520"/>
      <c r="T290" s="520"/>
      <c r="U290" s="520"/>
      <c r="V290" s="520"/>
      <c r="W290" s="520"/>
      <c r="X290" s="520"/>
      <c r="Y290" s="520"/>
      <c r="Z290" s="520"/>
      <c r="AA290" s="520"/>
      <c r="AB290" s="520"/>
      <c r="AC290" s="520"/>
      <c r="AD290" s="520"/>
      <c r="AE290" s="520"/>
      <c r="AF290" s="520"/>
      <c r="AG290" s="520"/>
      <c r="AH290" s="520"/>
      <c r="AI290" s="520"/>
      <c r="AJ290" s="520"/>
      <c r="AK290" s="62"/>
      <c r="AL290" s="62"/>
      <c r="AM290" s="62"/>
      <c r="AN290" s="62"/>
    </row>
    <row r="291" spans="1:40" x14ac:dyDescent="0.3">
      <c r="A291" s="62"/>
      <c r="B291" s="62"/>
      <c r="C291" s="62"/>
      <c r="D291" s="62"/>
      <c r="E291" s="62"/>
      <c r="F291" s="520"/>
      <c r="G291" s="520"/>
      <c r="H291" s="520"/>
      <c r="I291" s="520"/>
      <c r="J291" s="520"/>
      <c r="K291" s="520"/>
      <c r="L291" s="520"/>
      <c r="M291" s="520"/>
      <c r="N291" s="520"/>
      <c r="O291" s="520"/>
      <c r="P291" s="520"/>
      <c r="Q291" s="520"/>
      <c r="R291" s="520"/>
      <c r="S291" s="520"/>
      <c r="T291" s="520"/>
      <c r="U291" s="520"/>
      <c r="V291" s="520"/>
      <c r="W291" s="520"/>
      <c r="X291" s="520"/>
      <c r="Y291" s="520"/>
      <c r="Z291" s="520"/>
      <c r="AA291" s="520"/>
      <c r="AB291" s="520"/>
      <c r="AC291" s="520"/>
      <c r="AD291" s="520"/>
      <c r="AE291" s="520"/>
      <c r="AF291" s="520"/>
      <c r="AG291" s="520"/>
      <c r="AH291" s="520"/>
      <c r="AI291" s="520"/>
      <c r="AJ291" s="520"/>
      <c r="AK291" s="62"/>
      <c r="AL291" s="62"/>
      <c r="AM291" s="62"/>
      <c r="AN291" s="62"/>
    </row>
    <row r="292" spans="1:40" x14ac:dyDescent="0.3">
      <c r="A292" s="62"/>
      <c r="B292" s="62"/>
      <c r="C292" s="62"/>
      <c r="D292" s="62"/>
      <c r="E292" s="62"/>
      <c r="F292" s="520"/>
      <c r="G292" s="520"/>
      <c r="H292" s="520"/>
      <c r="I292" s="520"/>
      <c r="J292" s="520"/>
      <c r="K292" s="520"/>
      <c r="L292" s="520"/>
      <c r="M292" s="520"/>
      <c r="N292" s="520"/>
      <c r="O292" s="520"/>
      <c r="P292" s="520"/>
      <c r="Q292" s="520"/>
      <c r="R292" s="520"/>
      <c r="S292" s="520"/>
      <c r="T292" s="520"/>
      <c r="U292" s="520"/>
      <c r="V292" s="520"/>
      <c r="W292" s="520"/>
      <c r="X292" s="520"/>
      <c r="Y292" s="520"/>
      <c r="Z292" s="520"/>
      <c r="AA292" s="520"/>
      <c r="AB292" s="520"/>
      <c r="AC292" s="520"/>
      <c r="AD292" s="520"/>
      <c r="AE292" s="520"/>
      <c r="AF292" s="520"/>
      <c r="AG292" s="520"/>
      <c r="AH292" s="520"/>
      <c r="AI292" s="520"/>
      <c r="AJ292" s="520"/>
      <c r="AK292" s="62"/>
      <c r="AL292" s="62"/>
      <c r="AM292" s="62"/>
      <c r="AN292" s="62"/>
    </row>
    <row r="293" spans="1:40" x14ac:dyDescent="0.3">
      <c r="A293" s="62"/>
      <c r="B293" s="62"/>
      <c r="C293" s="62"/>
      <c r="D293" s="62"/>
      <c r="E293" s="62"/>
      <c r="F293" s="520"/>
      <c r="G293" s="520"/>
      <c r="H293" s="520"/>
      <c r="I293" s="520"/>
      <c r="J293" s="520"/>
      <c r="K293" s="520"/>
      <c r="L293" s="520"/>
      <c r="M293" s="520"/>
      <c r="N293" s="520"/>
      <c r="O293" s="520"/>
      <c r="P293" s="520"/>
      <c r="Q293" s="520"/>
      <c r="R293" s="520"/>
      <c r="S293" s="520"/>
      <c r="T293" s="520"/>
      <c r="U293" s="520"/>
      <c r="V293" s="520"/>
      <c r="W293" s="520"/>
      <c r="X293" s="520"/>
      <c r="Y293" s="520"/>
      <c r="Z293" s="520"/>
      <c r="AA293" s="520"/>
      <c r="AB293" s="520"/>
      <c r="AC293" s="520"/>
      <c r="AD293" s="520"/>
      <c r="AE293" s="520"/>
      <c r="AF293" s="520"/>
      <c r="AG293" s="520"/>
      <c r="AH293" s="520"/>
      <c r="AI293" s="520"/>
      <c r="AJ293" s="520"/>
      <c r="AK293" s="62"/>
      <c r="AL293" s="62"/>
      <c r="AM293" s="62"/>
      <c r="AN293" s="62"/>
    </row>
    <row r="294" spans="1:40" x14ac:dyDescent="0.3">
      <c r="A294" s="62"/>
      <c r="B294" s="62"/>
      <c r="C294" s="62"/>
      <c r="D294" s="62"/>
      <c r="E294" s="62"/>
      <c r="F294" s="520"/>
      <c r="G294" s="520"/>
      <c r="H294" s="520"/>
      <c r="I294" s="520"/>
      <c r="J294" s="520"/>
      <c r="K294" s="520"/>
      <c r="L294" s="520"/>
      <c r="M294" s="520"/>
      <c r="N294" s="520"/>
      <c r="O294" s="520"/>
      <c r="P294" s="520"/>
      <c r="Q294" s="520"/>
      <c r="R294" s="520"/>
      <c r="S294" s="520"/>
      <c r="T294" s="520"/>
      <c r="U294" s="520"/>
      <c r="V294" s="520"/>
      <c r="W294" s="520"/>
      <c r="X294" s="520"/>
      <c r="Y294" s="520"/>
      <c r="Z294" s="520"/>
      <c r="AA294" s="520"/>
      <c r="AB294" s="520"/>
      <c r="AC294" s="520"/>
      <c r="AD294" s="520"/>
      <c r="AE294" s="520"/>
      <c r="AF294" s="520"/>
      <c r="AG294" s="520"/>
      <c r="AH294" s="520"/>
      <c r="AI294" s="520"/>
      <c r="AJ294" s="520"/>
      <c r="AK294" s="62"/>
      <c r="AL294" s="62"/>
      <c r="AM294" s="62"/>
      <c r="AN294" s="62"/>
    </row>
    <row r="295" spans="1:40" x14ac:dyDescent="0.3">
      <c r="A295" s="62"/>
      <c r="B295" s="62"/>
      <c r="C295" s="62"/>
      <c r="D295" s="62"/>
      <c r="E295" s="62"/>
      <c r="F295" s="520"/>
      <c r="G295" s="520"/>
      <c r="H295" s="520"/>
      <c r="I295" s="520"/>
      <c r="J295" s="520"/>
      <c r="K295" s="520"/>
      <c r="L295" s="520"/>
      <c r="M295" s="520"/>
      <c r="N295" s="520"/>
      <c r="O295" s="520"/>
      <c r="P295" s="520"/>
      <c r="Q295" s="520"/>
      <c r="R295" s="520"/>
      <c r="S295" s="520"/>
      <c r="T295" s="520"/>
      <c r="U295" s="520"/>
      <c r="V295" s="520"/>
      <c r="W295" s="520"/>
      <c r="X295" s="520"/>
      <c r="Y295" s="520"/>
      <c r="Z295" s="520"/>
      <c r="AA295" s="520"/>
      <c r="AB295" s="520"/>
      <c r="AC295" s="520"/>
      <c r="AD295" s="520"/>
      <c r="AE295" s="520"/>
      <c r="AF295" s="520"/>
      <c r="AG295" s="520"/>
      <c r="AH295" s="520"/>
      <c r="AI295" s="520"/>
      <c r="AJ295" s="520"/>
      <c r="AK295" s="62"/>
      <c r="AL295" s="62"/>
      <c r="AM295" s="62"/>
      <c r="AN295" s="62"/>
    </row>
    <row r="296" spans="1:40" x14ac:dyDescent="0.3">
      <c r="A296" s="62"/>
      <c r="B296" s="62"/>
      <c r="C296" s="62"/>
      <c r="D296" s="62"/>
      <c r="E296" s="62"/>
      <c r="F296" s="520"/>
      <c r="G296" s="520"/>
      <c r="H296" s="520"/>
      <c r="I296" s="520"/>
      <c r="J296" s="520"/>
      <c r="K296" s="520"/>
      <c r="L296" s="520"/>
      <c r="M296" s="520"/>
      <c r="N296" s="520"/>
      <c r="O296" s="520"/>
      <c r="P296" s="520"/>
      <c r="Q296" s="520"/>
      <c r="R296" s="520"/>
      <c r="S296" s="520"/>
      <c r="T296" s="520"/>
      <c r="U296" s="520"/>
      <c r="V296" s="520"/>
      <c r="W296" s="520"/>
      <c r="X296" s="520"/>
      <c r="Y296" s="520"/>
      <c r="Z296" s="520"/>
      <c r="AA296" s="520"/>
      <c r="AB296" s="520"/>
      <c r="AC296" s="520"/>
      <c r="AD296" s="520"/>
      <c r="AE296" s="520"/>
      <c r="AF296" s="520"/>
      <c r="AG296" s="520"/>
      <c r="AH296" s="520"/>
      <c r="AI296" s="520"/>
      <c r="AJ296" s="520"/>
      <c r="AK296" s="62"/>
      <c r="AL296" s="62"/>
      <c r="AM296" s="62"/>
      <c r="AN296" s="62"/>
    </row>
    <row r="297" spans="1:40" x14ac:dyDescent="0.3">
      <c r="A297" s="62"/>
      <c r="B297" s="62"/>
      <c r="C297" s="62"/>
      <c r="D297" s="62"/>
      <c r="E297" s="62"/>
      <c r="F297" s="520"/>
      <c r="G297" s="520"/>
      <c r="H297" s="520"/>
      <c r="I297" s="520"/>
      <c r="J297" s="520"/>
      <c r="K297" s="520"/>
      <c r="L297" s="520"/>
      <c r="M297" s="520"/>
      <c r="N297" s="520"/>
      <c r="O297" s="520"/>
      <c r="P297" s="520"/>
      <c r="Q297" s="520"/>
      <c r="R297" s="520"/>
      <c r="S297" s="520"/>
      <c r="T297" s="520"/>
      <c r="U297" s="520"/>
      <c r="V297" s="520"/>
      <c r="W297" s="520"/>
      <c r="X297" s="520"/>
      <c r="Y297" s="520"/>
      <c r="Z297" s="520"/>
      <c r="AA297" s="520"/>
      <c r="AB297" s="520"/>
      <c r="AC297" s="520"/>
      <c r="AD297" s="520"/>
      <c r="AE297" s="520"/>
      <c r="AF297" s="520"/>
      <c r="AG297" s="520"/>
      <c r="AH297" s="520"/>
      <c r="AI297" s="520"/>
      <c r="AJ297" s="520"/>
      <c r="AK297" s="62"/>
      <c r="AL297" s="62"/>
      <c r="AM297" s="62"/>
      <c r="AN297" s="62"/>
    </row>
    <row r="298" spans="1:40" x14ac:dyDescent="0.3">
      <c r="A298" s="62"/>
      <c r="B298" s="62"/>
      <c r="C298" s="62"/>
      <c r="D298" s="62"/>
      <c r="E298" s="62"/>
      <c r="F298" s="520"/>
      <c r="G298" s="520"/>
      <c r="H298" s="520"/>
      <c r="I298" s="520"/>
      <c r="J298" s="520"/>
      <c r="K298" s="520"/>
      <c r="L298" s="520"/>
      <c r="M298" s="520"/>
      <c r="N298" s="520"/>
      <c r="O298" s="520"/>
      <c r="P298" s="520"/>
      <c r="Q298" s="520"/>
      <c r="R298" s="520"/>
      <c r="S298" s="520"/>
      <c r="T298" s="520"/>
      <c r="U298" s="520"/>
      <c r="V298" s="520"/>
      <c r="W298" s="520"/>
      <c r="X298" s="520"/>
      <c r="Y298" s="520"/>
      <c r="Z298" s="520"/>
      <c r="AA298" s="520"/>
      <c r="AB298" s="520"/>
      <c r="AC298" s="520"/>
      <c r="AD298" s="520"/>
      <c r="AE298" s="520"/>
      <c r="AF298" s="520"/>
      <c r="AG298" s="520"/>
      <c r="AH298" s="520"/>
      <c r="AI298" s="520"/>
      <c r="AJ298" s="520"/>
      <c r="AK298" s="62"/>
      <c r="AL298" s="62"/>
      <c r="AM298" s="62"/>
      <c r="AN298" s="62"/>
    </row>
    <row r="299" spans="1:40" x14ac:dyDescent="0.3">
      <c r="A299" s="62"/>
      <c r="B299" s="62"/>
      <c r="C299" s="62"/>
      <c r="D299" s="62"/>
      <c r="E299" s="62"/>
      <c r="F299" s="520"/>
      <c r="G299" s="520"/>
      <c r="H299" s="520"/>
      <c r="I299" s="520"/>
      <c r="J299" s="520"/>
      <c r="K299" s="520"/>
      <c r="L299" s="520"/>
      <c r="M299" s="520"/>
      <c r="N299" s="520"/>
      <c r="O299" s="520"/>
      <c r="P299" s="520"/>
      <c r="Q299" s="520"/>
      <c r="R299" s="520"/>
      <c r="S299" s="520"/>
      <c r="T299" s="520"/>
      <c r="U299" s="520"/>
      <c r="V299" s="520"/>
      <c r="W299" s="520"/>
      <c r="X299" s="520"/>
      <c r="Y299" s="520"/>
      <c r="Z299" s="520"/>
      <c r="AA299" s="520"/>
      <c r="AB299" s="520"/>
      <c r="AC299" s="520"/>
      <c r="AD299" s="520"/>
      <c r="AE299" s="520"/>
      <c r="AF299" s="520"/>
      <c r="AG299" s="520"/>
      <c r="AH299" s="520"/>
      <c r="AI299" s="520"/>
      <c r="AJ299" s="520"/>
      <c r="AK299" s="62"/>
      <c r="AL299" s="62"/>
      <c r="AM299" s="62"/>
      <c r="AN299" s="62"/>
    </row>
    <row r="300" spans="1:40" x14ac:dyDescent="0.3">
      <c r="A300" s="62"/>
      <c r="B300" s="62"/>
      <c r="C300" s="62"/>
      <c r="D300" s="62"/>
      <c r="E300" s="62"/>
      <c r="F300" s="520"/>
      <c r="G300" s="520"/>
      <c r="H300" s="520"/>
      <c r="I300" s="520"/>
      <c r="J300" s="520"/>
      <c r="K300" s="520"/>
      <c r="L300" s="520"/>
      <c r="M300" s="520"/>
      <c r="N300" s="520"/>
      <c r="O300" s="520"/>
      <c r="P300" s="520"/>
      <c r="Q300" s="520"/>
      <c r="R300" s="520"/>
      <c r="S300" s="520"/>
      <c r="T300" s="520"/>
      <c r="U300" s="520"/>
      <c r="V300" s="520"/>
      <c r="W300" s="520"/>
      <c r="X300" s="520"/>
      <c r="Y300" s="520"/>
      <c r="Z300" s="520"/>
      <c r="AA300" s="520"/>
      <c r="AB300" s="520"/>
      <c r="AC300" s="520"/>
      <c r="AD300" s="520"/>
      <c r="AE300" s="520"/>
      <c r="AF300" s="520"/>
      <c r="AG300" s="520"/>
      <c r="AH300" s="520"/>
      <c r="AI300" s="520"/>
      <c r="AJ300" s="520"/>
      <c r="AK300" s="62"/>
      <c r="AL300" s="62"/>
      <c r="AM300" s="62"/>
      <c r="AN300" s="62"/>
    </row>
    <row r="301" spans="1:40" x14ac:dyDescent="0.3">
      <c r="A301" s="62"/>
      <c r="B301" s="62"/>
      <c r="C301" s="62"/>
      <c r="D301" s="62"/>
      <c r="E301" s="62"/>
      <c r="F301" s="520"/>
      <c r="G301" s="520"/>
      <c r="H301" s="520"/>
      <c r="I301" s="520"/>
      <c r="J301" s="520"/>
      <c r="K301" s="520"/>
      <c r="L301" s="520"/>
      <c r="M301" s="520"/>
      <c r="N301" s="520"/>
      <c r="O301" s="520"/>
      <c r="P301" s="520"/>
      <c r="Q301" s="520"/>
      <c r="R301" s="520"/>
      <c r="S301" s="520"/>
      <c r="T301" s="520"/>
      <c r="U301" s="520"/>
      <c r="V301" s="520"/>
      <c r="W301" s="520"/>
      <c r="X301" s="520"/>
      <c r="Y301" s="520"/>
      <c r="Z301" s="520"/>
      <c r="AA301" s="520"/>
      <c r="AB301" s="520"/>
      <c r="AC301" s="520"/>
      <c r="AD301" s="520"/>
      <c r="AE301" s="520"/>
      <c r="AF301" s="520"/>
      <c r="AG301" s="520"/>
      <c r="AH301" s="520"/>
      <c r="AI301" s="520"/>
      <c r="AJ301" s="520"/>
      <c r="AK301" s="62"/>
      <c r="AL301" s="62"/>
      <c r="AM301" s="62"/>
      <c r="AN301" s="62"/>
    </row>
    <row r="302" spans="1:40" x14ac:dyDescent="0.3">
      <c r="A302" s="62"/>
      <c r="B302" s="62"/>
      <c r="C302" s="62"/>
      <c r="D302" s="62"/>
      <c r="E302" s="62"/>
      <c r="F302" s="520"/>
      <c r="G302" s="520"/>
      <c r="H302" s="520"/>
      <c r="I302" s="520"/>
      <c r="J302" s="520"/>
      <c r="K302" s="520"/>
      <c r="L302" s="520"/>
      <c r="M302" s="520"/>
      <c r="N302" s="520"/>
      <c r="O302" s="520"/>
      <c r="P302" s="520"/>
      <c r="Q302" s="520"/>
      <c r="R302" s="520"/>
      <c r="S302" s="520"/>
      <c r="T302" s="520"/>
      <c r="U302" s="520"/>
      <c r="V302" s="520"/>
      <c r="W302" s="520"/>
      <c r="X302" s="520"/>
      <c r="Y302" s="520"/>
      <c r="Z302" s="520"/>
      <c r="AA302" s="520"/>
      <c r="AB302" s="520"/>
      <c r="AC302" s="520"/>
      <c r="AD302" s="520"/>
      <c r="AE302" s="520"/>
      <c r="AF302" s="520"/>
      <c r="AG302" s="520"/>
      <c r="AH302" s="520"/>
      <c r="AI302" s="520"/>
      <c r="AJ302" s="520"/>
      <c r="AK302" s="62"/>
      <c r="AL302" s="62"/>
      <c r="AM302" s="62"/>
      <c r="AN302" s="62"/>
    </row>
    <row r="303" spans="1:40" x14ac:dyDescent="0.3">
      <c r="A303" s="62"/>
      <c r="B303" s="62"/>
      <c r="C303" s="62"/>
      <c r="D303" s="62"/>
      <c r="E303" s="62"/>
      <c r="F303" s="520"/>
      <c r="G303" s="520"/>
      <c r="H303" s="520"/>
      <c r="I303" s="520"/>
      <c r="J303" s="520"/>
      <c r="K303" s="520"/>
      <c r="L303" s="520"/>
      <c r="M303" s="520"/>
      <c r="N303" s="520"/>
      <c r="O303" s="520"/>
      <c r="P303" s="520"/>
      <c r="Q303" s="520"/>
      <c r="R303" s="520"/>
      <c r="S303" s="520"/>
      <c r="T303" s="520"/>
      <c r="U303" s="520"/>
      <c r="V303" s="520"/>
      <c r="W303" s="520"/>
      <c r="X303" s="520"/>
      <c r="Y303" s="520"/>
      <c r="Z303" s="520"/>
      <c r="AA303" s="520"/>
      <c r="AB303" s="520"/>
      <c r="AC303" s="520"/>
      <c r="AD303" s="520"/>
      <c r="AE303" s="520"/>
      <c r="AF303" s="520"/>
      <c r="AG303" s="520"/>
      <c r="AH303" s="520"/>
      <c r="AI303" s="520"/>
      <c r="AJ303" s="520"/>
      <c r="AK303" s="62"/>
      <c r="AL303" s="62"/>
      <c r="AM303" s="62"/>
      <c r="AN303" s="62"/>
    </row>
    <row r="304" spans="1:40" x14ac:dyDescent="0.3">
      <c r="A304" s="62"/>
      <c r="B304" s="62"/>
      <c r="C304" s="62"/>
      <c r="D304" s="62"/>
      <c r="E304" s="62"/>
      <c r="F304" s="520"/>
      <c r="G304" s="520"/>
      <c r="H304" s="520"/>
      <c r="I304" s="520"/>
      <c r="J304" s="520"/>
      <c r="K304" s="520"/>
      <c r="L304" s="520"/>
      <c r="M304" s="520"/>
      <c r="N304" s="520"/>
      <c r="O304" s="520"/>
      <c r="P304" s="520"/>
      <c r="Q304" s="520"/>
      <c r="R304" s="520"/>
      <c r="S304" s="520"/>
      <c r="T304" s="520"/>
      <c r="U304" s="520"/>
      <c r="V304" s="520"/>
      <c r="W304" s="520"/>
      <c r="X304" s="520"/>
      <c r="Y304" s="520"/>
      <c r="Z304" s="520"/>
      <c r="AA304" s="520"/>
      <c r="AB304" s="520"/>
      <c r="AC304" s="520"/>
      <c r="AD304" s="520"/>
      <c r="AE304" s="520"/>
      <c r="AF304" s="520"/>
      <c r="AG304" s="520"/>
      <c r="AH304" s="520"/>
      <c r="AI304" s="520"/>
      <c r="AJ304" s="520"/>
      <c r="AK304" s="62"/>
      <c r="AL304" s="62"/>
      <c r="AM304" s="62"/>
      <c r="AN304" s="62"/>
    </row>
    <row r="305" spans="1:40" x14ac:dyDescent="0.3">
      <c r="A305" s="62"/>
      <c r="B305" s="62"/>
      <c r="C305" s="62"/>
      <c r="D305" s="62"/>
      <c r="E305" s="62"/>
      <c r="F305" s="520"/>
      <c r="G305" s="520"/>
      <c r="H305" s="520"/>
      <c r="I305" s="520"/>
      <c r="J305" s="520"/>
      <c r="K305" s="520"/>
      <c r="L305" s="520"/>
      <c r="M305" s="520"/>
      <c r="N305" s="520"/>
      <c r="O305" s="520"/>
      <c r="P305" s="520"/>
      <c r="Q305" s="520"/>
      <c r="R305" s="520"/>
      <c r="S305" s="520"/>
      <c r="T305" s="520"/>
      <c r="U305" s="520"/>
      <c r="V305" s="520"/>
      <c r="W305" s="520"/>
      <c r="X305" s="520"/>
      <c r="Y305" s="520"/>
      <c r="Z305" s="520"/>
      <c r="AA305" s="520"/>
      <c r="AB305" s="520"/>
      <c r="AC305" s="520"/>
      <c r="AD305" s="520"/>
      <c r="AE305" s="520"/>
      <c r="AF305" s="520"/>
      <c r="AG305" s="520"/>
      <c r="AH305" s="520"/>
      <c r="AI305" s="520"/>
      <c r="AJ305" s="520"/>
      <c r="AK305" s="62"/>
      <c r="AL305" s="62"/>
      <c r="AM305" s="62"/>
      <c r="AN305" s="62"/>
    </row>
    <row r="306" spans="1:40" x14ac:dyDescent="0.3">
      <c r="A306" s="62"/>
      <c r="B306" s="62"/>
      <c r="C306" s="62"/>
      <c r="D306" s="62"/>
      <c r="E306" s="62"/>
      <c r="F306" s="520"/>
      <c r="G306" s="520"/>
      <c r="H306" s="520"/>
      <c r="I306" s="520"/>
      <c r="J306" s="520"/>
      <c r="K306" s="520"/>
      <c r="L306" s="520"/>
      <c r="M306" s="520"/>
      <c r="N306" s="520"/>
      <c r="O306" s="520"/>
      <c r="P306" s="520"/>
      <c r="Q306" s="520"/>
      <c r="R306" s="520"/>
      <c r="S306" s="520"/>
      <c r="T306" s="520"/>
      <c r="U306" s="520"/>
      <c r="V306" s="520"/>
      <c r="W306" s="520"/>
      <c r="X306" s="520"/>
      <c r="Y306" s="520"/>
      <c r="Z306" s="520"/>
      <c r="AA306" s="520"/>
      <c r="AB306" s="520"/>
      <c r="AC306" s="520"/>
      <c r="AD306" s="520"/>
      <c r="AE306" s="520"/>
      <c r="AF306" s="520"/>
      <c r="AG306" s="520"/>
      <c r="AH306" s="520"/>
      <c r="AI306" s="520"/>
      <c r="AJ306" s="520"/>
      <c r="AK306" s="62"/>
      <c r="AL306" s="62"/>
      <c r="AM306" s="62"/>
      <c r="AN306" s="62"/>
    </row>
    <row r="307" spans="1:40" x14ac:dyDescent="0.3">
      <c r="A307" s="62"/>
      <c r="B307" s="62"/>
      <c r="C307" s="62"/>
      <c r="D307" s="62"/>
      <c r="E307" s="62"/>
      <c r="F307" s="520"/>
      <c r="G307" s="520"/>
      <c r="H307" s="520"/>
      <c r="I307" s="520"/>
      <c r="J307" s="520"/>
      <c r="K307" s="520"/>
      <c r="L307" s="520"/>
      <c r="M307" s="520"/>
      <c r="N307" s="520"/>
      <c r="O307" s="520"/>
      <c r="P307" s="520"/>
      <c r="Q307" s="520"/>
      <c r="R307" s="520"/>
      <c r="S307" s="520"/>
      <c r="T307" s="520"/>
      <c r="U307" s="520"/>
      <c r="V307" s="520"/>
      <c r="W307" s="520"/>
      <c r="X307" s="520"/>
      <c r="Y307" s="520"/>
      <c r="Z307" s="520"/>
      <c r="AA307" s="520"/>
      <c r="AB307" s="520"/>
      <c r="AC307" s="520"/>
      <c r="AD307" s="520"/>
      <c r="AE307" s="520"/>
      <c r="AF307" s="520"/>
      <c r="AG307" s="520"/>
      <c r="AH307" s="520"/>
      <c r="AI307" s="520"/>
      <c r="AJ307" s="520"/>
      <c r="AK307" s="62"/>
      <c r="AL307" s="62"/>
      <c r="AM307" s="62"/>
      <c r="AN307" s="62"/>
    </row>
    <row r="308" spans="1:40" x14ac:dyDescent="0.3">
      <c r="A308" s="62"/>
      <c r="B308" s="62"/>
      <c r="C308" s="62"/>
      <c r="D308" s="62"/>
      <c r="E308" s="62"/>
      <c r="F308" s="520"/>
      <c r="G308" s="520"/>
      <c r="H308" s="520"/>
      <c r="I308" s="520"/>
      <c r="J308" s="520"/>
      <c r="K308" s="520"/>
      <c r="L308" s="520"/>
      <c r="M308" s="520"/>
      <c r="N308" s="520"/>
      <c r="O308" s="520"/>
      <c r="P308" s="520"/>
      <c r="Q308" s="520"/>
      <c r="R308" s="520"/>
      <c r="S308" s="520"/>
      <c r="T308" s="520"/>
      <c r="U308" s="520"/>
      <c r="V308" s="520"/>
      <c r="W308" s="520"/>
      <c r="X308" s="520"/>
      <c r="Y308" s="520"/>
      <c r="Z308" s="520"/>
      <c r="AA308" s="520"/>
      <c r="AB308" s="520"/>
      <c r="AC308" s="520"/>
      <c r="AD308" s="520"/>
      <c r="AE308" s="520"/>
      <c r="AF308" s="520"/>
      <c r="AG308" s="520"/>
      <c r="AH308" s="520"/>
      <c r="AI308" s="520"/>
      <c r="AJ308" s="520"/>
      <c r="AK308" s="62"/>
      <c r="AL308" s="62"/>
      <c r="AM308" s="62"/>
      <c r="AN308" s="62"/>
    </row>
    <row r="309" spans="1:40" x14ac:dyDescent="0.3">
      <c r="A309" s="62"/>
      <c r="B309" s="62"/>
      <c r="C309" s="62"/>
      <c r="D309" s="62"/>
      <c r="E309" s="62"/>
      <c r="F309" s="520"/>
      <c r="G309" s="520"/>
      <c r="H309" s="520"/>
      <c r="I309" s="520"/>
      <c r="J309" s="520"/>
      <c r="K309" s="520"/>
      <c r="L309" s="520"/>
      <c r="M309" s="520"/>
      <c r="N309" s="520"/>
      <c r="O309" s="520"/>
      <c r="P309" s="520"/>
      <c r="Q309" s="520"/>
      <c r="R309" s="520"/>
      <c r="S309" s="520"/>
      <c r="T309" s="520"/>
      <c r="U309" s="520"/>
      <c r="V309" s="520"/>
      <c r="W309" s="520"/>
      <c r="X309" s="520"/>
      <c r="Y309" s="520"/>
      <c r="Z309" s="520"/>
      <c r="AA309" s="520"/>
      <c r="AB309" s="520"/>
      <c r="AC309" s="520"/>
      <c r="AD309" s="520"/>
      <c r="AE309" s="520"/>
      <c r="AF309" s="520"/>
      <c r="AG309" s="520"/>
      <c r="AH309" s="520"/>
      <c r="AI309" s="520"/>
      <c r="AJ309" s="520"/>
      <c r="AK309" s="62"/>
      <c r="AL309" s="62"/>
      <c r="AM309" s="62"/>
      <c r="AN309" s="62"/>
    </row>
    <row r="310" spans="1:40" x14ac:dyDescent="0.3">
      <c r="A310" s="62"/>
      <c r="B310" s="62"/>
      <c r="C310" s="62"/>
      <c r="D310" s="62"/>
      <c r="E310" s="62"/>
      <c r="F310" s="520"/>
      <c r="G310" s="520"/>
      <c r="H310" s="520"/>
      <c r="I310" s="520"/>
      <c r="J310" s="520"/>
      <c r="K310" s="520"/>
      <c r="L310" s="520"/>
      <c r="M310" s="520"/>
      <c r="N310" s="520"/>
      <c r="O310" s="520"/>
      <c r="P310" s="520"/>
      <c r="Q310" s="520"/>
      <c r="R310" s="520"/>
      <c r="S310" s="520"/>
      <c r="T310" s="520"/>
      <c r="U310" s="520"/>
      <c r="V310" s="520"/>
      <c r="W310" s="520"/>
      <c r="X310" s="520"/>
      <c r="Y310" s="520"/>
      <c r="Z310" s="520"/>
      <c r="AA310" s="520"/>
      <c r="AB310" s="520"/>
      <c r="AC310" s="520"/>
      <c r="AD310" s="520"/>
      <c r="AE310" s="520"/>
      <c r="AF310" s="520"/>
      <c r="AG310" s="520"/>
      <c r="AH310" s="520"/>
      <c r="AI310" s="520"/>
      <c r="AJ310" s="520"/>
      <c r="AK310" s="62"/>
      <c r="AL310" s="62"/>
      <c r="AM310" s="62"/>
      <c r="AN310" s="62"/>
    </row>
    <row r="311" spans="1:40" x14ac:dyDescent="0.3">
      <c r="A311" s="62"/>
      <c r="B311" s="62"/>
      <c r="C311" s="62"/>
      <c r="D311" s="62"/>
      <c r="E311" s="62"/>
      <c r="F311" s="520"/>
      <c r="G311" s="520"/>
      <c r="H311" s="520"/>
      <c r="I311" s="520"/>
      <c r="J311" s="520"/>
      <c r="K311" s="520"/>
      <c r="L311" s="520"/>
      <c r="M311" s="520"/>
      <c r="N311" s="520"/>
      <c r="O311" s="520"/>
      <c r="P311" s="520"/>
      <c r="Q311" s="520"/>
      <c r="R311" s="520"/>
      <c r="S311" s="520"/>
      <c r="T311" s="520"/>
      <c r="U311" s="520"/>
      <c r="V311" s="520"/>
      <c r="W311" s="520"/>
      <c r="X311" s="520"/>
      <c r="Y311" s="520"/>
      <c r="Z311" s="520"/>
      <c r="AA311" s="520"/>
      <c r="AB311" s="520"/>
      <c r="AC311" s="520"/>
      <c r="AD311" s="520"/>
      <c r="AE311" s="520"/>
      <c r="AF311" s="520"/>
      <c r="AG311" s="520"/>
      <c r="AH311" s="520"/>
      <c r="AI311" s="520"/>
      <c r="AJ311" s="520"/>
      <c r="AK311" s="62"/>
      <c r="AL311" s="62"/>
      <c r="AM311" s="62"/>
      <c r="AN311" s="62"/>
    </row>
    <row r="312" spans="1:40" x14ac:dyDescent="0.3">
      <c r="A312" s="62"/>
      <c r="B312" s="62"/>
      <c r="C312" s="62"/>
      <c r="D312" s="62"/>
      <c r="E312" s="62"/>
      <c r="F312" s="520"/>
      <c r="G312" s="520"/>
      <c r="H312" s="520"/>
      <c r="I312" s="520"/>
      <c r="J312" s="520"/>
      <c r="K312" s="520"/>
      <c r="L312" s="520"/>
      <c r="M312" s="520"/>
      <c r="N312" s="520"/>
      <c r="O312" s="520"/>
      <c r="P312" s="520"/>
      <c r="Q312" s="520"/>
      <c r="R312" s="520"/>
      <c r="S312" s="520"/>
      <c r="T312" s="520"/>
      <c r="U312" s="520"/>
      <c r="V312" s="520"/>
      <c r="W312" s="520"/>
      <c r="X312" s="520"/>
      <c r="Y312" s="520"/>
      <c r="Z312" s="520"/>
      <c r="AA312" s="520"/>
      <c r="AB312" s="520"/>
      <c r="AC312" s="520"/>
      <c r="AD312" s="520"/>
      <c r="AE312" s="520"/>
      <c r="AF312" s="520"/>
      <c r="AG312" s="520"/>
      <c r="AH312" s="520"/>
      <c r="AI312" s="520"/>
      <c r="AJ312" s="520"/>
      <c r="AK312" s="62"/>
      <c r="AL312" s="62"/>
      <c r="AM312" s="62"/>
      <c r="AN312" s="62"/>
    </row>
    <row r="313" spans="1:40" x14ac:dyDescent="0.3">
      <c r="A313" s="62"/>
      <c r="B313" s="62"/>
      <c r="C313" s="62"/>
      <c r="D313" s="62"/>
      <c r="E313" s="62"/>
      <c r="F313" s="520"/>
      <c r="G313" s="520"/>
      <c r="H313" s="520"/>
      <c r="I313" s="520"/>
      <c r="J313" s="520"/>
      <c r="K313" s="520"/>
      <c r="L313" s="520"/>
      <c r="M313" s="520"/>
      <c r="N313" s="520"/>
      <c r="O313" s="520"/>
      <c r="P313" s="520"/>
      <c r="Q313" s="520"/>
      <c r="R313" s="520"/>
      <c r="S313" s="520"/>
      <c r="T313" s="520"/>
      <c r="U313" s="520"/>
      <c r="V313" s="520"/>
      <c r="W313" s="520"/>
      <c r="X313" s="520"/>
      <c r="Y313" s="520"/>
      <c r="Z313" s="520"/>
      <c r="AA313" s="520"/>
      <c r="AB313" s="520"/>
      <c r="AC313" s="520"/>
      <c r="AD313" s="520"/>
      <c r="AE313" s="520"/>
      <c r="AF313" s="520"/>
      <c r="AG313" s="520"/>
      <c r="AH313" s="520"/>
      <c r="AI313" s="520"/>
      <c r="AJ313" s="520"/>
      <c r="AK313" s="62"/>
      <c r="AL313" s="62"/>
      <c r="AM313" s="62"/>
      <c r="AN313" s="62"/>
    </row>
    <row r="314" spans="1:40" x14ac:dyDescent="0.3">
      <c r="A314" s="62"/>
      <c r="B314" s="62"/>
      <c r="C314" s="62"/>
      <c r="D314" s="62"/>
      <c r="E314" s="62"/>
      <c r="F314" s="520"/>
      <c r="G314" s="520"/>
      <c r="H314" s="520"/>
      <c r="I314" s="520"/>
      <c r="J314" s="520"/>
      <c r="K314" s="520"/>
      <c r="L314" s="520"/>
      <c r="M314" s="520"/>
      <c r="N314" s="520"/>
      <c r="O314" s="520"/>
      <c r="P314" s="520"/>
      <c r="Q314" s="520"/>
      <c r="R314" s="520"/>
      <c r="S314" s="520"/>
      <c r="T314" s="520"/>
      <c r="U314" s="520"/>
      <c r="V314" s="520"/>
      <c r="W314" s="520"/>
      <c r="X314" s="520"/>
      <c r="Y314" s="520"/>
      <c r="Z314" s="520"/>
      <c r="AA314" s="520"/>
      <c r="AB314" s="520"/>
      <c r="AC314" s="520"/>
      <c r="AD314" s="520"/>
      <c r="AE314" s="520"/>
      <c r="AF314" s="520"/>
      <c r="AG314" s="520"/>
      <c r="AH314" s="520"/>
      <c r="AI314" s="520"/>
      <c r="AJ314" s="520"/>
      <c r="AK314" s="62"/>
      <c r="AL314" s="62"/>
      <c r="AM314" s="62"/>
      <c r="AN314" s="62"/>
    </row>
    <row r="315" spans="1:40" x14ac:dyDescent="0.3">
      <c r="A315" s="62"/>
      <c r="B315" s="62"/>
      <c r="C315" s="62"/>
      <c r="D315" s="62"/>
      <c r="E315" s="62"/>
      <c r="F315" s="520"/>
      <c r="G315" s="520"/>
      <c r="H315" s="520"/>
      <c r="I315" s="520"/>
      <c r="J315" s="520"/>
      <c r="K315" s="520"/>
      <c r="L315" s="520"/>
      <c r="M315" s="520"/>
      <c r="N315" s="520"/>
      <c r="O315" s="520"/>
      <c r="P315" s="520"/>
      <c r="Q315" s="520"/>
      <c r="R315" s="520"/>
      <c r="S315" s="520"/>
      <c r="T315" s="520"/>
      <c r="U315" s="520"/>
      <c r="V315" s="520"/>
      <c r="W315" s="520"/>
      <c r="X315" s="520"/>
      <c r="Y315" s="520"/>
      <c r="Z315" s="520"/>
      <c r="AA315" s="520"/>
      <c r="AB315" s="520"/>
      <c r="AC315" s="520"/>
      <c r="AD315" s="520"/>
      <c r="AE315" s="520"/>
      <c r="AF315" s="520"/>
      <c r="AG315" s="520"/>
      <c r="AH315" s="520"/>
      <c r="AI315" s="520"/>
      <c r="AJ315" s="520"/>
      <c r="AK315" s="62"/>
      <c r="AL315" s="62"/>
      <c r="AM315" s="62"/>
      <c r="AN315" s="62"/>
    </row>
    <row r="316" spans="1:40" x14ac:dyDescent="0.3">
      <c r="A316" s="62"/>
      <c r="B316" s="62"/>
      <c r="C316" s="62"/>
      <c r="D316" s="62"/>
      <c r="E316" s="62"/>
      <c r="F316" s="520"/>
      <c r="G316" s="520"/>
      <c r="H316" s="520"/>
      <c r="I316" s="520"/>
      <c r="J316" s="520"/>
      <c r="K316" s="520"/>
      <c r="L316" s="520"/>
      <c r="M316" s="520"/>
      <c r="N316" s="520"/>
      <c r="O316" s="520"/>
      <c r="P316" s="520"/>
      <c r="Q316" s="520"/>
      <c r="R316" s="520"/>
      <c r="S316" s="520"/>
      <c r="T316" s="520"/>
      <c r="U316" s="520"/>
      <c r="V316" s="520"/>
      <c r="W316" s="520"/>
      <c r="X316" s="520"/>
      <c r="Y316" s="520"/>
      <c r="Z316" s="520"/>
      <c r="AA316" s="520"/>
      <c r="AB316" s="520"/>
      <c r="AC316" s="520"/>
      <c r="AD316" s="520"/>
      <c r="AE316" s="520"/>
      <c r="AF316" s="520"/>
      <c r="AG316" s="520"/>
      <c r="AH316" s="520"/>
      <c r="AI316" s="520"/>
      <c r="AJ316" s="520"/>
      <c r="AK316" s="62"/>
      <c r="AL316" s="62"/>
      <c r="AM316" s="62"/>
      <c r="AN316" s="62"/>
    </row>
    <row r="317" spans="1:40" x14ac:dyDescent="0.3">
      <c r="A317" s="62"/>
      <c r="B317" s="62"/>
      <c r="C317" s="62"/>
      <c r="D317" s="62"/>
      <c r="E317" s="62"/>
      <c r="F317" s="520"/>
      <c r="G317" s="520"/>
      <c r="H317" s="520"/>
      <c r="I317" s="520"/>
      <c r="J317" s="520"/>
      <c r="K317" s="520"/>
      <c r="L317" s="520"/>
      <c r="M317" s="520"/>
      <c r="N317" s="520"/>
      <c r="O317" s="520"/>
      <c r="P317" s="520"/>
      <c r="Q317" s="520"/>
      <c r="R317" s="520"/>
      <c r="S317" s="520"/>
      <c r="T317" s="520"/>
      <c r="U317" s="520"/>
      <c r="V317" s="520"/>
      <c r="W317" s="520"/>
      <c r="X317" s="520"/>
      <c r="Y317" s="520"/>
      <c r="Z317" s="520"/>
      <c r="AA317" s="520"/>
      <c r="AB317" s="520"/>
      <c r="AC317" s="520"/>
      <c r="AD317" s="520"/>
      <c r="AE317" s="520"/>
      <c r="AF317" s="520"/>
      <c r="AG317" s="520"/>
      <c r="AH317" s="520"/>
      <c r="AI317" s="520"/>
      <c r="AJ317" s="520"/>
      <c r="AK317" s="62"/>
      <c r="AL317" s="62"/>
      <c r="AM317" s="62"/>
      <c r="AN317" s="62"/>
    </row>
    <row r="318" spans="1:40" x14ac:dyDescent="0.3">
      <c r="A318" s="62"/>
      <c r="B318" s="62"/>
      <c r="C318" s="62"/>
      <c r="D318" s="62"/>
      <c r="E318" s="62"/>
      <c r="F318" s="520"/>
      <c r="G318" s="520"/>
      <c r="H318" s="520"/>
      <c r="I318" s="520"/>
      <c r="J318" s="520"/>
      <c r="K318" s="520"/>
      <c r="L318" s="520"/>
      <c r="M318" s="520"/>
      <c r="N318" s="520"/>
      <c r="O318" s="520"/>
      <c r="P318" s="520"/>
      <c r="Q318" s="520"/>
      <c r="R318" s="520"/>
      <c r="S318" s="520"/>
      <c r="T318" s="520"/>
      <c r="U318" s="520"/>
      <c r="V318" s="520"/>
      <c r="W318" s="520"/>
      <c r="X318" s="520"/>
      <c r="Y318" s="520"/>
      <c r="Z318" s="520"/>
      <c r="AA318" s="520"/>
      <c r="AB318" s="520"/>
      <c r="AC318" s="520"/>
      <c r="AD318" s="520"/>
      <c r="AE318" s="520"/>
      <c r="AF318" s="520"/>
      <c r="AG318" s="520"/>
      <c r="AH318" s="520"/>
      <c r="AI318" s="520"/>
      <c r="AJ318" s="520"/>
      <c r="AK318" s="62"/>
      <c r="AL318" s="62"/>
      <c r="AM318" s="62"/>
      <c r="AN318" s="62"/>
    </row>
    <row r="319" spans="1:40" x14ac:dyDescent="0.3">
      <c r="A319" s="62"/>
      <c r="B319" s="62"/>
      <c r="C319" s="62"/>
      <c r="D319" s="62"/>
      <c r="E319" s="62"/>
      <c r="F319" s="520"/>
      <c r="G319" s="520"/>
      <c r="H319" s="520"/>
      <c r="I319" s="520"/>
      <c r="J319" s="520"/>
      <c r="K319" s="520"/>
      <c r="L319" s="520"/>
      <c r="M319" s="520"/>
      <c r="N319" s="520"/>
      <c r="O319" s="520"/>
      <c r="P319" s="520"/>
      <c r="Q319" s="520"/>
      <c r="R319" s="520"/>
      <c r="S319" s="520"/>
      <c r="T319" s="520"/>
      <c r="U319" s="520"/>
      <c r="V319" s="520"/>
      <c r="W319" s="520"/>
      <c r="X319" s="520"/>
      <c r="Y319" s="520"/>
      <c r="Z319" s="520"/>
      <c r="AA319" s="520"/>
      <c r="AB319" s="520"/>
      <c r="AC319" s="520"/>
      <c r="AD319" s="520"/>
      <c r="AE319" s="520"/>
      <c r="AF319" s="520"/>
      <c r="AG319" s="520"/>
      <c r="AH319" s="520"/>
      <c r="AI319" s="520"/>
      <c r="AJ319" s="520"/>
      <c r="AK319" s="62"/>
      <c r="AL319" s="62"/>
      <c r="AM319" s="62"/>
      <c r="AN319" s="62"/>
    </row>
    <row r="320" spans="1:40" x14ac:dyDescent="0.3">
      <c r="A320" s="62"/>
      <c r="B320" s="62"/>
      <c r="C320" s="62"/>
      <c r="D320" s="62"/>
      <c r="E320" s="62"/>
      <c r="F320" s="520"/>
      <c r="G320" s="520"/>
      <c r="H320" s="520"/>
      <c r="I320" s="520"/>
      <c r="J320" s="520"/>
      <c r="K320" s="520"/>
      <c r="L320" s="520"/>
      <c r="M320" s="520"/>
      <c r="N320" s="520"/>
      <c r="O320" s="520"/>
      <c r="P320" s="520"/>
      <c r="Q320" s="520"/>
      <c r="R320" s="520"/>
      <c r="S320" s="520"/>
      <c r="T320" s="520"/>
      <c r="U320" s="520"/>
      <c r="V320" s="520"/>
      <c r="W320" s="520"/>
      <c r="X320" s="520"/>
      <c r="Y320" s="520"/>
      <c r="Z320" s="520"/>
      <c r="AA320" s="520"/>
      <c r="AB320" s="520"/>
      <c r="AC320" s="520"/>
      <c r="AD320" s="520"/>
      <c r="AE320" s="520"/>
      <c r="AF320" s="520"/>
      <c r="AG320" s="520"/>
      <c r="AH320" s="520"/>
      <c r="AI320" s="520"/>
      <c r="AJ320" s="520"/>
      <c r="AK320" s="62"/>
      <c r="AL320" s="62"/>
      <c r="AM320" s="62"/>
      <c r="AN320" s="62"/>
    </row>
    <row r="321" spans="1:40" x14ac:dyDescent="0.3">
      <c r="A321" s="62"/>
      <c r="B321" s="62"/>
      <c r="C321" s="62"/>
      <c r="D321" s="62"/>
      <c r="E321" s="62"/>
      <c r="F321" s="520"/>
      <c r="G321" s="520"/>
      <c r="H321" s="520"/>
      <c r="I321" s="520"/>
      <c r="J321" s="520"/>
      <c r="K321" s="520"/>
      <c r="L321" s="520"/>
      <c r="M321" s="520"/>
      <c r="N321" s="520"/>
      <c r="O321" s="520"/>
      <c r="P321" s="520"/>
      <c r="Q321" s="520"/>
      <c r="R321" s="520"/>
      <c r="S321" s="520"/>
      <c r="T321" s="520"/>
      <c r="U321" s="520"/>
      <c r="V321" s="520"/>
      <c r="W321" s="520"/>
      <c r="X321" s="520"/>
      <c r="Y321" s="520"/>
      <c r="Z321" s="520"/>
      <c r="AA321" s="520"/>
      <c r="AB321" s="520"/>
      <c r="AC321" s="520"/>
      <c r="AD321" s="520"/>
      <c r="AE321" s="520"/>
      <c r="AF321" s="520"/>
      <c r="AG321" s="520"/>
      <c r="AH321" s="520"/>
      <c r="AI321" s="520"/>
      <c r="AJ321" s="520"/>
      <c r="AK321" s="62"/>
      <c r="AL321" s="62"/>
      <c r="AM321" s="62"/>
      <c r="AN321" s="62"/>
    </row>
    <row r="322" spans="1:40" x14ac:dyDescent="0.3">
      <c r="A322" s="62"/>
      <c r="B322" s="62"/>
      <c r="C322" s="62"/>
      <c r="D322" s="62"/>
      <c r="E322" s="62"/>
      <c r="F322" s="520"/>
      <c r="G322" s="520"/>
      <c r="H322" s="520"/>
      <c r="I322" s="520"/>
      <c r="J322" s="520"/>
      <c r="K322" s="520"/>
      <c r="L322" s="520"/>
      <c r="M322" s="520"/>
      <c r="N322" s="520"/>
      <c r="O322" s="520"/>
      <c r="P322" s="520"/>
      <c r="Q322" s="520"/>
      <c r="R322" s="520"/>
      <c r="S322" s="520"/>
      <c r="T322" s="520"/>
      <c r="U322" s="520"/>
      <c r="V322" s="520"/>
      <c r="W322" s="520"/>
      <c r="X322" s="520"/>
      <c r="Y322" s="520"/>
      <c r="Z322" s="520"/>
      <c r="AA322" s="520"/>
      <c r="AB322" s="520"/>
      <c r="AC322" s="520"/>
      <c r="AD322" s="520"/>
      <c r="AE322" s="520"/>
      <c r="AF322" s="520"/>
      <c r="AG322" s="520"/>
      <c r="AH322" s="520"/>
      <c r="AI322" s="520"/>
      <c r="AJ322" s="520"/>
      <c r="AK322" s="62"/>
      <c r="AL322" s="62"/>
      <c r="AM322" s="62"/>
      <c r="AN322" s="62"/>
    </row>
    <row r="323" spans="1:40" x14ac:dyDescent="0.3">
      <c r="A323" s="62"/>
      <c r="B323" s="62"/>
      <c r="C323" s="62"/>
      <c r="D323" s="62"/>
      <c r="E323" s="62"/>
      <c r="F323" s="520"/>
      <c r="G323" s="520"/>
      <c r="H323" s="520"/>
      <c r="I323" s="520"/>
      <c r="J323" s="520"/>
      <c r="K323" s="520"/>
      <c r="L323" s="520"/>
      <c r="M323" s="520"/>
      <c r="N323" s="520"/>
      <c r="O323" s="520"/>
      <c r="P323" s="520"/>
      <c r="Q323" s="520"/>
      <c r="R323" s="520"/>
      <c r="S323" s="520"/>
      <c r="T323" s="520"/>
      <c r="U323" s="520"/>
      <c r="V323" s="520"/>
      <c r="W323" s="520"/>
      <c r="X323" s="520"/>
      <c r="Y323" s="520"/>
      <c r="Z323" s="520"/>
      <c r="AA323" s="520"/>
      <c r="AB323" s="520"/>
      <c r="AC323" s="520"/>
      <c r="AD323" s="520"/>
      <c r="AE323" s="520"/>
      <c r="AF323" s="520"/>
      <c r="AG323" s="520"/>
      <c r="AH323" s="520"/>
      <c r="AI323" s="520"/>
      <c r="AJ323" s="520"/>
      <c r="AK323" s="62"/>
      <c r="AL323" s="62"/>
      <c r="AM323" s="62"/>
      <c r="AN323" s="62"/>
    </row>
    <row r="324" spans="1:40" x14ac:dyDescent="0.3">
      <c r="A324" s="62"/>
      <c r="B324" s="62"/>
      <c r="C324" s="62"/>
      <c r="D324" s="62"/>
      <c r="E324" s="62"/>
      <c r="F324" s="520"/>
      <c r="G324" s="520"/>
      <c r="H324" s="520"/>
      <c r="I324" s="520"/>
      <c r="J324" s="520"/>
      <c r="K324" s="520"/>
      <c r="L324" s="520"/>
      <c r="M324" s="520"/>
      <c r="N324" s="520"/>
      <c r="O324" s="520"/>
      <c r="P324" s="520"/>
      <c r="Q324" s="520"/>
      <c r="R324" s="520"/>
      <c r="S324" s="520"/>
      <c r="T324" s="520"/>
      <c r="U324" s="520"/>
      <c r="V324" s="520"/>
      <c r="W324" s="520"/>
      <c r="X324" s="520"/>
      <c r="Y324" s="520"/>
      <c r="Z324" s="520"/>
      <c r="AA324" s="520"/>
      <c r="AB324" s="520"/>
      <c r="AC324" s="520"/>
      <c r="AD324" s="520"/>
      <c r="AE324" s="520"/>
      <c r="AF324" s="520"/>
      <c r="AG324" s="520"/>
      <c r="AH324" s="520"/>
      <c r="AI324" s="520"/>
      <c r="AJ324" s="520"/>
      <c r="AK324" s="62"/>
      <c r="AL324" s="62"/>
      <c r="AM324" s="62"/>
      <c r="AN324" s="62"/>
    </row>
    <row r="325" spans="1:40" x14ac:dyDescent="0.3">
      <c r="A325" s="62"/>
      <c r="B325" s="62"/>
      <c r="C325" s="62"/>
      <c r="D325" s="62"/>
      <c r="E325" s="62"/>
      <c r="F325" s="520"/>
      <c r="G325" s="520"/>
      <c r="H325" s="520"/>
      <c r="I325" s="520"/>
      <c r="J325" s="520"/>
      <c r="K325" s="520"/>
      <c r="L325" s="520"/>
      <c r="M325" s="520"/>
      <c r="N325" s="520"/>
      <c r="O325" s="520"/>
      <c r="P325" s="520"/>
      <c r="Q325" s="520"/>
      <c r="R325" s="520"/>
      <c r="S325" s="520"/>
      <c r="T325" s="520"/>
      <c r="U325" s="520"/>
      <c r="V325" s="520"/>
      <c r="W325" s="520"/>
      <c r="X325" s="520"/>
      <c r="Y325" s="520"/>
      <c r="Z325" s="520"/>
      <c r="AA325" s="520"/>
      <c r="AB325" s="520"/>
      <c r="AC325" s="520"/>
      <c r="AD325" s="520"/>
      <c r="AE325" s="520"/>
      <c r="AF325" s="520"/>
      <c r="AG325" s="520"/>
      <c r="AH325" s="520"/>
      <c r="AI325" s="520"/>
      <c r="AJ325" s="520"/>
      <c r="AK325" s="62"/>
      <c r="AL325" s="62"/>
      <c r="AM325" s="62"/>
      <c r="AN325" s="62"/>
    </row>
    <row r="326" spans="1:40" x14ac:dyDescent="0.3">
      <c r="A326" s="62"/>
      <c r="B326" s="62"/>
      <c r="C326" s="62"/>
      <c r="D326" s="62"/>
      <c r="E326" s="62"/>
      <c r="F326" s="520"/>
      <c r="G326" s="520"/>
      <c r="H326" s="520"/>
      <c r="I326" s="520"/>
      <c r="J326" s="520"/>
      <c r="K326" s="520"/>
      <c r="L326" s="520"/>
      <c r="M326" s="520"/>
      <c r="N326" s="520"/>
      <c r="O326" s="520"/>
      <c r="P326" s="520"/>
      <c r="Q326" s="520"/>
      <c r="R326" s="520"/>
      <c r="S326" s="520"/>
      <c r="T326" s="520"/>
      <c r="U326" s="520"/>
      <c r="V326" s="520"/>
      <c r="W326" s="520"/>
      <c r="X326" s="520"/>
      <c r="Y326" s="520"/>
      <c r="Z326" s="520"/>
      <c r="AA326" s="520"/>
      <c r="AB326" s="520"/>
      <c r="AC326" s="520"/>
      <c r="AD326" s="520"/>
      <c r="AE326" s="520"/>
      <c r="AF326" s="520"/>
      <c r="AG326" s="520"/>
      <c r="AH326" s="520"/>
      <c r="AI326" s="520"/>
      <c r="AJ326" s="520"/>
      <c r="AK326" s="62"/>
      <c r="AL326" s="62"/>
      <c r="AM326" s="62"/>
      <c r="AN326" s="62"/>
    </row>
    <row r="327" spans="1:40" x14ac:dyDescent="0.3">
      <c r="A327" s="62"/>
      <c r="B327" s="62"/>
      <c r="C327" s="62"/>
      <c r="D327" s="62"/>
      <c r="E327" s="62"/>
      <c r="F327" s="520"/>
      <c r="G327" s="520"/>
      <c r="H327" s="520"/>
      <c r="I327" s="520"/>
      <c r="J327" s="520"/>
      <c r="K327" s="520"/>
      <c r="L327" s="520"/>
      <c r="M327" s="520"/>
      <c r="N327" s="520"/>
      <c r="O327" s="520"/>
      <c r="P327" s="520"/>
      <c r="Q327" s="520"/>
      <c r="R327" s="520"/>
      <c r="S327" s="520"/>
      <c r="T327" s="520"/>
      <c r="U327" s="520"/>
      <c r="V327" s="520"/>
      <c r="W327" s="520"/>
      <c r="X327" s="520"/>
      <c r="Y327" s="520"/>
      <c r="Z327" s="520"/>
      <c r="AA327" s="520"/>
      <c r="AB327" s="520"/>
      <c r="AC327" s="520"/>
      <c r="AD327" s="520"/>
      <c r="AE327" s="520"/>
      <c r="AF327" s="520"/>
      <c r="AG327" s="520"/>
      <c r="AH327" s="520"/>
      <c r="AI327" s="520"/>
      <c r="AJ327" s="520"/>
      <c r="AK327" s="62"/>
      <c r="AL327" s="62"/>
      <c r="AM327" s="62"/>
      <c r="AN327" s="62"/>
    </row>
    <row r="328" spans="1:40" x14ac:dyDescent="0.3">
      <c r="A328" s="62"/>
      <c r="B328" s="62"/>
      <c r="C328" s="62"/>
      <c r="D328" s="62"/>
      <c r="E328" s="62"/>
      <c r="F328" s="520"/>
      <c r="G328" s="520"/>
      <c r="H328" s="520"/>
      <c r="I328" s="520"/>
      <c r="J328" s="520"/>
      <c r="K328" s="520"/>
      <c r="L328" s="520"/>
      <c r="M328" s="520"/>
      <c r="N328" s="520"/>
      <c r="O328" s="520"/>
      <c r="P328" s="520"/>
      <c r="Q328" s="520"/>
      <c r="R328" s="520"/>
      <c r="S328" s="520"/>
      <c r="T328" s="520"/>
      <c r="U328" s="520"/>
      <c r="V328" s="520"/>
      <c r="W328" s="520"/>
      <c r="X328" s="520"/>
      <c r="Y328" s="520"/>
      <c r="Z328" s="520"/>
      <c r="AA328" s="520"/>
      <c r="AB328" s="520"/>
      <c r="AC328" s="520"/>
      <c r="AD328" s="520"/>
      <c r="AE328" s="520"/>
      <c r="AF328" s="520"/>
      <c r="AG328" s="520"/>
      <c r="AH328" s="520"/>
      <c r="AI328" s="520"/>
      <c r="AJ328" s="520"/>
      <c r="AK328" s="62"/>
      <c r="AL328" s="62"/>
      <c r="AM328" s="62"/>
      <c r="AN328" s="62"/>
    </row>
    <row r="329" spans="1:40" x14ac:dyDescent="0.3">
      <c r="A329" s="62"/>
      <c r="B329" s="62"/>
      <c r="C329" s="62"/>
      <c r="D329" s="62"/>
      <c r="E329" s="62"/>
      <c r="F329" s="520"/>
      <c r="G329" s="520"/>
      <c r="H329" s="520"/>
      <c r="I329" s="520"/>
      <c r="J329" s="520"/>
      <c r="K329" s="520"/>
      <c r="L329" s="520"/>
      <c r="M329" s="520"/>
      <c r="N329" s="520"/>
      <c r="O329" s="520"/>
      <c r="P329" s="520"/>
      <c r="Q329" s="520"/>
      <c r="R329" s="520"/>
      <c r="S329" s="520"/>
      <c r="T329" s="520"/>
      <c r="U329" s="520"/>
      <c r="V329" s="520"/>
      <c r="W329" s="520"/>
      <c r="X329" s="520"/>
      <c r="Y329" s="520"/>
      <c r="Z329" s="520"/>
      <c r="AA329" s="520"/>
      <c r="AB329" s="520"/>
      <c r="AC329" s="520"/>
      <c r="AD329" s="520"/>
      <c r="AE329" s="520"/>
      <c r="AF329" s="520"/>
      <c r="AG329" s="520"/>
      <c r="AH329" s="520"/>
      <c r="AI329" s="520"/>
      <c r="AJ329" s="520"/>
      <c r="AK329" s="62"/>
      <c r="AL329" s="62"/>
      <c r="AM329" s="62"/>
      <c r="AN329" s="62"/>
    </row>
    <row r="330" spans="1:40" x14ac:dyDescent="0.3">
      <c r="A330" s="62"/>
      <c r="B330" s="62"/>
      <c r="C330" s="62"/>
      <c r="D330" s="62"/>
      <c r="E330" s="62"/>
      <c r="F330" s="520"/>
      <c r="G330" s="520"/>
      <c r="H330" s="520"/>
      <c r="I330" s="520"/>
      <c r="J330" s="520"/>
      <c r="K330" s="520"/>
      <c r="L330" s="520"/>
      <c r="M330" s="520"/>
      <c r="N330" s="520"/>
      <c r="O330" s="520"/>
      <c r="P330" s="520"/>
      <c r="Q330" s="520"/>
      <c r="R330" s="520"/>
      <c r="S330" s="520"/>
      <c r="T330" s="520"/>
      <c r="U330" s="520"/>
      <c r="V330" s="520"/>
      <c r="W330" s="520"/>
      <c r="X330" s="520"/>
      <c r="Y330" s="520"/>
      <c r="Z330" s="520"/>
      <c r="AA330" s="520"/>
      <c r="AB330" s="520"/>
      <c r="AC330" s="520"/>
      <c r="AD330" s="520"/>
      <c r="AE330" s="520"/>
      <c r="AF330" s="520"/>
      <c r="AG330" s="520"/>
      <c r="AH330" s="520"/>
      <c r="AI330" s="520"/>
      <c r="AJ330" s="520"/>
      <c r="AK330" s="62"/>
      <c r="AL330" s="62"/>
      <c r="AM330" s="62"/>
      <c r="AN330" s="62"/>
    </row>
    <row r="331" spans="1:40" x14ac:dyDescent="0.3">
      <c r="A331" s="62"/>
      <c r="B331" s="62"/>
      <c r="C331" s="62"/>
      <c r="D331" s="62"/>
      <c r="E331" s="62"/>
      <c r="F331" s="520"/>
      <c r="G331" s="520"/>
      <c r="H331" s="520"/>
      <c r="I331" s="520"/>
      <c r="J331" s="520"/>
      <c r="K331" s="520"/>
      <c r="L331" s="520"/>
      <c r="M331" s="520"/>
      <c r="N331" s="520"/>
      <c r="O331" s="520"/>
      <c r="P331" s="520"/>
      <c r="Q331" s="520"/>
      <c r="R331" s="520"/>
      <c r="S331" s="520"/>
      <c r="T331" s="520"/>
      <c r="U331" s="520"/>
      <c r="V331" s="520"/>
      <c r="W331" s="520"/>
      <c r="X331" s="520"/>
      <c r="Y331" s="520"/>
      <c r="Z331" s="520"/>
      <c r="AA331" s="520"/>
      <c r="AB331" s="520"/>
      <c r="AC331" s="520"/>
      <c r="AD331" s="520"/>
      <c r="AE331" s="520"/>
      <c r="AF331" s="520"/>
      <c r="AG331" s="520"/>
      <c r="AH331" s="520"/>
      <c r="AI331" s="520"/>
      <c r="AJ331" s="520"/>
      <c r="AK331" s="62"/>
      <c r="AL331" s="62"/>
      <c r="AM331" s="62"/>
      <c r="AN331" s="62"/>
    </row>
    <row r="332" spans="1:40" x14ac:dyDescent="0.3">
      <c r="A332" s="62"/>
      <c r="B332" s="62"/>
      <c r="C332" s="62"/>
      <c r="D332" s="62"/>
      <c r="E332" s="62"/>
      <c r="F332" s="520"/>
      <c r="G332" s="520"/>
      <c r="H332" s="520"/>
      <c r="I332" s="520"/>
      <c r="J332" s="520"/>
      <c r="K332" s="520"/>
      <c r="L332" s="520"/>
      <c r="M332" s="520"/>
      <c r="N332" s="520"/>
      <c r="O332" s="520"/>
      <c r="P332" s="520"/>
      <c r="Q332" s="520"/>
      <c r="R332" s="520"/>
      <c r="S332" s="520"/>
      <c r="T332" s="520"/>
      <c r="U332" s="520"/>
      <c r="V332" s="520"/>
      <c r="W332" s="520"/>
      <c r="X332" s="520"/>
      <c r="Y332" s="520"/>
      <c r="Z332" s="520"/>
      <c r="AA332" s="520"/>
      <c r="AB332" s="520"/>
      <c r="AC332" s="520"/>
      <c r="AD332" s="520"/>
      <c r="AE332" s="520"/>
      <c r="AF332" s="520"/>
      <c r="AG332" s="520"/>
      <c r="AH332" s="520"/>
      <c r="AI332" s="520"/>
      <c r="AJ332" s="520"/>
      <c r="AK332" s="62"/>
      <c r="AL332" s="62"/>
      <c r="AM332" s="62"/>
      <c r="AN332" s="62"/>
    </row>
    <row r="333" spans="1:40" x14ac:dyDescent="0.3">
      <c r="A333" s="62"/>
      <c r="B333" s="62"/>
      <c r="C333" s="62"/>
      <c r="D333" s="62"/>
      <c r="E333" s="62"/>
      <c r="F333" s="520"/>
      <c r="G333" s="520"/>
      <c r="H333" s="520"/>
      <c r="I333" s="520"/>
      <c r="J333" s="520"/>
      <c r="K333" s="520"/>
      <c r="L333" s="520"/>
      <c r="M333" s="520"/>
      <c r="N333" s="520"/>
      <c r="O333" s="520"/>
      <c r="P333" s="520"/>
      <c r="Q333" s="520"/>
      <c r="R333" s="520"/>
      <c r="S333" s="520"/>
      <c r="T333" s="520"/>
      <c r="U333" s="520"/>
      <c r="V333" s="520"/>
      <c r="W333" s="520"/>
      <c r="X333" s="520"/>
      <c r="Y333" s="520"/>
      <c r="Z333" s="520"/>
      <c r="AA333" s="520"/>
      <c r="AB333" s="520"/>
      <c r="AC333" s="520"/>
      <c r="AD333" s="520"/>
      <c r="AE333" s="520"/>
      <c r="AF333" s="520"/>
      <c r="AG333" s="520"/>
      <c r="AH333" s="520"/>
      <c r="AI333" s="520"/>
      <c r="AJ333" s="520"/>
      <c r="AK333" s="62"/>
      <c r="AL333" s="62"/>
      <c r="AM333" s="62"/>
      <c r="AN333" s="62"/>
    </row>
    <row r="334" spans="1:40" x14ac:dyDescent="0.3">
      <c r="A334" s="62"/>
      <c r="B334" s="62"/>
      <c r="C334" s="62"/>
      <c r="D334" s="62"/>
      <c r="E334" s="62"/>
      <c r="F334" s="520"/>
      <c r="G334" s="520"/>
      <c r="H334" s="520"/>
      <c r="I334" s="520"/>
      <c r="J334" s="520"/>
      <c r="K334" s="520"/>
      <c r="L334" s="520"/>
      <c r="M334" s="520"/>
      <c r="N334" s="520"/>
      <c r="O334" s="520"/>
      <c r="P334" s="520"/>
      <c r="Q334" s="520"/>
      <c r="R334" s="520"/>
      <c r="S334" s="520"/>
      <c r="T334" s="520"/>
      <c r="U334" s="520"/>
      <c r="V334" s="520"/>
      <c r="W334" s="520"/>
      <c r="X334" s="520"/>
      <c r="Y334" s="520"/>
      <c r="Z334" s="520"/>
      <c r="AA334" s="520"/>
      <c r="AB334" s="520"/>
      <c r="AC334" s="520"/>
      <c r="AD334" s="520"/>
      <c r="AE334" s="520"/>
      <c r="AF334" s="520"/>
      <c r="AG334" s="520"/>
      <c r="AH334" s="520"/>
      <c r="AI334" s="520"/>
      <c r="AJ334" s="520"/>
      <c r="AK334" s="62"/>
      <c r="AL334" s="62"/>
      <c r="AM334" s="62"/>
      <c r="AN334" s="62"/>
    </row>
    <row r="335" spans="1:40" x14ac:dyDescent="0.3">
      <c r="A335" s="62"/>
      <c r="B335" s="62"/>
      <c r="C335" s="62"/>
      <c r="D335" s="62"/>
      <c r="E335" s="62"/>
      <c r="F335" s="520"/>
      <c r="G335" s="520"/>
      <c r="H335" s="520"/>
      <c r="I335" s="520"/>
      <c r="J335" s="520"/>
      <c r="K335" s="520"/>
      <c r="L335" s="520"/>
      <c r="M335" s="520"/>
      <c r="N335" s="520"/>
      <c r="O335" s="520"/>
      <c r="P335" s="520"/>
      <c r="Q335" s="520"/>
      <c r="R335" s="520"/>
      <c r="S335" s="520"/>
      <c r="T335" s="520"/>
      <c r="U335" s="520"/>
      <c r="V335" s="520"/>
      <c r="W335" s="520"/>
      <c r="X335" s="520"/>
      <c r="Y335" s="520"/>
      <c r="Z335" s="520"/>
      <c r="AA335" s="520"/>
      <c r="AB335" s="520"/>
      <c r="AC335" s="520"/>
      <c r="AD335" s="520"/>
      <c r="AE335" s="520"/>
      <c r="AF335" s="520"/>
      <c r="AG335" s="520"/>
      <c r="AH335" s="520"/>
      <c r="AI335" s="520"/>
      <c r="AJ335" s="520"/>
      <c r="AK335" s="62"/>
      <c r="AL335" s="62"/>
      <c r="AM335" s="62"/>
      <c r="AN335" s="62"/>
    </row>
    <row r="336" spans="1:40" x14ac:dyDescent="0.3">
      <c r="A336" s="62"/>
      <c r="B336" s="62"/>
      <c r="C336" s="62"/>
      <c r="D336" s="62"/>
      <c r="E336" s="62"/>
      <c r="F336" s="520"/>
      <c r="G336" s="520"/>
      <c r="H336" s="520"/>
      <c r="I336" s="520"/>
      <c r="J336" s="520"/>
      <c r="K336" s="520"/>
      <c r="L336" s="520"/>
      <c r="M336" s="520"/>
      <c r="N336" s="520"/>
      <c r="O336" s="520"/>
      <c r="P336" s="520"/>
      <c r="Q336" s="520"/>
      <c r="R336" s="520"/>
      <c r="S336" s="520"/>
      <c r="T336" s="520"/>
      <c r="U336" s="520"/>
      <c r="V336" s="520"/>
      <c r="W336" s="520"/>
      <c r="X336" s="520"/>
      <c r="Y336" s="520"/>
      <c r="Z336" s="520"/>
      <c r="AA336" s="520"/>
      <c r="AB336" s="520"/>
      <c r="AC336" s="520"/>
      <c r="AD336" s="520"/>
      <c r="AE336" s="520"/>
      <c r="AF336" s="520"/>
      <c r="AG336" s="520"/>
      <c r="AH336" s="520"/>
      <c r="AI336" s="520"/>
      <c r="AJ336" s="520"/>
      <c r="AK336" s="62"/>
      <c r="AL336" s="62"/>
      <c r="AM336" s="62"/>
      <c r="AN336" s="62"/>
    </row>
    <row r="337" spans="1:40" x14ac:dyDescent="0.3">
      <c r="A337" s="62"/>
      <c r="B337" s="62"/>
      <c r="C337" s="62"/>
      <c r="D337" s="62"/>
      <c r="E337" s="62"/>
      <c r="F337" s="520"/>
      <c r="G337" s="520"/>
      <c r="H337" s="520"/>
      <c r="I337" s="520"/>
      <c r="J337" s="520"/>
      <c r="K337" s="520"/>
      <c r="L337" s="520"/>
      <c r="M337" s="520"/>
      <c r="N337" s="520"/>
      <c r="O337" s="520"/>
      <c r="P337" s="520"/>
      <c r="Q337" s="520"/>
      <c r="R337" s="520"/>
      <c r="S337" s="520"/>
      <c r="T337" s="520"/>
      <c r="U337" s="520"/>
      <c r="V337" s="520"/>
      <c r="W337" s="520"/>
      <c r="X337" s="520"/>
      <c r="Y337" s="520"/>
      <c r="Z337" s="520"/>
      <c r="AA337" s="520"/>
      <c r="AB337" s="520"/>
      <c r="AC337" s="520"/>
      <c r="AD337" s="520"/>
      <c r="AE337" s="520"/>
      <c r="AF337" s="520"/>
      <c r="AG337" s="520"/>
      <c r="AH337" s="520"/>
      <c r="AI337" s="520"/>
      <c r="AJ337" s="520"/>
      <c r="AK337" s="62"/>
      <c r="AL337" s="62"/>
      <c r="AM337" s="62"/>
      <c r="AN337" s="62"/>
    </row>
    <row r="338" spans="1:40" x14ac:dyDescent="0.3">
      <c r="A338" s="62"/>
      <c r="B338" s="62"/>
      <c r="C338" s="62"/>
      <c r="D338" s="62"/>
      <c r="E338" s="62"/>
      <c r="F338" s="520"/>
      <c r="G338" s="520"/>
      <c r="H338" s="520"/>
      <c r="I338" s="520"/>
      <c r="J338" s="520"/>
      <c r="K338" s="520"/>
      <c r="L338" s="520"/>
      <c r="M338" s="520"/>
      <c r="N338" s="520"/>
      <c r="O338" s="520"/>
      <c r="P338" s="520"/>
      <c r="Q338" s="520"/>
      <c r="R338" s="520"/>
      <c r="S338" s="520"/>
      <c r="T338" s="520"/>
      <c r="U338" s="520"/>
      <c r="V338" s="520"/>
      <c r="W338" s="520"/>
      <c r="X338" s="520"/>
      <c r="Y338" s="520"/>
      <c r="Z338" s="520"/>
      <c r="AA338" s="520"/>
      <c r="AB338" s="520"/>
      <c r="AC338" s="520"/>
      <c r="AD338" s="520"/>
      <c r="AE338" s="520"/>
      <c r="AF338" s="520"/>
      <c r="AG338" s="520"/>
      <c r="AH338" s="520"/>
      <c r="AI338" s="520"/>
      <c r="AJ338" s="520"/>
      <c r="AK338" s="62"/>
      <c r="AL338" s="62"/>
      <c r="AM338" s="62"/>
      <c r="AN338" s="62"/>
    </row>
    <row r="339" spans="1:40" x14ac:dyDescent="0.3">
      <c r="A339" s="62"/>
      <c r="B339" s="62"/>
      <c r="C339" s="62"/>
      <c r="D339" s="62"/>
      <c r="E339" s="62"/>
      <c r="F339" s="520"/>
      <c r="G339" s="520"/>
      <c r="H339" s="520"/>
      <c r="I339" s="520"/>
      <c r="J339" s="520"/>
      <c r="K339" s="520"/>
      <c r="L339" s="520"/>
      <c r="M339" s="520"/>
      <c r="N339" s="520"/>
      <c r="O339" s="520"/>
      <c r="P339" s="520"/>
      <c r="Q339" s="520"/>
      <c r="R339" s="520"/>
      <c r="S339" s="520"/>
      <c r="T339" s="520"/>
      <c r="U339" s="520"/>
      <c r="V339" s="520"/>
      <c r="W339" s="520"/>
      <c r="X339" s="520"/>
      <c r="Y339" s="520"/>
      <c r="Z339" s="520"/>
      <c r="AA339" s="520"/>
      <c r="AB339" s="520"/>
      <c r="AC339" s="520"/>
      <c r="AD339" s="520"/>
      <c r="AE339" s="520"/>
      <c r="AF339" s="520"/>
      <c r="AG339" s="520"/>
      <c r="AH339" s="520"/>
      <c r="AI339" s="520"/>
      <c r="AJ339" s="520"/>
      <c r="AK339" s="62"/>
      <c r="AL339" s="62"/>
      <c r="AM339" s="62"/>
      <c r="AN339" s="62"/>
    </row>
    <row r="340" spans="1:40" x14ac:dyDescent="0.3">
      <c r="A340" s="62"/>
      <c r="B340" s="62"/>
      <c r="C340" s="62"/>
      <c r="D340" s="62"/>
      <c r="E340" s="62"/>
      <c r="F340" s="520"/>
      <c r="G340" s="520"/>
      <c r="H340" s="520"/>
      <c r="I340" s="520"/>
      <c r="J340" s="520"/>
      <c r="K340" s="520"/>
      <c r="L340" s="520"/>
      <c r="M340" s="520"/>
      <c r="N340" s="520"/>
      <c r="O340" s="520"/>
      <c r="P340" s="520"/>
      <c r="Q340" s="520"/>
      <c r="R340" s="520"/>
      <c r="S340" s="520"/>
      <c r="T340" s="520"/>
      <c r="U340" s="520"/>
      <c r="V340" s="520"/>
      <c r="W340" s="520"/>
      <c r="X340" s="520"/>
      <c r="Y340" s="520"/>
      <c r="Z340" s="520"/>
      <c r="AA340" s="520"/>
      <c r="AB340" s="520"/>
      <c r="AC340" s="520"/>
      <c r="AD340" s="520"/>
      <c r="AE340" s="520"/>
      <c r="AF340" s="520"/>
      <c r="AG340" s="520"/>
      <c r="AH340" s="520"/>
      <c r="AI340" s="520"/>
      <c r="AJ340" s="520"/>
      <c r="AK340" s="62"/>
      <c r="AL340" s="62"/>
      <c r="AM340" s="62"/>
      <c r="AN340" s="62"/>
    </row>
    <row r="341" spans="1:40" x14ac:dyDescent="0.3">
      <c r="A341" s="62"/>
      <c r="B341" s="62"/>
      <c r="C341" s="62"/>
      <c r="D341" s="62"/>
      <c r="E341" s="62"/>
      <c r="F341" s="520"/>
      <c r="G341" s="520"/>
      <c r="H341" s="520"/>
      <c r="I341" s="520"/>
      <c r="J341" s="520"/>
      <c r="K341" s="520"/>
      <c r="L341" s="520"/>
      <c r="M341" s="520"/>
      <c r="N341" s="520"/>
      <c r="O341" s="520"/>
      <c r="P341" s="520"/>
      <c r="Q341" s="520"/>
      <c r="R341" s="520"/>
      <c r="S341" s="520"/>
      <c r="T341" s="520"/>
      <c r="U341" s="520"/>
      <c r="V341" s="520"/>
      <c r="W341" s="520"/>
      <c r="X341" s="520"/>
      <c r="Y341" s="520"/>
      <c r="Z341" s="520"/>
      <c r="AA341" s="520"/>
      <c r="AB341" s="520"/>
      <c r="AC341" s="520"/>
      <c r="AD341" s="520"/>
      <c r="AE341" s="520"/>
      <c r="AF341" s="520"/>
      <c r="AG341" s="520"/>
      <c r="AH341" s="520"/>
      <c r="AI341" s="520"/>
      <c r="AJ341" s="520"/>
      <c r="AK341" s="62"/>
      <c r="AL341" s="62"/>
      <c r="AM341" s="62"/>
      <c r="AN341" s="62"/>
    </row>
    <row r="342" spans="1:40" x14ac:dyDescent="0.3">
      <c r="A342" s="62"/>
      <c r="B342" s="62"/>
      <c r="C342" s="62"/>
      <c r="D342" s="62"/>
      <c r="E342" s="62"/>
      <c r="F342" s="520"/>
      <c r="G342" s="520"/>
      <c r="H342" s="520"/>
      <c r="I342" s="520"/>
      <c r="J342" s="520"/>
      <c r="K342" s="520"/>
      <c r="L342" s="520"/>
      <c r="M342" s="520"/>
      <c r="N342" s="520"/>
      <c r="O342" s="520"/>
      <c r="P342" s="520"/>
      <c r="Q342" s="520"/>
      <c r="R342" s="520"/>
      <c r="S342" s="520"/>
      <c r="T342" s="520"/>
      <c r="U342" s="520"/>
      <c r="V342" s="520"/>
      <c r="W342" s="520"/>
      <c r="X342" s="520"/>
      <c r="Y342" s="520"/>
      <c r="Z342" s="520"/>
      <c r="AA342" s="520"/>
      <c r="AB342" s="520"/>
      <c r="AC342" s="520"/>
      <c r="AD342" s="520"/>
      <c r="AE342" s="520"/>
      <c r="AF342" s="520"/>
      <c r="AG342" s="520"/>
      <c r="AH342" s="520"/>
      <c r="AI342" s="520"/>
      <c r="AJ342" s="520"/>
      <c r="AK342" s="62"/>
      <c r="AL342" s="62"/>
      <c r="AM342" s="62"/>
      <c r="AN342" s="62"/>
    </row>
    <row r="343" spans="1:40" x14ac:dyDescent="0.3">
      <c r="A343" s="62"/>
      <c r="B343" s="62"/>
      <c r="C343" s="62"/>
      <c r="D343" s="62"/>
      <c r="E343" s="62"/>
      <c r="F343" s="520"/>
      <c r="G343" s="520"/>
      <c r="H343" s="520"/>
      <c r="I343" s="520"/>
      <c r="J343" s="520"/>
      <c r="K343" s="520"/>
      <c r="L343" s="520"/>
      <c r="M343" s="520"/>
      <c r="N343" s="520"/>
      <c r="O343" s="520"/>
      <c r="P343" s="520"/>
      <c r="Q343" s="520"/>
      <c r="R343" s="520"/>
      <c r="S343" s="520"/>
      <c r="T343" s="520"/>
      <c r="U343" s="520"/>
      <c r="V343" s="520"/>
      <c r="W343" s="520"/>
      <c r="X343" s="520"/>
      <c r="Y343" s="520"/>
      <c r="Z343" s="520"/>
      <c r="AA343" s="520"/>
      <c r="AB343" s="520"/>
      <c r="AC343" s="520"/>
      <c r="AD343" s="520"/>
      <c r="AE343" s="520"/>
      <c r="AF343" s="520"/>
      <c r="AG343" s="520"/>
      <c r="AH343" s="520"/>
      <c r="AI343" s="520"/>
      <c r="AJ343" s="520"/>
      <c r="AK343" s="62"/>
      <c r="AL343" s="62"/>
      <c r="AM343" s="62"/>
      <c r="AN343" s="62"/>
    </row>
    <row r="344" spans="1:40" x14ac:dyDescent="0.3">
      <c r="A344" s="62"/>
      <c r="B344" s="62"/>
      <c r="C344" s="62"/>
      <c r="D344" s="62"/>
      <c r="E344" s="62"/>
      <c r="F344" s="520"/>
      <c r="G344" s="520"/>
      <c r="H344" s="520"/>
      <c r="I344" s="520"/>
      <c r="J344" s="520"/>
      <c r="K344" s="520"/>
      <c r="L344" s="520"/>
      <c r="M344" s="520"/>
      <c r="N344" s="520"/>
      <c r="O344" s="520"/>
      <c r="P344" s="520"/>
      <c r="Q344" s="520"/>
      <c r="R344" s="520"/>
      <c r="S344" s="520"/>
      <c r="T344" s="520"/>
      <c r="U344" s="520"/>
      <c r="V344" s="520"/>
      <c r="W344" s="520"/>
      <c r="X344" s="520"/>
      <c r="Y344" s="520"/>
      <c r="Z344" s="520"/>
      <c r="AA344" s="520"/>
      <c r="AB344" s="520"/>
      <c r="AC344" s="520"/>
      <c r="AD344" s="520"/>
      <c r="AE344" s="520"/>
      <c r="AF344" s="520"/>
      <c r="AG344" s="520"/>
      <c r="AH344" s="520"/>
      <c r="AI344" s="520"/>
      <c r="AJ344" s="520"/>
      <c r="AK344" s="62"/>
      <c r="AL344" s="62"/>
      <c r="AM344" s="62"/>
      <c r="AN344" s="62"/>
    </row>
    <row r="345" spans="1:40" x14ac:dyDescent="0.3">
      <c r="A345" s="62"/>
      <c r="B345" s="62"/>
      <c r="C345" s="62"/>
      <c r="D345" s="62"/>
      <c r="E345" s="62"/>
      <c r="F345" s="520"/>
      <c r="G345" s="520"/>
      <c r="H345" s="520"/>
      <c r="I345" s="520"/>
      <c r="J345" s="520"/>
      <c r="K345" s="520"/>
      <c r="L345" s="520"/>
      <c r="M345" s="520"/>
      <c r="N345" s="520"/>
      <c r="O345" s="520"/>
      <c r="P345" s="520"/>
      <c r="Q345" s="520"/>
      <c r="R345" s="520"/>
      <c r="S345" s="520"/>
      <c r="T345" s="520"/>
      <c r="U345" s="520"/>
      <c r="V345" s="520"/>
      <c r="W345" s="520"/>
      <c r="X345" s="520"/>
      <c r="Y345" s="520"/>
      <c r="Z345" s="520"/>
      <c r="AA345" s="520"/>
      <c r="AB345" s="520"/>
      <c r="AC345" s="520"/>
      <c r="AD345" s="520"/>
      <c r="AE345" s="520"/>
      <c r="AF345" s="520"/>
      <c r="AG345" s="520"/>
      <c r="AH345" s="520"/>
      <c r="AI345" s="520"/>
      <c r="AJ345" s="520"/>
      <c r="AK345" s="62"/>
      <c r="AL345" s="62"/>
      <c r="AM345" s="62"/>
      <c r="AN345" s="62"/>
    </row>
    <row r="346" spans="1:40" x14ac:dyDescent="0.3">
      <c r="A346" s="62"/>
      <c r="B346" s="62"/>
      <c r="C346" s="62"/>
      <c r="D346" s="62"/>
      <c r="E346" s="62"/>
      <c r="F346" s="520"/>
      <c r="G346" s="520"/>
      <c r="H346" s="520"/>
      <c r="I346" s="520"/>
      <c r="J346" s="520"/>
      <c r="K346" s="520"/>
      <c r="L346" s="520"/>
      <c r="M346" s="520"/>
      <c r="N346" s="520"/>
      <c r="O346" s="520"/>
      <c r="P346" s="520"/>
      <c r="Q346" s="520"/>
      <c r="R346" s="520"/>
      <c r="S346" s="520"/>
      <c r="T346" s="520"/>
      <c r="U346" s="520"/>
      <c r="V346" s="520"/>
      <c r="W346" s="520"/>
      <c r="X346" s="520"/>
      <c r="Y346" s="520"/>
      <c r="Z346" s="520"/>
      <c r="AA346" s="520"/>
      <c r="AB346" s="520"/>
      <c r="AC346" s="520"/>
      <c r="AD346" s="520"/>
      <c r="AE346" s="520"/>
      <c r="AF346" s="520"/>
      <c r="AG346" s="520"/>
      <c r="AH346" s="520"/>
      <c r="AI346" s="520"/>
      <c r="AJ346" s="520"/>
      <c r="AK346" s="62"/>
      <c r="AL346" s="62"/>
      <c r="AM346" s="62"/>
      <c r="AN346" s="62"/>
    </row>
    <row r="347" spans="1:40" x14ac:dyDescent="0.3">
      <c r="A347" s="62"/>
      <c r="B347" s="62"/>
      <c r="C347" s="62"/>
      <c r="D347" s="62"/>
      <c r="E347" s="62"/>
      <c r="F347" s="520"/>
      <c r="G347" s="520"/>
      <c r="H347" s="520"/>
      <c r="I347" s="520"/>
      <c r="J347" s="520"/>
      <c r="K347" s="520"/>
      <c r="L347" s="520"/>
      <c r="M347" s="520"/>
      <c r="N347" s="520"/>
      <c r="O347" s="520"/>
      <c r="P347" s="520"/>
      <c r="Q347" s="520"/>
      <c r="R347" s="520"/>
      <c r="S347" s="520"/>
      <c r="T347" s="520"/>
      <c r="U347" s="520"/>
      <c r="V347" s="520"/>
      <c r="W347" s="520"/>
      <c r="X347" s="520"/>
      <c r="Y347" s="520"/>
      <c r="Z347" s="520"/>
      <c r="AA347" s="520"/>
      <c r="AB347" s="520"/>
      <c r="AC347" s="520"/>
      <c r="AD347" s="520"/>
      <c r="AE347" s="520"/>
      <c r="AF347" s="520"/>
      <c r="AG347" s="520"/>
      <c r="AH347" s="520"/>
      <c r="AI347" s="520"/>
      <c r="AJ347" s="520"/>
      <c r="AK347" s="62"/>
      <c r="AL347" s="62"/>
      <c r="AM347" s="62"/>
      <c r="AN347" s="62"/>
    </row>
    <row r="348" spans="1:40" x14ac:dyDescent="0.3">
      <c r="A348" s="62"/>
      <c r="B348" s="62"/>
      <c r="C348" s="62"/>
      <c r="D348" s="62"/>
      <c r="E348" s="62"/>
      <c r="F348" s="520"/>
      <c r="G348" s="520"/>
      <c r="H348" s="520"/>
      <c r="I348" s="520"/>
      <c r="J348" s="520"/>
      <c r="K348" s="520"/>
      <c r="L348" s="520"/>
      <c r="M348" s="520"/>
      <c r="N348" s="520"/>
      <c r="O348" s="520"/>
      <c r="P348" s="520"/>
      <c r="Q348" s="520"/>
      <c r="R348" s="520"/>
      <c r="S348" s="520"/>
      <c r="T348" s="520"/>
      <c r="U348" s="520"/>
      <c r="V348" s="520"/>
      <c r="W348" s="520"/>
      <c r="X348" s="520"/>
      <c r="Y348" s="520"/>
      <c r="Z348" s="520"/>
      <c r="AA348" s="520"/>
      <c r="AB348" s="520"/>
      <c r="AC348" s="520"/>
      <c r="AD348" s="520"/>
      <c r="AE348" s="520"/>
      <c r="AF348" s="520"/>
      <c r="AG348" s="520"/>
      <c r="AH348" s="520"/>
      <c r="AI348" s="520"/>
      <c r="AJ348" s="520"/>
      <c r="AK348" s="62"/>
      <c r="AL348" s="62"/>
      <c r="AM348" s="62"/>
      <c r="AN348" s="62"/>
    </row>
    <row r="349" spans="1:40" x14ac:dyDescent="0.3">
      <c r="A349" s="62"/>
      <c r="B349" s="62"/>
      <c r="C349" s="62"/>
      <c r="D349" s="62"/>
      <c r="E349" s="62"/>
      <c r="F349" s="520"/>
      <c r="G349" s="520"/>
      <c r="H349" s="520"/>
      <c r="I349" s="520"/>
      <c r="J349" s="520"/>
      <c r="K349" s="520"/>
      <c r="L349" s="520"/>
      <c r="M349" s="520"/>
      <c r="N349" s="520"/>
      <c r="O349" s="520"/>
      <c r="P349" s="520"/>
      <c r="Q349" s="520"/>
      <c r="R349" s="520"/>
      <c r="S349" s="520"/>
      <c r="T349" s="520"/>
      <c r="U349" s="520"/>
      <c r="V349" s="520"/>
      <c r="W349" s="520"/>
      <c r="X349" s="520"/>
      <c r="Y349" s="520"/>
      <c r="Z349" s="520"/>
      <c r="AA349" s="520"/>
      <c r="AB349" s="520"/>
      <c r="AC349" s="520"/>
      <c r="AD349" s="520"/>
      <c r="AE349" s="520"/>
      <c r="AF349" s="520"/>
      <c r="AG349" s="520"/>
      <c r="AH349" s="520"/>
      <c r="AI349" s="520"/>
      <c r="AJ349" s="520"/>
      <c r="AK349" s="62"/>
      <c r="AL349" s="62"/>
      <c r="AM349" s="62"/>
      <c r="AN349" s="62"/>
    </row>
    <row r="350" spans="1:40" x14ac:dyDescent="0.3">
      <c r="A350" s="62"/>
      <c r="B350" s="62"/>
      <c r="C350" s="62"/>
      <c r="D350" s="62"/>
      <c r="E350" s="62"/>
      <c r="F350" s="520"/>
      <c r="G350" s="520"/>
      <c r="H350" s="520"/>
      <c r="I350" s="520"/>
      <c r="J350" s="520"/>
      <c r="K350" s="520"/>
      <c r="L350" s="520"/>
      <c r="M350" s="520"/>
      <c r="N350" s="520"/>
      <c r="O350" s="520"/>
      <c r="P350" s="520"/>
      <c r="Q350" s="520"/>
      <c r="R350" s="520"/>
      <c r="S350" s="520"/>
      <c r="T350" s="520"/>
      <c r="U350" s="520"/>
      <c r="V350" s="520"/>
      <c r="W350" s="520"/>
      <c r="X350" s="520"/>
      <c r="Y350" s="520"/>
      <c r="Z350" s="520"/>
      <c r="AA350" s="520"/>
      <c r="AB350" s="520"/>
      <c r="AC350" s="520"/>
      <c r="AD350" s="520"/>
      <c r="AE350" s="520"/>
      <c r="AF350" s="520"/>
      <c r="AG350" s="520"/>
      <c r="AH350" s="520"/>
      <c r="AI350" s="520"/>
      <c r="AJ350" s="520"/>
      <c r="AK350" s="62"/>
      <c r="AL350" s="62"/>
      <c r="AM350" s="62"/>
      <c r="AN350" s="62"/>
    </row>
    <row r="351" spans="1:40" x14ac:dyDescent="0.3">
      <c r="A351" s="62"/>
      <c r="B351" s="62"/>
      <c r="C351" s="62"/>
      <c r="D351" s="62"/>
      <c r="E351" s="62"/>
      <c r="F351" s="520"/>
      <c r="G351" s="520"/>
      <c r="H351" s="520"/>
      <c r="I351" s="520"/>
      <c r="J351" s="520"/>
      <c r="K351" s="520"/>
      <c r="L351" s="520"/>
      <c r="M351" s="520"/>
      <c r="N351" s="520"/>
      <c r="O351" s="520"/>
      <c r="P351" s="520"/>
      <c r="Q351" s="520"/>
      <c r="R351" s="520"/>
      <c r="S351" s="520"/>
      <c r="T351" s="520"/>
      <c r="U351" s="520"/>
      <c r="V351" s="520"/>
      <c r="W351" s="520"/>
      <c r="X351" s="520"/>
      <c r="Y351" s="520"/>
      <c r="Z351" s="520"/>
      <c r="AA351" s="520"/>
      <c r="AB351" s="520"/>
      <c r="AC351" s="520"/>
      <c r="AD351" s="520"/>
      <c r="AE351" s="520"/>
      <c r="AF351" s="520"/>
      <c r="AG351" s="520"/>
      <c r="AH351" s="520"/>
      <c r="AI351" s="520"/>
      <c r="AJ351" s="520"/>
      <c r="AK351" s="62"/>
      <c r="AL351" s="62"/>
      <c r="AM351" s="62"/>
      <c r="AN351" s="62"/>
    </row>
    <row r="352" spans="1:40" x14ac:dyDescent="0.3">
      <c r="A352" s="62"/>
      <c r="B352" s="62"/>
      <c r="C352" s="62"/>
      <c r="D352" s="62"/>
      <c r="E352" s="62"/>
      <c r="F352" s="520"/>
      <c r="G352" s="520"/>
      <c r="H352" s="520"/>
      <c r="I352" s="520"/>
      <c r="J352" s="520"/>
      <c r="K352" s="520"/>
      <c r="L352" s="520"/>
      <c r="M352" s="520"/>
      <c r="N352" s="520"/>
      <c r="O352" s="520"/>
      <c r="P352" s="520"/>
      <c r="Q352" s="520"/>
      <c r="R352" s="520"/>
      <c r="S352" s="520"/>
      <c r="T352" s="520"/>
      <c r="U352" s="520"/>
      <c r="V352" s="520"/>
      <c r="W352" s="520"/>
      <c r="X352" s="520"/>
      <c r="Y352" s="520"/>
      <c r="Z352" s="520"/>
      <c r="AA352" s="520"/>
      <c r="AB352" s="520"/>
      <c r="AC352" s="520"/>
      <c r="AD352" s="520"/>
      <c r="AE352" s="520"/>
      <c r="AF352" s="520"/>
      <c r="AG352" s="520"/>
      <c r="AH352" s="520"/>
      <c r="AI352" s="520"/>
      <c r="AJ352" s="520"/>
      <c r="AK352" s="62"/>
      <c r="AL352" s="62"/>
      <c r="AM352" s="62"/>
      <c r="AN352" s="62"/>
    </row>
    <row r="353" spans="1:40" x14ac:dyDescent="0.3">
      <c r="A353" s="62"/>
      <c r="B353" s="62"/>
      <c r="C353" s="62"/>
      <c r="D353" s="62"/>
      <c r="E353" s="62"/>
      <c r="F353" s="520"/>
      <c r="G353" s="520"/>
      <c r="H353" s="520"/>
      <c r="I353" s="520"/>
      <c r="J353" s="520"/>
      <c r="K353" s="520"/>
      <c r="L353" s="520"/>
      <c r="M353" s="520"/>
      <c r="N353" s="520"/>
      <c r="O353" s="520"/>
      <c r="P353" s="520"/>
      <c r="Q353" s="520"/>
      <c r="R353" s="520"/>
      <c r="S353" s="520"/>
      <c r="T353" s="520"/>
      <c r="U353" s="520"/>
      <c r="V353" s="520"/>
      <c r="W353" s="520"/>
      <c r="X353" s="520"/>
      <c r="Y353" s="520"/>
      <c r="Z353" s="520"/>
      <c r="AA353" s="520"/>
      <c r="AB353" s="520"/>
      <c r="AC353" s="520"/>
      <c r="AD353" s="520"/>
      <c r="AE353" s="520"/>
      <c r="AF353" s="520"/>
      <c r="AG353" s="520"/>
      <c r="AH353" s="520"/>
      <c r="AI353" s="520"/>
      <c r="AJ353" s="520"/>
      <c r="AK353" s="62"/>
      <c r="AL353" s="62"/>
      <c r="AM353" s="62"/>
      <c r="AN353" s="62"/>
    </row>
    <row r="354" spans="1:40" x14ac:dyDescent="0.3">
      <c r="A354" s="62"/>
      <c r="B354" s="62"/>
      <c r="C354" s="62"/>
      <c r="D354" s="62"/>
      <c r="E354" s="62"/>
      <c r="F354" s="520"/>
      <c r="G354" s="520"/>
      <c r="H354" s="520"/>
      <c r="I354" s="520"/>
      <c r="J354" s="520"/>
      <c r="K354" s="520"/>
      <c r="L354" s="520"/>
      <c r="M354" s="520"/>
      <c r="N354" s="520"/>
      <c r="O354" s="520"/>
      <c r="P354" s="520"/>
      <c r="Q354" s="520"/>
      <c r="R354" s="520"/>
      <c r="S354" s="520"/>
      <c r="T354" s="520"/>
      <c r="U354" s="520"/>
      <c r="V354" s="520"/>
      <c r="W354" s="520"/>
      <c r="X354" s="520"/>
      <c r="Y354" s="520"/>
      <c r="Z354" s="520"/>
      <c r="AA354" s="520"/>
      <c r="AB354" s="520"/>
      <c r="AC354" s="520"/>
      <c r="AD354" s="520"/>
      <c r="AE354" s="520"/>
      <c r="AF354" s="520"/>
      <c r="AG354" s="520"/>
      <c r="AH354" s="520"/>
      <c r="AI354" s="520"/>
      <c r="AJ354" s="520"/>
      <c r="AK354" s="62"/>
      <c r="AL354" s="62"/>
      <c r="AM354" s="62"/>
      <c r="AN354" s="62"/>
    </row>
    <row r="355" spans="1:40" x14ac:dyDescent="0.3">
      <c r="A355" s="62"/>
      <c r="B355" s="62"/>
      <c r="C355" s="62"/>
      <c r="D355" s="62"/>
      <c r="E355" s="62"/>
      <c r="F355" s="520"/>
      <c r="G355" s="520"/>
      <c r="H355" s="520"/>
      <c r="I355" s="520"/>
      <c r="J355" s="520"/>
      <c r="K355" s="520"/>
      <c r="L355" s="520"/>
      <c r="M355" s="520"/>
      <c r="N355" s="520"/>
      <c r="O355" s="520"/>
      <c r="P355" s="520"/>
      <c r="Q355" s="520"/>
      <c r="R355" s="520"/>
      <c r="S355" s="520"/>
      <c r="T355" s="520"/>
      <c r="U355" s="520"/>
      <c r="V355" s="520"/>
      <c r="W355" s="520"/>
      <c r="X355" s="520"/>
      <c r="Y355" s="520"/>
      <c r="Z355" s="520"/>
      <c r="AA355" s="520"/>
      <c r="AB355" s="520"/>
      <c r="AC355" s="520"/>
      <c r="AD355" s="520"/>
      <c r="AE355" s="520"/>
      <c r="AF355" s="520"/>
      <c r="AG355" s="520"/>
      <c r="AH355" s="520"/>
      <c r="AI355" s="520"/>
      <c r="AJ355" s="520"/>
      <c r="AK355" s="62"/>
      <c r="AL355" s="62"/>
      <c r="AM355" s="62"/>
      <c r="AN355" s="62"/>
    </row>
    <row r="356" spans="1:40" x14ac:dyDescent="0.3">
      <c r="A356" s="62"/>
      <c r="B356" s="62"/>
      <c r="C356" s="62"/>
      <c r="D356" s="62"/>
      <c r="E356" s="62"/>
      <c r="F356" s="520"/>
      <c r="G356" s="520"/>
      <c r="H356" s="520"/>
      <c r="I356" s="520"/>
      <c r="J356" s="520"/>
      <c r="K356" s="520"/>
      <c r="L356" s="520"/>
      <c r="M356" s="520"/>
      <c r="N356" s="520"/>
      <c r="O356" s="520"/>
      <c r="P356" s="520"/>
      <c r="Q356" s="520"/>
      <c r="R356" s="520"/>
      <c r="S356" s="520"/>
      <c r="T356" s="520"/>
      <c r="U356" s="520"/>
      <c r="V356" s="520"/>
      <c r="W356" s="520"/>
      <c r="X356" s="520"/>
      <c r="Y356" s="520"/>
      <c r="Z356" s="520"/>
      <c r="AA356" s="520"/>
      <c r="AB356" s="520"/>
      <c r="AC356" s="520"/>
      <c r="AD356" s="520"/>
      <c r="AE356" s="520"/>
      <c r="AF356" s="520"/>
      <c r="AG356" s="520"/>
      <c r="AH356" s="520"/>
      <c r="AI356" s="520"/>
      <c r="AJ356" s="520"/>
      <c r="AK356" s="62"/>
      <c r="AL356" s="62"/>
      <c r="AM356" s="62"/>
      <c r="AN356" s="62"/>
    </row>
    <row r="357" spans="1:40" x14ac:dyDescent="0.3">
      <c r="A357" s="62"/>
      <c r="B357" s="62"/>
      <c r="C357" s="62"/>
      <c r="D357" s="62"/>
      <c r="E357" s="62"/>
      <c r="F357" s="520"/>
      <c r="G357" s="520"/>
      <c r="H357" s="520"/>
      <c r="I357" s="520"/>
      <c r="J357" s="520"/>
      <c r="K357" s="520"/>
      <c r="L357" s="520"/>
      <c r="M357" s="520"/>
      <c r="N357" s="520"/>
      <c r="O357" s="520"/>
      <c r="P357" s="520"/>
      <c r="Q357" s="520"/>
      <c r="R357" s="520"/>
      <c r="S357" s="520"/>
      <c r="T357" s="520"/>
      <c r="U357" s="520"/>
      <c r="V357" s="520"/>
      <c r="W357" s="520"/>
      <c r="X357" s="520"/>
      <c r="Y357" s="520"/>
      <c r="Z357" s="520"/>
      <c r="AA357" s="520"/>
      <c r="AB357" s="520"/>
      <c r="AC357" s="520"/>
      <c r="AD357" s="520"/>
      <c r="AE357" s="520"/>
      <c r="AF357" s="520"/>
      <c r="AG357" s="520"/>
      <c r="AH357" s="520"/>
      <c r="AI357" s="520"/>
      <c r="AJ357" s="520"/>
      <c r="AK357" s="62"/>
      <c r="AL357" s="62"/>
      <c r="AM357" s="62"/>
      <c r="AN357" s="62"/>
    </row>
    <row r="358" spans="1:40" x14ac:dyDescent="0.3">
      <c r="A358" s="62"/>
      <c r="B358" s="62"/>
      <c r="C358" s="62"/>
      <c r="D358" s="62"/>
      <c r="E358" s="62"/>
      <c r="F358" s="520"/>
      <c r="G358" s="520"/>
      <c r="H358" s="520"/>
      <c r="I358" s="520"/>
      <c r="J358" s="520"/>
      <c r="K358" s="520"/>
      <c r="L358" s="520"/>
      <c r="M358" s="520"/>
      <c r="N358" s="520"/>
      <c r="O358" s="520"/>
      <c r="P358" s="520"/>
      <c r="Q358" s="520"/>
      <c r="R358" s="520"/>
      <c r="S358" s="520"/>
      <c r="T358" s="520"/>
      <c r="U358" s="520"/>
      <c r="V358" s="520"/>
      <c r="W358" s="520"/>
      <c r="X358" s="520"/>
      <c r="Y358" s="520"/>
      <c r="Z358" s="520"/>
      <c r="AA358" s="520"/>
      <c r="AB358" s="520"/>
      <c r="AC358" s="520"/>
      <c r="AD358" s="520"/>
      <c r="AE358" s="520"/>
      <c r="AF358" s="520"/>
      <c r="AG358" s="520"/>
      <c r="AH358" s="520"/>
      <c r="AI358" s="520"/>
      <c r="AJ358" s="520"/>
      <c r="AK358" s="62"/>
      <c r="AL358" s="62"/>
      <c r="AM358" s="62"/>
      <c r="AN358" s="62"/>
    </row>
    <row r="359" spans="1:40" x14ac:dyDescent="0.3">
      <c r="A359" s="62"/>
      <c r="B359" s="62"/>
      <c r="C359" s="62"/>
      <c r="D359" s="62"/>
      <c r="E359" s="62"/>
      <c r="F359" s="520"/>
      <c r="G359" s="520"/>
      <c r="H359" s="520"/>
      <c r="I359" s="520"/>
      <c r="J359" s="520"/>
      <c r="K359" s="520"/>
      <c r="L359" s="520"/>
      <c r="M359" s="520"/>
      <c r="N359" s="520"/>
      <c r="O359" s="520"/>
      <c r="P359" s="520"/>
      <c r="Q359" s="520"/>
      <c r="R359" s="520"/>
      <c r="S359" s="520"/>
      <c r="T359" s="520"/>
      <c r="U359" s="520"/>
      <c r="V359" s="520"/>
      <c r="W359" s="520"/>
      <c r="X359" s="520"/>
      <c r="Y359" s="520"/>
      <c r="Z359" s="520"/>
      <c r="AA359" s="520"/>
      <c r="AB359" s="520"/>
      <c r="AC359" s="520"/>
      <c r="AD359" s="520"/>
      <c r="AE359" s="520"/>
      <c r="AF359" s="520"/>
      <c r="AG359" s="520"/>
      <c r="AH359" s="520"/>
      <c r="AI359" s="520"/>
      <c r="AJ359" s="520"/>
      <c r="AK359" s="62"/>
      <c r="AL359" s="62"/>
      <c r="AM359" s="62"/>
      <c r="AN359" s="62"/>
    </row>
    <row r="360" spans="1:40" x14ac:dyDescent="0.3">
      <c r="A360" s="62"/>
      <c r="B360" s="62"/>
      <c r="C360" s="62"/>
      <c r="D360" s="62"/>
      <c r="E360" s="62"/>
      <c r="F360" s="520"/>
      <c r="G360" s="520"/>
      <c r="H360" s="520"/>
      <c r="I360" s="520"/>
      <c r="J360" s="520"/>
      <c r="K360" s="520"/>
      <c r="L360" s="520"/>
      <c r="M360" s="520"/>
      <c r="N360" s="520"/>
      <c r="O360" s="520"/>
      <c r="P360" s="520"/>
      <c r="Q360" s="520"/>
      <c r="R360" s="520"/>
      <c r="S360" s="520"/>
      <c r="T360" s="520"/>
      <c r="U360" s="520"/>
      <c r="V360" s="520"/>
      <c r="W360" s="520"/>
      <c r="X360" s="520"/>
      <c r="Y360" s="520"/>
      <c r="Z360" s="520"/>
      <c r="AA360" s="520"/>
      <c r="AB360" s="520"/>
      <c r="AC360" s="520"/>
      <c r="AD360" s="520"/>
      <c r="AE360" s="520"/>
      <c r="AF360" s="520"/>
      <c r="AG360" s="520"/>
      <c r="AH360" s="520"/>
      <c r="AI360" s="520"/>
      <c r="AJ360" s="520"/>
      <c r="AK360" s="62"/>
      <c r="AL360" s="62"/>
      <c r="AM360" s="62"/>
      <c r="AN360" s="62"/>
    </row>
    <row r="361" spans="1:40" x14ac:dyDescent="0.3">
      <c r="A361" s="62"/>
      <c r="B361" s="62"/>
      <c r="C361" s="62"/>
      <c r="D361" s="62"/>
      <c r="E361" s="62"/>
      <c r="F361" s="520"/>
      <c r="G361" s="520"/>
      <c r="H361" s="520"/>
      <c r="I361" s="520"/>
      <c r="J361" s="520"/>
      <c r="K361" s="520"/>
      <c r="L361" s="520"/>
      <c r="M361" s="520"/>
      <c r="N361" s="520"/>
      <c r="O361" s="520"/>
      <c r="P361" s="520"/>
      <c r="Q361" s="520"/>
      <c r="R361" s="520"/>
      <c r="S361" s="520"/>
      <c r="T361" s="520"/>
      <c r="U361" s="520"/>
      <c r="V361" s="520"/>
      <c r="W361" s="520"/>
      <c r="X361" s="520"/>
      <c r="Y361" s="520"/>
      <c r="Z361" s="520"/>
      <c r="AA361" s="520"/>
      <c r="AB361" s="520"/>
      <c r="AC361" s="520"/>
      <c r="AD361" s="520"/>
      <c r="AE361" s="520"/>
      <c r="AF361" s="520"/>
      <c r="AG361" s="520"/>
      <c r="AH361" s="520"/>
      <c r="AI361" s="520"/>
      <c r="AJ361" s="520"/>
      <c r="AK361" s="62"/>
      <c r="AL361" s="62"/>
      <c r="AM361" s="62"/>
      <c r="AN361" s="62"/>
    </row>
    <row r="362" spans="1:40" x14ac:dyDescent="0.3"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</row>
    <row r="363" spans="1:40" x14ac:dyDescent="0.3"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</row>
    <row r="364" spans="1:40" x14ac:dyDescent="0.3"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</row>
    <row r="365" spans="1:40" x14ac:dyDescent="0.3"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</row>
    <row r="366" spans="1:40" x14ac:dyDescent="0.3"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</row>
    <row r="367" spans="1:40" x14ac:dyDescent="0.3"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</row>
    <row r="368" spans="1:40" x14ac:dyDescent="0.3"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</row>
    <row r="369" spans="6:36" x14ac:dyDescent="0.3"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</row>
    <row r="370" spans="6:36" x14ac:dyDescent="0.3"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</row>
    <row r="371" spans="6:36" x14ac:dyDescent="0.3"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</row>
    <row r="372" spans="6:36" x14ac:dyDescent="0.3"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</row>
    <row r="373" spans="6:36" x14ac:dyDescent="0.3"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</row>
    <row r="374" spans="6:36" x14ac:dyDescent="0.3"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</row>
    <row r="375" spans="6:36" x14ac:dyDescent="0.3"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</row>
    <row r="376" spans="6:36" x14ac:dyDescent="0.3"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</row>
    <row r="377" spans="6:36" x14ac:dyDescent="0.3"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</row>
    <row r="378" spans="6:36" x14ac:dyDescent="0.3"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</row>
    <row r="379" spans="6:36" x14ac:dyDescent="0.3"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</row>
    <row r="380" spans="6:36" x14ac:dyDescent="0.3"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</row>
    <row r="381" spans="6:36" x14ac:dyDescent="0.3"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</row>
    <row r="382" spans="6:36" x14ac:dyDescent="0.3"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</row>
    <row r="383" spans="6:36" x14ac:dyDescent="0.3"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</row>
    <row r="384" spans="6:36" x14ac:dyDescent="0.3"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</row>
    <row r="385" spans="6:36" x14ac:dyDescent="0.3"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</row>
    <row r="386" spans="6:36" x14ac:dyDescent="0.3"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</row>
    <row r="387" spans="6:36" x14ac:dyDescent="0.3"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</row>
    <row r="388" spans="6:36" x14ac:dyDescent="0.3"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</row>
    <row r="389" spans="6:36" x14ac:dyDescent="0.3"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</row>
    <row r="390" spans="6:36" x14ac:dyDescent="0.3"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</row>
    <row r="391" spans="6:36" x14ac:dyDescent="0.3"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</row>
    <row r="392" spans="6:36" x14ac:dyDescent="0.3"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</row>
    <row r="393" spans="6:36" x14ac:dyDescent="0.3"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</row>
    <row r="394" spans="6:36" x14ac:dyDescent="0.3"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</row>
    <row r="395" spans="6:36" x14ac:dyDescent="0.3"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</row>
    <row r="396" spans="6:36" x14ac:dyDescent="0.3"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</row>
    <row r="397" spans="6:36" x14ac:dyDescent="0.3"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</row>
    <row r="398" spans="6:36" x14ac:dyDescent="0.3"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</row>
    <row r="399" spans="6:36" x14ac:dyDescent="0.3"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</row>
    <row r="400" spans="6:36" x14ac:dyDescent="0.3"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</row>
    <row r="401" spans="6:36" x14ac:dyDescent="0.3"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</row>
    <row r="402" spans="6:36" x14ac:dyDescent="0.3"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</row>
    <row r="403" spans="6:36" x14ac:dyDescent="0.3"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</row>
    <row r="404" spans="6:36" x14ac:dyDescent="0.3"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</row>
    <row r="405" spans="6:36" x14ac:dyDescent="0.3"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</row>
    <row r="406" spans="6:36" x14ac:dyDescent="0.3"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</row>
    <row r="407" spans="6:36" x14ac:dyDescent="0.3"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</row>
    <row r="408" spans="6:36" x14ac:dyDescent="0.3"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</row>
    <row r="409" spans="6:36" x14ac:dyDescent="0.3"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</row>
    <row r="410" spans="6:36" x14ac:dyDescent="0.3"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</row>
    <row r="411" spans="6:36" x14ac:dyDescent="0.3"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</row>
    <row r="412" spans="6:36" x14ac:dyDescent="0.3"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</row>
    <row r="413" spans="6:36" x14ac:dyDescent="0.3"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</row>
    <row r="414" spans="6:36" x14ac:dyDescent="0.3"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</row>
    <row r="415" spans="6:36" x14ac:dyDescent="0.3"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</row>
    <row r="416" spans="6:36" x14ac:dyDescent="0.3"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</row>
    <row r="417" spans="6:36" x14ac:dyDescent="0.3"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</row>
    <row r="418" spans="6:36" x14ac:dyDescent="0.3"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</row>
    <row r="419" spans="6:36" x14ac:dyDescent="0.3"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</row>
    <row r="420" spans="6:36" x14ac:dyDescent="0.3"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</row>
    <row r="421" spans="6:36" x14ac:dyDescent="0.3"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</row>
    <row r="422" spans="6:36" x14ac:dyDescent="0.3"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</row>
    <row r="423" spans="6:36" x14ac:dyDescent="0.3"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</row>
    <row r="424" spans="6:36" x14ac:dyDescent="0.3"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</row>
    <row r="425" spans="6:36" x14ac:dyDescent="0.3"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</row>
    <row r="426" spans="6:36" x14ac:dyDescent="0.3"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</row>
    <row r="427" spans="6:36" x14ac:dyDescent="0.3"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</row>
    <row r="428" spans="6:36" x14ac:dyDescent="0.3"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</row>
    <row r="429" spans="6:36" x14ac:dyDescent="0.3"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</row>
    <row r="430" spans="6:36" x14ac:dyDescent="0.3"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</row>
    <row r="431" spans="6:36" x14ac:dyDescent="0.3"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</row>
    <row r="432" spans="6:36" x14ac:dyDescent="0.3"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</row>
    <row r="433" spans="6:36" x14ac:dyDescent="0.3"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</row>
    <row r="434" spans="6:36" x14ac:dyDescent="0.3"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</row>
    <row r="435" spans="6:36" x14ac:dyDescent="0.3"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</row>
    <row r="436" spans="6:36" x14ac:dyDescent="0.3"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</row>
    <row r="437" spans="6:36" x14ac:dyDescent="0.3"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</row>
    <row r="438" spans="6:36" x14ac:dyDescent="0.3"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</row>
    <row r="439" spans="6:36" x14ac:dyDescent="0.3"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</row>
    <row r="440" spans="6:36" x14ac:dyDescent="0.3"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</row>
    <row r="441" spans="6:36" x14ac:dyDescent="0.3"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</row>
    <row r="442" spans="6:36" x14ac:dyDescent="0.3"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</row>
    <row r="443" spans="6:36" x14ac:dyDescent="0.3"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</row>
    <row r="444" spans="6:36" x14ac:dyDescent="0.3"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</row>
    <row r="445" spans="6:36" x14ac:dyDescent="0.3"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</row>
    <row r="446" spans="6:36" x14ac:dyDescent="0.3"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</row>
    <row r="447" spans="6:36" x14ac:dyDescent="0.3"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</row>
    <row r="448" spans="6:36" x14ac:dyDescent="0.3"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</row>
    <row r="449" spans="6:36" x14ac:dyDescent="0.3"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</row>
    <row r="450" spans="6:36" x14ac:dyDescent="0.3"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</row>
    <row r="451" spans="6:36" x14ac:dyDescent="0.3"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</row>
    <row r="452" spans="6:36" x14ac:dyDescent="0.3"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</row>
    <row r="453" spans="6:36" x14ac:dyDescent="0.3"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</row>
    <row r="454" spans="6:36" x14ac:dyDescent="0.3"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</row>
    <row r="455" spans="6:36" x14ac:dyDescent="0.3"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</row>
    <row r="456" spans="6:36" x14ac:dyDescent="0.3"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</row>
    <row r="457" spans="6:36" x14ac:dyDescent="0.3"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</row>
    <row r="458" spans="6:36" x14ac:dyDescent="0.3"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</row>
    <row r="459" spans="6:36" x14ac:dyDescent="0.3"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</row>
    <row r="460" spans="6:36" x14ac:dyDescent="0.3"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</row>
    <row r="461" spans="6:36" x14ac:dyDescent="0.3"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</row>
    <row r="462" spans="6:36" x14ac:dyDescent="0.3"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</row>
    <row r="463" spans="6:36" x14ac:dyDescent="0.3"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</row>
    <row r="464" spans="6:36" x14ac:dyDescent="0.3"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</row>
    <row r="465" spans="6:36" x14ac:dyDescent="0.3"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</row>
    <row r="466" spans="6:36" x14ac:dyDescent="0.3"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</row>
    <row r="467" spans="6:36" x14ac:dyDescent="0.3"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</row>
    <row r="468" spans="6:36" x14ac:dyDescent="0.3"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</row>
    <row r="469" spans="6:36" x14ac:dyDescent="0.3"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</row>
    <row r="470" spans="6:36" x14ac:dyDescent="0.3"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</row>
    <row r="471" spans="6:36" x14ac:dyDescent="0.3"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</row>
    <row r="472" spans="6:36" x14ac:dyDescent="0.3"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</row>
    <row r="473" spans="6:36" x14ac:dyDescent="0.3"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</row>
    <row r="474" spans="6:36" x14ac:dyDescent="0.3"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</row>
    <row r="475" spans="6:36" x14ac:dyDescent="0.3"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</row>
    <row r="476" spans="6:36" x14ac:dyDescent="0.3"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</row>
    <row r="477" spans="6:36" x14ac:dyDescent="0.3"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</row>
    <row r="478" spans="6:36" x14ac:dyDescent="0.3"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</row>
    <row r="479" spans="6:36" x14ac:dyDescent="0.3"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</row>
    <row r="480" spans="6:36" x14ac:dyDescent="0.3"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</row>
    <row r="481" spans="6:36" x14ac:dyDescent="0.3"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</row>
    <row r="482" spans="6:36" x14ac:dyDescent="0.3"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</row>
    <row r="483" spans="6:36" x14ac:dyDescent="0.3"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</row>
    <row r="484" spans="6:36" x14ac:dyDescent="0.3"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</row>
    <row r="485" spans="6:36" x14ac:dyDescent="0.3"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</row>
    <row r="486" spans="6:36" x14ac:dyDescent="0.3"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</row>
    <row r="487" spans="6:36" x14ac:dyDescent="0.3"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</row>
    <row r="488" spans="6:36" x14ac:dyDescent="0.3"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</row>
    <row r="489" spans="6:36" x14ac:dyDescent="0.3"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</row>
    <row r="490" spans="6:36" x14ac:dyDescent="0.3"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</row>
    <row r="491" spans="6:36" x14ac:dyDescent="0.3"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</row>
    <row r="492" spans="6:36" x14ac:dyDescent="0.3"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</row>
    <row r="493" spans="6:36" x14ac:dyDescent="0.3"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</row>
    <row r="494" spans="6:36" x14ac:dyDescent="0.3"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</row>
    <row r="495" spans="6:36" x14ac:dyDescent="0.3"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</row>
    <row r="496" spans="6:36" x14ac:dyDescent="0.3"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</row>
    <row r="497" spans="6:36" x14ac:dyDescent="0.3"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</row>
    <row r="498" spans="6:36" x14ac:dyDescent="0.3"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</row>
    <row r="499" spans="6:36" x14ac:dyDescent="0.3"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</row>
    <row r="500" spans="6:36" x14ac:dyDescent="0.3"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</row>
    <row r="501" spans="6:36" x14ac:dyDescent="0.3"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</row>
    <row r="502" spans="6:36" x14ac:dyDescent="0.3"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F502" s="41"/>
      <c r="AG502" s="41"/>
      <c r="AH502" s="41"/>
      <c r="AI502" s="41"/>
      <c r="AJ502" s="41"/>
    </row>
    <row r="503" spans="6:36" x14ac:dyDescent="0.3"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F503" s="41"/>
      <c r="AG503" s="41"/>
      <c r="AH503" s="41"/>
      <c r="AI503" s="41"/>
      <c r="AJ503" s="41"/>
    </row>
    <row r="504" spans="6:36" x14ac:dyDescent="0.3"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F504" s="41"/>
      <c r="AG504" s="41"/>
      <c r="AH504" s="41"/>
      <c r="AI504" s="41"/>
      <c r="AJ504" s="41"/>
    </row>
    <row r="505" spans="6:36" x14ac:dyDescent="0.3"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F505" s="41"/>
      <c r="AG505" s="41"/>
      <c r="AH505" s="41"/>
      <c r="AI505" s="41"/>
      <c r="AJ505" s="41"/>
    </row>
    <row r="506" spans="6:36" x14ac:dyDescent="0.3"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</row>
    <row r="507" spans="6:36" x14ac:dyDescent="0.3"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F507" s="41"/>
      <c r="AG507" s="41"/>
      <c r="AH507" s="41"/>
      <c r="AI507" s="41"/>
      <c r="AJ507" s="41"/>
    </row>
    <row r="508" spans="6:36" x14ac:dyDescent="0.3"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F508" s="41"/>
      <c r="AG508" s="41"/>
      <c r="AH508" s="41"/>
      <c r="AI508" s="41"/>
      <c r="AJ508" s="41"/>
    </row>
    <row r="509" spans="6:36" x14ac:dyDescent="0.3"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F509" s="41"/>
      <c r="AG509" s="41"/>
      <c r="AH509" s="41"/>
      <c r="AI509" s="41"/>
      <c r="AJ509" s="41"/>
    </row>
    <row r="510" spans="6:36" x14ac:dyDescent="0.3"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F510" s="41"/>
      <c r="AG510" s="41"/>
      <c r="AH510" s="41"/>
      <c r="AI510" s="41"/>
      <c r="AJ510" s="41"/>
    </row>
    <row r="511" spans="6:36" x14ac:dyDescent="0.3"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F511" s="41"/>
      <c r="AG511" s="41"/>
      <c r="AH511" s="41"/>
      <c r="AI511" s="41"/>
      <c r="AJ511" s="41"/>
    </row>
    <row r="512" spans="6:36" x14ac:dyDescent="0.3"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F512" s="41"/>
      <c r="AG512" s="41"/>
      <c r="AH512" s="41"/>
      <c r="AI512" s="41"/>
      <c r="AJ512" s="41"/>
    </row>
    <row r="513" spans="6:36" x14ac:dyDescent="0.3"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F513" s="41"/>
      <c r="AG513" s="41"/>
      <c r="AH513" s="41"/>
      <c r="AI513" s="41"/>
      <c r="AJ513" s="41"/>
    </row>
    <row r="514" spans="6:36" x14ac:dyDescent="0.3"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F514" s="41"/>
      <c r="AG514" s="41"/>
      <c r="AH514" s="41"/>
      <c r="AI514" s="41"/>
      <c r="AJ514" s="41"/>
    </row>
    <row r="515" spans="6:36" x14ac:dyDescent="0.3"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F515" s="41"/>
      <c r="AG515" s="41"/>
      <c r="AH515" s="41"/>
      <c r="AI515" s="41"/>
      <c r="AJ515" s="41"/>
    </row>
    <row r="516" spans="6:36" x14ac:dyDescent="0.3"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F516" s="41"/>
      <c r="AG516" s="41"/>
      <c r="AH516" s="41"/>
      <c r="AI516" s="41"/>
      <c r="AJ516" s="41"/>
    </row>
    <row r="517" spans="6:36" x14ac:dyDescent="0.3"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F517" s="41"/>
      <c r="AG517" s="41"/>
      <c r="AH517" s="41"/>
      <c r="AI517" s="41"/>
      <c r="AJ517" s="41"/>
    </row>
    <row r="518" spans="6:36" x14ac:dyDescent="0.3"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</row>
    <row r="519" spans="6:36" x14ac:dyDescent="0.3"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F519" s="41"/>
      <c r="AG519" s="41"/>
      <c r="AH519" s="41"/>
      <c r="AI519" s="41"/>
      <c r="AJ519" s="41"/>
    </row>
    <row r="520" spans="6:36" x14ac:dyDescent="0.3"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F520" s="41"/>
      <c r="AG520" s="41"/>
      <c r="AH520" s="41"/>
      <c r="AI520" s="41"/>
      <c r="AJ520" s="41"/>
    </row>
    <row r="521" spans="6:36" x14ac:dyDescent="0.3"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F521" s="41"/>
      <c r="AG521" s="41"/>
      <c r="AH521" s="41"/>
      <c r="AI521" s="41"/>
      <c r="AJ521" s="41"/>
    </row>
    <row r="522" spans="6:36" x14ac:dyDescent="0.3"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F522" s="41"/>
      <c r="AG522" s="41"/>
      <c r="AH522" s="41"/>
      <c r="AI522" s="41"/>
      <c r="AJ522" s="41"/>
    </row>
    <row r="523" spans="6:36" x14ac:dyDescent="0.3"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F523" s="41"/>
      <c r="AG523" s="41"/>
      <c r="AH523" s="41"/>
      <c r="AI523" s="41"/>
      <c r="AJ523" s="41"/>
    </row>
    <row r="524" spans="6:36" x14ac:dyDescent="0.3"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F524" s="41"/>
      <c r="AG524" s="41"/>
      <c r="AH524" s="41"/>
      <c r="AI524" s="41"/>
      <c r="AJ524" s="41"/>
    </row>
    <row r="525" spans="6:36" x14ac:dyDescent="0.3"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F525" s="41"/>
      <c r="AG525" s="41"/>
      <c r="AH525" s="41"/>
      <c r="AI525" s="41"/>
      <c r="AJ525" s="41"/>
    </row>
    <row r="526" spans="6:36" x14ac:dyDescent="0.3"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F526" s="41"/>
      <c r="AG526" s="41"/>
      <c r="AH526" s="41"/>
      <c r="AI526" s="41"/>
      <c r="AJ526" s="41"/>
    </row>
    <row r="527" spans="6:36" x14ac:dyDescent="0.3"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F527" s="41"/>
      <c r="AG527" s="41"/>
      <c r="AH527" s="41"/>
      <c r="AI527" s="41"/>
      <c r="AJ527" s="41"/>
    </row>
    <row r="528" spans="6:36" x14ac:dyDescent="0.3"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F528" s="41"/>
      <c r="AG528" s="41"/>
      <c r="AH528" s="41"/>
      <c r="AI528" s="41"/>
      <c r="AJ528" s="41"/>
    </row>
    <row r="529" spans="6:36" x14ac:dyDescent="0.3"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F529" s="41"/>
      <c r="AG529" s="41"/>
      <c r="AH529" s="41"/>
      <c r="AI529" s="41"/>
      <c r="AJ529" s="41"/>
    </row>
    <row r="530" spans="6:36" x14ac:dyDescent="0.3"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</row>
    <row r="531" spans="6:36" x14ac:dyDescent="0.3"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F531" s="41"/>
      <c r="AG531" s="41"/>
      <c r="AH531" s="41"/>
      <c r="AI531" s="41"/>
      <c r="AJ531" s="41"/>
    </row>
    <row r="532" spans="6:36" x14ac:dyDescent="0.3"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F532" s="41"/>
      <c r="AG532" s="41"/>
      <c r="AH532" s="41"/>
      <c r="AI532" s="41"/>
      <c r="AJ532" s="41"/>
    </row>
    <row r="533" spans="6:36" x14ac:dyDescent="0.3"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F533" s="41"/>
      <c r="AG533" s="41"/>
      <c r="AH533" s="41"/>
      <c r="AI533" s="41"/>
      <c r="AJ533" s="41"/>
    </row>
    <row r="534" spans="6:36" x14ac:dyDescent="0.3"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F534" s="41"/>
      <c r="AG534" s="41"/>
      <c r="AH534" s="41"/>
      <c r="AI534" s="41"/>
      <c r="AJ534" s="41"/>
    </row>
    <row r="535" spans="6:36" x14ac:dyDescent="0.3"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F535" s="41"/>
      <c r="AG535" s="41"/>
      <c r="AH535" s="41"/>
      <c r="AI535" s="41"/>
      <c r="AJ535" s="41"/>
    </row>
    <row r="536" spans="6:36" x14ac:dyDescent="0.3"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F536" s="41"/>
      <c r="AG536" s="41"/>
      <c r="AH536" s="41"/>
      <c r="AI536" s="41"/>
      <c r="AJ536" s="41"/>
    </row>
    <row r="537" spans="6:36" x14ac:dyDescent="0.3"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F537" s="41"/>
      <c r="AG537" s="41"/>
      <c r="AH537" s="41"/>
      <c r="AI537" s="41"/>
      <c r="AJ537" s="41"/>
    </row>
    <row r="538" spans="6:36" x14ac:dyDescent="0.3"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F538" s="41"/>
      <c r="AG538" s="41"/>
      <c r="AH538" s="41"/>
      <c r="AI538" s="41"/>
      <c r="AJ538" s="41"/>
    </row>
    <row r="539" spans="6:36" x14ac:dyDescent="0.3"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F539" s="41"/>
      <c r="AG539" s="41"/>
      <c r="AH539" s="41"/>
      <c r="AI539" s="41"/>
      <c r="AJ539" s="41"/>
    </row>
    <row r="540" spans="6:36" x14ac:dyDescent="0.3"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F540" s="41"/>
      <c r="AG540" s="41"/>
      <c r="AH540" s="41"/>
      <c r="AI540" s="41"/>
      <c r="AJ540" s="41"/>
    </row>
    <row r="541" spans="6:36" x14ac:dyDescent="0.3"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F541" s="41"/>
      <c r="AG541" s="41"/>
      <c r="AH541" s="41"/>
      <c r="AI541" s="41"/>
      <c r="AJ541" s="41"/>
    </row>
    <row r="542" spans="6:36" x14ac:dyDescent="0.3"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</row>
    <row r="543" spans="6:36" x14ac:dyDescent="0.3"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F543" s="41"/>
      <c r="AG543" s="41"/>
      <c r="AH543" s="41"/>
      <c r="AI543" s="41"/>
      <c r="AJ543" s="41"/>
    </row>
    <row r="544" spans="6:36" x14ac:dyDescent="0.3"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F544" s="41"/>
      <c r="AG544" s="41"/>
      <c r="AH544" s="41"/>
      <c r="AI544" s="41"/>
      <c r="AJ544" s="41"/>
    </row>
    <row r="545" spans="6:36" x14ac:dyDescent="0.3"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F545" s="41"/>
      <c r="AG545" s="41"/>
      <c r="AH545" s="41"/>
      <c r="AI545" s="41"/>
      <c r="AJ545" s="41"/>
    </row>
    <row r="546" spans="6:36" x14ac:dyDescent="0.3"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F546" s="41"/>
      <c r="AG546" s="41"/>
      <c r="AH546" s="41"/>
      <c r="AI546" s="41"/>
      <c r="AJ546" s="41"/>
    </row>
    <row r="547" spans="6:36" x14ac:dyDescent="0.3"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F547" s="41"/>
      <c r="AG547" s="41"/>
      <c r="AH547" s="41"/>
      <c r="AI547" s="41"/>
      <c r="AJ547" s="41"/>
    </row>
    <row r="548" spans="6:36" x14ac:dyDescent="0.3"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F548" s="41"/>
      <c r="AG548" s="41"/>
      <c r="AH548" s="41"/>
      <c r="AI548" s="41"/>
      <c r="AJ548" s="41"/>
    </row>
    <row r="549" spans="6:36" x14ac:dyDescent="0.3"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F549" s="41"/>
      <c r="AG549" s="41"/>
      <c r="AH549" s="41"/>
      <c r="AI549" s="41"/>
      <c r="AJ549" s="41"/>
    </row>
    <row r="550" spans="6:36" x14ac:dyDescent="0.3"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F550" s="41"/>
      <c r="AG550" s="41"/>
      <c r="AH550" s="41"/>
      <c r="AI550" s="41"/>
      <c r="AJ550" s="41"/>
    </row>
    <row r="551" spans="6:36" x14ac:dyDescent="0.3"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F551" s="41"/>
      <c r="AG551" s="41"/>
      <c r="AH551" s="41"/>
      <c r="AI551" s="41"/>
      <c r="AJ551" s="41"/>
    </row>
    <row r="552" spans="6:36" x14ac:dyDescent="0.3"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F552" s="41"/>
      <c r="AG552" s="41"/>
      <c r="AH552" s="41"/>
      <c r="AI552" s="41"/>
      <c r="AJ552" s="41"/>
    </row>
    <row r="553" spans="6:36" x14ac:dyDescent="0.3"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F553" s="41"/>
      <c r="AG553" s="41"/>
      <c r="AH553" s="41"/>
      <c r="AI553" s="41"/>
      <c r="AJ553" s="41"/>
    </row>
    <row r="554" spans="6:36" x14ac:dyDescent="0.3"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</row>
    <row r="555" spans="6:36" x14ac:dyDescent="0.3"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F555" s="41"/>
      <c r="AG555" s="41"/>
      <c r="AH555" s="41"/>
      <c r="AI555" s="41"/>
      <c r="AJ555" s="41"/>
    </row>
    <row r="556" spans="6:36" x14ac:dyDescent="0.3"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F556" s="41"/>
      <c r="AG556" s="41"/>
      <c r="AH556" s="41"/>
      <c r="AI556" s="41"/>
      <c r="AJ556" s="41"/>
    </row>
    <row r="557" spans="6:36" x14ac:dyDescent="0.3"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F557" s="41"/>
      <c r="AG557" s="41"/>
      <c r="AH557" s="41"/>
      <c r="AI557" s="41"/>
      <c r="AJ557" s="41"/>
    </row>
    <row r="558" spans="6:36" x14ac:dyDescent="0.3"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F558" s="41"/>
      <c r="AG558" s="41"/>
      <c r="AH558" s="41"/>
      <c r="AI558" s="41"/>
      <c r="AJ558" s="41"/>
    </row>
    <row r="559" spans="6:36" x14ac:dyDescent="0.3"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F559" s="41"/>
      <c r="AG559" s="41"/>
      <c r="AH559" s="41"/>
      <c r="AI559" s="41"/>
      <c r="AJ559" s="41"/>
    </row>
    <row r="560" spans="6:36" x14ac:dyDescent="0.3"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F560" s="41"/>
      <c r="AG560" s="41"/>
      <c r="AH560" s="41"/>
      <c r="AI560" s="41"/>
      <c r="AJ560" s="41"/>
    </row>
    <row r="561" spans="6:36" x14ac:dyDescent="0.3"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F561" s="41"/>
      <c r="AG561" s="41"/>
      <c r="AH561" s="41"/>
      <c r="AI561" s="41"/>
      <c r="AJ561" s="41"/>
    </row>
    <row r="562" spans="6:36" x14ac:dyDescent="0.3"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F562" s="41"/>
      <c r="AG562" s="41"/>
      <c r="AH562" s="41"/>
      <c r="AI562" s="41"/>
      <c r="AJ562" s="41"/>
    </row>
    <row r="563" spans="6:36" x14ac:dyDescent="0.3"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</row>
    <row r="564" spans="6:36" x14ac:dyDescent="0.3"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F564" s="41"/>
      <c r="AG564" s="41"/>
      <c r="AH564" s="41"/>
      <c r="AI564" s="41"/>
      <c r="AJ564" s="41"/>
    </row>
    <row r="565" spans="6:36" x14ac:dyDescent="0.3"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F565" s="41"/>
      <c r="AG565" s="41"/>
      <c r="AH565" s="41"/>
      <c r="AI565" s="41"/>
      <c r="AJ565" s="41"/>
    </row>
    <row r="566" spans="6:36" x14ac:dyDescent="0.3"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</row>
    <row r="567" spans="6:36" x14ac:dyDescent="0.3"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F567" s="41"/>
      <c r="AG567" s="41"/>
      <c r="AH567" s="41"/>
      <c r="AI567" s="41"/>
      <c r="AJ567" s="41"/>
    </row>
    <row r="568" spans="6:36" x14ac:dyDescent="0.3"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F568" s="41"/>
      <c r="AG568" s="41"/>
      <c r="AH568" s="41"/>
      <c r="AI568" s="41"/>
      <c r="AJ568" s="41"/>
    </row>
    <row r="569" spans="6:36" x14ac:dyDescent="0.3"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F569" s="41"/>
      <c r="AG569" s="41"/>
      <c r="AH569" s="41"/>
      <c r="AI569" s="41"/>
      <c r="AJ569" s="41"/>
    </row>
    <row r="570" spans="6:36" x14ac:dyDescent="0.3"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F570" s="41"/>
      <c r="AG570" s="41"/>
      <c r="AH570" s="41"/>
      <c r="AI570" s="41"/>
      <c r="AJ570" s="41"/>
    </row>
    <row r="571" spans="6:36" x14ac:dyDescent="0.3"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F571" s="41"/>
      <c r="AG571" s="41"/>
      <c r="AH571" s="41"/>
      <c r="AI571" s="41"/>
      <c r="AJ571" s="41"/>
    </row>
    <row r="572" spans="6:36" x14ac:dyDescent="0.3"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F572" s="41"/>
      <c r="AG572" s="41"/>
      <c r="AH572" s="41"/>
      <c r="AI572" s="41"/>
      <c r="AJ572" s="41"/>
    </row>
    <row r="573" spans="6:36" x14ac:dyDescent="0.3"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F573" s="41"/>
      <c r="AG573" s="41"/>
      <c r="AH573" s="41"/>
      <c r="AI573" s="41"/>
      <c r="AJ573" s="41"/>
    </row>
    <row r="574" spans="6:36" x14ac:dyDescent="0.3"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F574" s="41"/>
      <c r="AG574" s="41"/>
      <c r="AH574" s="41"/>
      <c r="AI574" s="41"/>
      <c r="AJ574" s="41"/>
    </row>
    <row r="575" spans="6:36" x14ac:dyDescent="0.3"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F575" s="41"/>
      <c r="AG575" s="41"/>
      <c r="AH575" s="41"/>
      <c r="AI575" s="41"/>
      <c r="AJ575" s="41"/>
    </row>
    <row r="576" spans="6:36" x14ac:dyDescent="0.3"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F576" s="41"/>
      <c r="AG576" s="41"/>
      <c r="AH576" s="41"/>
      <c r="AI576" s="41"/>
      <c r="AJ576" s="41"/>
    </row>
    <row r="577" spans="6:36" x14ac:dyDescent="0.3"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F577" s="41"/>
      <c r="AG577" s="41"/>
      <c r="AH577" s="41"/>
      <c r="AI577" s="41"/>
      <c r="AJ577" s="41"/>
    </row>
    <row r="578" spans="6:36" x14ac:dyDescent="0.3"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</row>
    <row r="579" spans="6:36" x14ac:dyDescent="0.3"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F579" s="41"/>
      <c r="AG579" s="41"/>
      <c r="AH579" s="41"/>
      <c r="AI579" s="41"/>
      <c r="AJ579" s="41"/>
    </row>
    <row r="580" spans="6:36" x14ac:dyDescent="0.3"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F580" s="41"/>
      <c r="AG580" s="41"/>
      <c r="AH580" s="41"/>
      <c r="AI580" s="41"/>
      <c r="AJ580" s="41"/>
    </row>
    <row r="581" spans="6:36" x14ac:dyDescent="0.3"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F581" s="41"/>
      <c r="AG581" s="41"/>
      <c r="AH581" s="41"/>
      <c r="AI581" s="41"/>
      <c r="AJ581" s="41"/>
    </row>
    <row r="582" spans="6:36" x14ac:dyDescent="0.3"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F582" s="41"/>
      <c r="AG582" s="41"/>
      <c r="AH582" s="41"/>
      <c r="AI582" s="41"/>
      <c r="AJ582" s="41"/>
    </row>
    <row r="583" spans="6:36" x14ac:dyDescent="0.3"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F583" s="41"/>
      <c r="AG583" s="41"/>
      <c r="AH583" s="41"/>
      <c r="AI583" s="41"/>
      <c r="AJ583" s="41"/>
    </row>
    <row r="584" spans="6:36" x14ac:dyDescent="0.3"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F584" s="41"/>
      <c r="AG584" s="41"/>
      <c r="AH584" s="41"/>
      <c r="AI584" s="41"/>
      <c r="AJ584" s="41"/>
    </row>
    <row r="585" spans="6:36" x14ac:dyDescent="0.3"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F585" s="41"/>
      <c r="AG585" s="41"/>
      <c r="AH585" s="41"/>
      <c r="AI585" s="41"/>
      <c r="AJ585" s="41"/>
    </row>
    <row r="586" spans="6:36" x14ac:dyDescent="0.3"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F586" s="41"/>
      <c r="AG586" s="41"/>
      <c r="AH586" s="41"/>
      <c r="AI586" s="41"/>
      <c r="AJ586" s="41"/>
    </row>
    <row r="587" spans="6:36" x14ac:dyDescent="0.3"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F587" s="41"/>
      <c r="AG587" s="41"/>
      <c r="AH587" s="41"/>
      <c r="AI587" s="41"/>
      <c r="AJ587" s="41"/>
    </row>
    <row r="588" spans="6:36" x14ac:dyDescent="0.3"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F588" s="41"/>
      <c r="AG588" s="41"/>
      <c r="AH588" s="41"/>
      <c r="AI588" s="41"/>
      <c r="AJ588" s="41"/>
    </row>
    <row r="589" spans="6:36" x14ac:dyDescent="0.3"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F589" s="41"/>
      <c r="AG589" s="41"/>
      <c r="AH589" s="41"/>
      <c r="AI589" s="41"/>
      <c r="AJ589" s="41"/>
    </row>
    <row r="590" spans="6:36" x14ac:dyDescent="0.3"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</row>
    <row r="591" spans="6:36" x14ac:dyDescent="0.3"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F591" s="41"/>
      <c r="AG591" s="41"/>
      <c r="AH591" s="41"/>
      <c r="AI591" s="41"/>
      <c r="AJ591" s="41"/>
    </row>
    <row r="592" spans="6:36" x14ac:dyDescent="0.3"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F592" s="41"/>
      <c r="AG592" s="41"/>
      <c r="AH592" s="41"/>
      <c r="AI592" s="41"/>
      <c r="AJ592" s="41"/>
    </row>
    <row r="593" spans="6:36" x14ac:dyDescent="0.3"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F593" s="41"/>
      <c r="AG593" s="41"/>
      <c r="AH593" s="41"/>
      <c r="AI593" s="41"/>
      <c r="AJ593" s="41"/>
    </row>
    <row r="594" spans="6:36" x14ac:dyDescent="0.3"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F594" s="41"/>
      <c r="AG594" s="41"/>
      <c r="AH594" s="41"/>
      <c r="AI594" s="41"/>
      <c r="AJ594" s="41"/>
    </row>
    <row r="595" spans="6:36" x14ac:dyDescent="0.3"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F595" s="41"/>
      <c r="AG595" s="41"/>
      <c r="AH595" s="41"/>
      <c r="AI595" s="41"/>
      <c r="AJ595" s="41"/>
    </row>
    <row r="596" spans="6:36" x14ac:dyDescent="0.3"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F596" s="41"/>
      <c r="AG596" s="41"/>
      <c r="AH596" s="41"/>
      <c r="AI596" s="41"/>
      <c r="AJ596" s="41"/>
    </row>
    <row r="597" spans="6:36" x14ac:dyDescent="0.3"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F597" s="41"/>
      <c r="AG597" s="41"/>
      <c r="AH597" s="41"/>
      <c r="AI597" s="41"/>
      <c r="AJ597" s="41"/>
    </row>
    <row r="598" spans="6:36" x14ac:dyDescent="0.3"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F598" s="41"/>
      <c r="AG598" s="41"/>
      <c r="AH598" s="41"/>
      <c r="AI598" s="41"/>
      <c r="AJ598" s="41"/>
    </row>
    <row r="599" spans="6:36" x14ac:dyDescent="0.3"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F599" s="41"/>
      <c r="AG599" s="41"/>
      <c r="AH599" s="41"/>
      <c r="AI599" s="41"/>
      <c r="AJ599" s="41"/>
    </row>
    <row r="600" spans="6:36" x14ac:dyDescent="0.3"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F600" s="41"/>
      <c r="AG600" s="41"/>
      <c r="AH600" s="41"/>
      <c r="AI600" s="41"/>
      <c r="AJ600" s="41"/>
    </row>
    <row r="601" spans="6:36" x14ac:dyDescent="0.3"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F601" s="41"/>
      <c r="AG601" s="41"/>
      <c r="AH601" s="41"/>
      <c r="AI601" s="41"/>
      <c r="AJ601" s="41"/>
    </row>
    <row r="602" spans="6:36" x14ac:dyDescent="0.3"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</row>
    <row r="603" spans="6:36" x14ac:dyDescent="0.3"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F603" s="41"/>
      <c r="AG603" s="41"/>
      <c r="AH603" s="41"/>
      <c r="AI603" s="41"/>
      <c r="AJ603" s="41"/>
    </row>
    <row r="604" spans="6:36" x14ac:dyDescent="0.3"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F604" s="41"/>
      <c r="AG604" s="41"/>
      <c r="AH604" s="41"/>
      <c r="AI604" s="41"/>
      <c r="AJ604" s="41"/>
    </row>
    <row r="605" spans="6:36" x14ac:dyDescent="0.3"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F605" s="41"/>
      <c r="AG605" s="41"/>
      <c r="AH605" s="41"/>
      <c r="AI605" s="41"/>
      <c r="AJ605" s="41"/>
    </row>
    <row r="606" spans="6:36" x14ac:dyDescent="0.3"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F606" s="41"/>
      <c r="AG606" s="41"/>
      <c r="AH606" s="41"/>
      <c r="AI606" s="41"/>
      <c r="AJ606" s="41"/>
    </row>
    <row r="607" spans="6:36" x14ac:dyDescent="0.3"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F607" s="41"/>
      <c r="AG607" s="41"/>
      <c r="AH607" s="41"/>
      <c r="AI607" s="41"/>
      <c r="AJ607" s="41"/>
    </row>
    <row r="608" spans="6:36" x14ac:dyDescent="0.3"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F608" s="41"/>
      <c r="AG608" s="41"/>
      <c r="AH608" s="41"/>
      <c r="AI608" s="41"/>
      <c r="AJ608" s="41"/>
    </row>
    <row r="609" spans="6:36" x14ac:dyDescent="0.3"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F609" s="41"/>
      <c r="AG609" s="41"/>
      <c r="AH609" s="41"/>
      <c r="AI609" s="41"/>
      <c r="AJ609" s="41"/>
    </row>
    <row r="610" spans="6:36" x14ac:dyDescent="0.3"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F610" s="41"/>
      <c r="AG610" s="41"/>
      <c r="AH610" s="41"/>
      <c r="AI610" s="41"/>
      <c r="AJ610" s="41"/>
    </row>
    <row r="611" spans="6:36" x14ac:dyDescent="0.3"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F611" s="41"/>
      <c r="AG611" s="41"/>
      <c r="AH611" s="41"/>
      <c r="AI611" s="41"/>
      <c r="AJ611" s="41"/>
    </row>
    <row r="612" spans="6:36" x14ac:dyDescent="0.3"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F612" s="41"/>
      <c r="AG612" s="41"/>
      <c r="AH612" s="41"/>
      <c r="AI612" s="41"/>
      <c r="AJ612" s="41"/>
    </row>
    <row r="613" spans="6:36" x14ac:dyDescent="0.3"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F613" s="41"/>
      <c r="AG613" s="41"/>
      <c r="AH613" s="41"/>
      <c r="AI613" s="41"/>
      <c r="AJ613" s="41"/>
    </row>
    <row r="614" spans="6:36" x14ac:dyDescent="0.3"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</row>
    <row r="615" spans="6:36" x14ac:dyDescent="0.3"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F615" s="41"/>
      <c r="AG615" s="41"/>
      <c r="AH615" s="41"/>
      <c r="AI615" s="41"/>
      <c r="AJ615" s="41"/>
    </row>
    <row r="616" spans="6:36" x14ac:dyDescent="0.3"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F616" s="41"/>
      <c r="AG616" s="41"/>
      <c r="AH616" s="41"/>
      <c r="AI616" s="41"/>
      <c r="AJ616" s="41"/>
    </row>
    <row r="617" spans="6:36" x14ac:dyDescent="0.3"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F617" s="41"/>
      <c r="AG617" s="41"/>
      <c r="AH617" s="41"/>
      <c r="AI617" s="41"/>
      <c r="AJ617" s="41"/>
    </row>
    <row r="618" spans="6:36" x14ac:dyDescent="0.3"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F618" s="41"/>
      <c r="AG618" s="41"/>
      <c r="AH618" s="41"/>
      <c r="AI618" s="41"/>
      <c r="AJ618" s="41"/>
    </row>
    <row r="619" spans="6:36" x14ac:dyDescent="0.3"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F619" s="41"/>
      <c r="AG619" s="41"/>
      <c r="AH619" s="41"/>
      <c r="AI619" s="41"/>
      <c r="AJ619" s="41"/>
    </row>
    <row r="620" spans="6:36" x14ac:dyDescent="0.3"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F620" s="41"/>
      <c r="AG620" s="41"/>
      <c r="AH620" s="41"/>
      <c r="AI620" s="41"/>
      <c r="AJ620" s="41"/>
    </row>
    <row r="621" spans="6:36" x14ac:dyDescent="0.3"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F621" s="41"/>
      <c r="AG621" s="41"/>
      <c r="AH621" s="41"/>
      <c r="AI621" s="41"/>
      <c r="AJ621" s="41"/>
    </row>
    <row r="622" spans="6:36" x14ac:dyDescent="0.3"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F622" s="41"/>
      <c r="AG622" s="41"/>
      <c r="AH622" s="41"/>
      <c r="AI622" s="41"/>
      <c r="AJ622" s="41"/>
    </row>
    <row r="623" spans="6:36" x14ac:dyDescent="0.3"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F623" s="41"/>
      <c r="AG623" s="41"/>
      <c r="AH623" s="41"/>
      <c r="AI623" s="41"/>
      <c r="AJ623" s="41"/>
    </row>
    <row r="624" spans="6:36" x14ac:dyDescent="0.3"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F624" s="41"/>
      <c r="AG624" s="41"/>
      <c r="AH624" s="41"/>
      <c r="AI624" s="41"/>
      <c r="AJ624" s="41"/>
    </row>
    <row r="625" spans="6:36" x14ac:dyDescent="0.3"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F625" s="41"/>
      <c r="AG625" s="41"/>
      <c r="AH625" s="41"/>
      <c r="AI625" s="41"/>
      <c r="AJ625" s="41"/>
    </row>
    <row r="626" spans="6:36" x14ac:dyDescent="0.3"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</row>
    <row r="627" spans="6:36" x14ac:dyDescent="0.3"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F627" s="41"/>
      <c r="AG627" s="41"/>
      <c r="AH627" s="41"/>
      <c r="AI627" s="41"/>
      <c r="AJ627" s="41"/>
    </row>
    <row r="628" spans="6:36" x14ac:dyDescent="0.3"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F628" s="41"/>
      <c r="AG628" s="41"/>
      <c r="AH628" s="41"/>
      <c r="AI628" s="41"/>
      <c r="AJ628" s="41"/>
    </row>
    <row r="629" spans="6:36" x14ac:dyDescent="0.3"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F629" s="41"/>
      <c r="AG629" s="41"/>
      <c r="AH629" s="41"/>
      <c r="AI629" s="41"/>
      <c r="AJ629" s="41"/>
    </row>
    <row r="630" spans="6:36" x14ac:dyDescent="0.3"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F630" s="41"/>
      <c r="AG630" s="41"/>
      <c r="AH630" s="41"/>
      <c r="AI630" s="41"/>
      <c r="AJ630" s="41"/>
    </row>
    <row r="631" spans="6:36" x14ac:dyDescent="0.3"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F631" s="41"/>
      <c r="AG631" s="41"/>
      <c r="AH631" s="41"/>
      <c r="AI631" s="41"/>
      <c r="AJ631" s="41"/>
    </row>
    <row r="632" spans="6:36" x14ac:dyDescent="0.3"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F632" s="41"/>
      <c r="AG632" s="41"/>
      <c r="AH632" s="41"/>
      <c r="AI632" s="41"/>
      <c r="AJ632" s="41"/>
    </row>
    <row r="633" spans="6:36" x14ac:dyDescent="0.3"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F633" s="41"/>
      <c r="AG633" s="41"/>
      <c r="AH633" s="41"/>
      <c r="AI633" s="41"/>
      <c r="AJ633" s="41"/>
    </row>
    <row r="634" spans="6:36" x14ac:dyDescent="0.3"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F634" s="41"/>
      <c r="AG634" s="41"/>
      <c r="AH634" s="41"/>
      <c r="AI634" s="41"/>
      <c r="AJ634" s="41"/>
    </row>
    <row r="635" spans="6:36" x14ac:dyDescent="0.3"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F635" s="41"/>
      <c r="AG635" s="41"/>
      <c r="AH635" s="41"/>
      <c r="AI635" s="41"/>
      <c r="AJ635" s="41"/>
    </row>
    <row r="636" spans="6:36" x14ac:dyDescent="0.3"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F636" s="41"/>
      <c r="AG636" s="41"/>
      <c r="AH636" s="41"/>
      <c r="AI636" s="41"/>
      <c r="AJ636" s="41"/>
    </row>
    <row r="637" spans="6:36" x14ac:dyDescent="0.3"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F637" s="41"/>
      <c r="AG637" s="41"/>
      <c r="AH637" s="41"/>
      <c r="AI637" s="41"/>
      <c r="AJ637" s="41"/>
    </row>
    <row r="638" spans="6:36" x14ac:dyDescent="0.3"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</row>
    <row r="639" spans="6:36" x14ac:dyDescent="0.3"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F639" s="41"/>
      <c r="AG639" s="41"/>
      <c r="AH639" s="41"/>
      <c r="AI639" s="41"/>
      <c r="AJ639" s="41"/>
    </row>
    <row r="640" spans="6:36" x14ac:dyDescent="0.3"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F640" s="41"/>
      <c r="AG640" s="41"/>
      <c r="AH640" s="41"/>
      <c r="AI640" s="41"/>
      <c r="AJ640" s="41"/>
    </row>
    <row r="641" spans="6:36" x14ac:dyDescent="0.3"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F641" s="41"/>
      <c r="AG641" s="41"/>
      <c r="AH641" s="41"/>
      <c r="AI641" s="41"/>
      <c r="AJ641" s="41"/>
    </row>
    <row r="642" spans="6:36" x14ac:dyDescent="0.3"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F642" s="41"/>
      <c r="AG642" s="41"/>
      <c r="AH642" s="41"/>
      <c r="AI642" s="41"/>
      <c r="AJ642" s="41"/>
    </row>
    <row r="643" spans="6:36" x14ac:dyDescent="0.3"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F643" s="41"/>
      <c r="AG643" s="41"/>
      <c r="AH643" s="41"/>
      <c r="AI643" s="41"/>
      <c r="AJ643" s="41"/>
    </row>
    <row r="644" spans="6:36" x14ac:dyDescent="0.3"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F644" s="41"/>
      <c r="AG644" s="41"/>
      <c r="AH644" s="41"/>
      <c r="AI644" s="41"/>
      <c r="AJ644" s="41"/>
    </row>
    <row r="645" spans="6:36" x14ac:dyDescent="0.3"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F645" s="41"/>
      <c r="AG645" s="41"/>
      <c r="AH645" s="41"/>
      <c r="AI645" s="41"/>
      <c r="AJ645" s="41"/>
    </row>
    <row r="646" spans="6:36" x14ac:dyDescent="0.3"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F646" s="41"/>
      <c r="AG646" s="41"/>
      <c r="AH646" s="41"/>
      <c r="AI646" s="41"/>
      <c r="AJ646" s="41"/>
    </row>
    <row r="647" spans="6:36" x14ac:dyDescent="0.3"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F647" s="41"/>
      <c r="AG647" s="41"/>
      <c r="AH647" s="41"/>
      <c r="AI647" s="41"/>
      <c r="AJ647" s="41"/>
    </row>
    <row r="648" spans="6:36" x14ac:dyDescent="0.3"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F648" s="41"/>
      <c r="AG648" s="41"/>
      <c r="AH648" s="41"/>
      <c r="AI648" s="41"/>
      <c r="AJ648" s="41"/>
    </row>
    <row r="649" spans="6:36" x14ac:dyDescent="0.3"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F649" s="41"/>
      <c r="AG649" s="41"/>
      <c r="AH649" s="41"/>
      <c r="AI649" s="41"/>
      <c r="AJ649" s="41"/>
    </row>
    <row r="650" spans="6:36" x14ac:dyDescent="0.3"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</row>
    <row r="651" spans="6:36" x14ac:dyDescent="0.3"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F651" s="41"/>
      <c r="AG651" s="41"/>
      <c r="AH651" s="41"/>
      <c r="AI651" s="41"/>
      <c r="AJ651" s="41"/>
    </row>
    <row r="652" spans="6:36" x14ac:dyDescent="0.3"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F652" s="41"/>
      <c r="AG652" s="41"/>
      <c r="AH652" s="41"/>
      <c r="AI652" s="41"/>
      <c r="AJ652" s="41"/>
    </row>
    <row r="653" spans="6:36" x14ac:dyDescent="0.3"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F653" s="41"/>
      <c r="AG653" s="41"/>
      <c r="AH653" s="41"/>
      <c r="AI653" s="41"/>
      <c r="AJ653" s="41"/>
    </row>
    <row r="654" spans="6:36" x14ac:dyDescent="0.3"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F654" s="41"/>
      <c r="AG654" s="41"/>
      <c r="AH654" s="41"/>
      <c r="AI654" s="41"/>
      <c r="AJ654" s="41"/>
    </row>
    <row r="655" spans="6:36" x14ac:dyDescent="0.3"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F655" s="41"/>
      <c r="AG655" s="41"/>
      <c r="AH655" s="41"/>
      <c r="AI655" s="41"/>
      <c r="AJ655" s="41"/>
    </row>
    <row r="656" spans="6:36" x14ac:dyDescent="0.3"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F656" s="41"/>
      <c r="AG656" s="41"/>
      <c r="AH656" s="41"/>
      <c r="AI656" s="41"/>
      <c r="AJ656" s="41"/>
    </row>
    <row r="657" spans="6:36" x14ac:dyDescent="0.3"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F657" s="41"/>
      <c r="AG657" s="41"/>
      <c r="AH657" s="41"/>
      <c r="AI657" s="41"/>
      <c r="AJ657" s="41"/>
    </row>
    <row r="658" spans="6:36" x14ac:dyDescent="0.3"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F658" s="41"/>
      <c r="AG658" s="41"/>
      <c r="AH658" s="41"/>
      <c r="AI658" s="41"/>
      <c r="AJ658" s="41"/>
    </row>
    <row r="659" spans="6:36" x14ac:dyDescent="0.3"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F659" s="41"/>
      <c r="AG659" s="41"/>
      <c r="AH659" s="41"/>
      <c r="AI659" s="41"/>
      <c r="AJ659" s="41"/>
    </row>
    <row r="660" spans="6:36" x14ac:dyDescent="0.3"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F660" s="41"/>
      <c r="AG660" s="41"/>
      <c r="AH660" s="41"/>
      <c r="AI660" s="41"/>
      <c r="AJ660" s="41"/>
    </row>
    <row r="661" spans="6:36" x14ac:dyDescent="0.3"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F661" s="41"/>
      <c r="AG661" s="41"/>
      <c r="AH661" s="41"/>
      <c r="AI661" s="41"/>
      <c r="AJ661" s="41"/>
    </row>
    <row r="662" spans="6:36" x14ac:dyDescent="0.3"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</row>
    <row r="663" spans="6:36" x14ac:dyDescent="0.3"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F663" s="41"/>
      <c r="AG663" s="41"/>
      <c r="AH663" s="41"/>
      <c r="AI663" s="41"/>
      <c r="AJ663" s="41"/>
    </row>
    <row r="664" spans="6:36" x14ac:dyDescent="0.3"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F664" s="41"/>
      <c r="AG664" s="41"/>
      <c r="AH664" s="41"/>
      <c r="AI664" s="41"/>
      <c r="AJ664" s="41"/>
    </row>
    <row r="665" spans="6:36" x14ac:dyDescent="0.3"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F665" s="41"/>
      <c r="AG665" s="41"/>
      <c r="AH665" s="41"/>
      <c r="AI665" s="41"/>
      <c r="AJ665" s="41"/>
    </row>
    <row r="666" spans="6:36" x14ac:dyDescent="0.3"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F666" s="41"/>
      <c r="AG666" s="41"/>
      <c r="AH666" s="41"/>
      <c r="AI666" s="41"/>
      <c r="AJ666" s="41"/>
    </row>
    <row r="667" spans="6:36" x14ac:dyDescent="0.3"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F667" s="41"/>
      <c r="AG667" s="41"/>
      <c r="AH667" s="41"/>
      <c r="AI667" s="41"/>
      <c r="AJ667" s="41"/>
    </row>
    <row r="668" spans="6:36" x14ac:dyDescent="0.3"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F668" s="41"/>
      <c r="AG668" s="41"/>
      <c r="AH668" s="41"/>
      <c r="AI668" s="41"/>
      <c r="AJ668" s="41"/>
    </row>
    <row r="669" spans="6:36" x14ac:dyDescent="0.3"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F669" s="41"/>
      <c r="AG669" s="41"/>
      <c r="AH669" s="41"/>
      <c r="AI669" s="41"/>
      <c r="AJ669" s="41"/>
    </row>
    <row r="670" spans="6:36" x14ac:dyDescent="0.3"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F670" s="41"/>
      <c r="AG670" s="41"/>
      <c r="AH670" s="41"/>
      <c r="AI670" s="41"/>
      <c r="AJ670" s="41"/>
    </row>
    <row r="671" spans="6:36" x14ac:dyDescent="0.3"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F671" s="41"/>
      <c r="AG671" s="41"/>
      <c r="AH671" s="41"/>
      <c r="AI671" s="41"/>
      <c r="AJ671" s="41"/>
    </row>
    <row r="672" spans="6:36" x14ac:dyDescent="0.3"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F672" s="41"/>
      <c r="AG672" s="41"/>
      <c r="AH672" s="41"/>
      <c r="AI672" s="41"/>
      <c r="AJ672" s="41"/>
    </row>
    <row r="673" spans="6:36" x14ac:dyDescent="0.3"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F673" s="41"/>
      <c r="AG673" s="41"/>
      <c r="AH673" s="41"/>
      <c r="AI673" s="41"/>
      <c r="AJ673" s="41"/>
    </row>
    <row r="674" spans="6:36" x14ac:dyDescent="0.3"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</row>
    <row r="675" spans="6:36" x14ac:dyDescent="0.3"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F675" s="41"/>
      <c r="AG675" s="41"/>
      <c r="AH675" s="41"/>
      <c r="AI675" s="41"/>
      <c r="AJ675" s="41"/>
    </row>
    <row r="676" spans="6:36" x14ac:dyDescent="0.3"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F676" s="41"/>
      <c r="AG676" s="41"/>
      <c r="AH676" s="41"/>
      <c r="AI676" s="41"/>
      <c r="AJ676" s="41"/>
    </row>
    <row r="677" spans="6:36" x14ac:dyDescent="0.3"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F677" s="41"/>
      <c r="AG677" s="41"/>
      <c r="AH677" s="41"/>
      <c r="AI677" s="41"/>
      <c r="AJ677" s="41"/>
    </row>
    <row r="678" spans="6:36" x14ac:dyDescent="0.3"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F678" s="41"/>
      <c r="AG678" s="41"/>
      <c r="AH678" s="41"/>
      <c r="AI678" s="41"/>
      <c r="AJ678" s="41"/>
    </row>
    <row r="679" spans="6:36" x14ac:dyDescent="0.3"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F679" s="41"/>
      <c r="AG679" s="41"/>
      <c r="AH679" s="41"/>
      <c r="AI679" s="41"/>
      <c r="AJ679" s="41"/>
    </row>
    <row r="680" spans="6:36" x14ac:dyDescent="0.3"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F680" s="41"/>
      <c r="AG680" s="41"/>
      <c r="AH680" s="41"/>
      <c r="AI680" s="41"/>
      <c r="AJ680" s="41"/>
    </row>
    <row r="681" spans="6:36" x14ac:dyDescent="0.3"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F681" s="41"/>
      <c r="AG681" s="41"/>
      <c r="AH681" s="41"/>
      <c r="AI681" s="41"/>
      <c r="AJ681" s="41"/>
    </row>
    <row r="682" spans="6:36" x14ac:dyDescent="0.3"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F682" s="41"/>
      <c r="AG682" s="41"/>
      <c r="AH682" s="41"/>
      <c r="AI682" s="41"/>
      <c r="AJ682" s="41"/>
    </row>
    <row r="683" spans="6:36" x14ac:dyDescent="0.3"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F683" s="41"/>
      <c r="AG683" s="41"/>
      <c r="AH683" s="41"/>
      <c r="AI683" s="41"/>
      <c r="AJ683" s="41"/>
    </row>
    <row r="684" spans="6:36" x14ac:dyDescent="0.3"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F684" s="41"/>
      <c r="AG684" s="41"/>
      <c r="AH684" s="41"/>
      <c r="AI684" s="41"/>
      <c r="AJ684" s="41"/>
    </row>
    <row r="685" spans="6:36" x14ac:dyDescent="0.3"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F685" s="41"/>
      <c r="AG685" s="41"/>
      <c r="AH685" s="41"/>
      <c r="AI685" s="41"/>
      <c r="AJ685" s="41"/>
    </row>
    <row r="686" spans="6:36" x14ac:dyDescent="0.3"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</row>
    <row r="687" spans="6:36" x14ac:dyDescent="0.3"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F687" s="41"/>
      <c r="AG687" s="41"/>
      <c r="AH687" s="41"/>
      <c r="AI687" s="41"/>
      <c r="AJ687" s="41"/>
    </row>
    <row r="688" spans="6:36" x14ac:dyDescent="0.3"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F688" s="41"/>
      <c r="AG688" s="41"/>
      <c r="AH688" s="41"/>
      <c r="AI688" s="41"/>
      <c r="AJ688" s="41"/>
    </row>
    <row r="689" spans="6:36" x14ac:dyDescent="0.3"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F689" s="41"/>
      <c r="AG689" s="41"/>
      <c r="AH689" s="41"/>
      <c r="AI689" s="41"/>
      <c r="AJ689" s="41"/>
    </row>
    <row r="690" spans="6:36" x14ac:dyDescent="0.3"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F690" s="41"/>
      <c r="AG690" s="41"/>
      <c r="AH690" s="41"/>
      <c r="AI690" s="41"/>
      <c r="AJ690" s="41"/>
    </row>
    <row r="691" spans="6:36" x14ac:dyDescent="0.3"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F691" s="41"/>
      <c r="AG691" s="41"/>
      <c r="AH691" s="41"/>
      <c r="AI691" s="41"/>
      <c r="AJ691" s="41"/>
    </row>
    <row r="692" spans="6:36" x14ac:dyDescent="0.3"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F692" s="41"/>
      <c r="AG692" s="41"/>
      <c r="AH692" s="41"/>
      <c r="AI692" s="41"/>
      <c r="AJ692" s="41"/>
    </row>
    <row r="693" spans="6:36" x14ac:dyDescent="0.3"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F693" s="41"/>
      <c r="AG693" s="41"/>
      <c r="AH693" s="41"/>
      <c r="AI693" s="41"/>
      <c r="AJ693" s="41"/>
    </row>
    <row r="694" spans="6:36" x14ac:dyDescent="0.3"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F694" s="41"/>
      <c r="AG694" s="41"/>
      <c r="AH694" s="41"/>
      <c r="AI694" s="41"/>
      <c r="AJ694" s="41"/>
    </row>
    <row r="695" spans="6:36" x14ac:dyDescent="0.3"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F695" s="41"/>
      <c r="AG695" s="41"/>
      <c r="AH695" s="41"/>
      <c r="AI695" s="41"/>
      <c r="AJ695" s="41"/>
    </row>
    <row r="696" spans="6:36" x14ac:dyDescent="0.3"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F696" s="41"/>
      <c r="AG696" s="41"/>
      <c r="AH696" s="41"/>
      <c r="AI696" s="41"/>
      <c r="AJ696" s="41"/>
    </row>
    <row r="697" spans="6:36" x14ac:dyDescent="0.3"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F697" s="41"/>
      <c r="AG697" s="41"/>
      <c r="AH697" s="41"/>
      <c r="AI697" s="41"/>
      <c r="AJ697" s="41"/>
    </row>
    <row r="698" spans="6:36" x14ac:dyDescent="0.3"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</row>
    <row r="699" spans="6:36" x14ac:dyDescent="0.3"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</row>
    <row r="700" spans="6:36" x14ac:dyDescent="0.3"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F700" s="41"/>
      <c r="AG700" s="41"/>
      <c r="AH700" s="41"/>
      <c r="AI700" s="41"/>
      <c r="AJ700" s="41"/>
    </row>
    <row r="701" spans="6:36" x14ac:dyDescent="0.3"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F701" s="41"/>
      <c r="AG701" s="41"/>
      <c r="AH701" s="41"/>
      <c r="AI701" s="41"/>
      <c r="AJ701" s="41"/>
    </row>
    <row r="702" spans="6:36" x14ac:dyDescent="0.3"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F702" s="41"/>
      <c r="AG702" s="41"/>
      <c r="AH702" s="41"/>
      <c r="AI702" s="41"/>
      <c r="AJ702" s="41"/>
    </row>
    <row r="703" spans="6:36" x14ac:dyDescent="0.3"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F703" s="41"/>
      <c r="AG703" s="41"/>
      <c r="AH703" s="41"/>
      <c r="AI703" s="41"/>
      <c r="AJ703" s="41"/>
    </row>
    <row r="704" spans="6:36" x14ac:dyDescent="0.3"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F704" s="41"/>
      <c r="AG704" s="41"/>
      <c r="AH704" s="41"/>
      <c r="AI704" s="41"/>
      <c r="AJ704" s="41"/>
    </row>
    <row r="705" spans="6:36" x14ac:dyDescent="0.3"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F705" s="41"/>
      <c r="AG705" s="41"/>
      <c r="AH705" s="41"/>
      <c r="AI705" s="41"/>
      <c r="AJ705" s="41"/>
    </row>
    <row r="706" spans="6:36" x14ac:dyDescent="0.3"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F706" s="41"/>
      <c r="AG706" s="41"/>
      <c r="AH706" s="41"/>
      <c r="AI706" s="41"/>
      <c r="AJ706" s="41"/>
    </row>
    <row r="707" spans="6:36" x14ac:dyDescent="0.3"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F707" s="41"/>
      <c r="AG707" s="41"/>
      <c r="AH707" s="41"/>
      <c r="AI707" s="41"/>
      <c r="AJ707" s="41"/>
    </row>
    <row r="708" spans="6:36" x14ac:dyDescent="0.3"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F708" s="41"/>
      <c r="AG708" s="41"/>
      <c r="AH708" s="41"/>
      <c r="AI708" s="41"/>
      <c r="AJ708" s="41"/>
    </row>
    <row r="709" spans="6:36" x14ac:dyDescent="0.3"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F709" s="41"/>
      <c r="AG709" s="41"/>
      <c r="AH709" s="41"/>
      <c r="AI709" s="41"/>
      <c r="AJ709" s="41"/>
    </row>
    <row r="710" spans="6:36" x14ac:dyDescent="0.3"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F710" s="41"/>
      <c r="AG710" s="41"/>
      <c r="AH710" s="41"/>
      <c r="AI710" s="41"/>
      <c r="AJ710" s="41"/>
    </row>
    <row r="711" spans="6:36" x14ac:dyDescent="0.3"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</row>
    <row r="712" spans="6:36" x14ac:dyDescent="0.3"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F712" s="41"/>
      <c r="AG712" s="41"/>
      <c r="AH712" s="41"/>
      <c r="AI712" s="41"/>
      <c r="AJ712" s="41"/>
    </row>
    <row r="713" spans="6:36" x14ac:dyDescent="0.3"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F713" s="41"/>
      <c r="AG713" s="41"/>
      <c r="AH713" s="41"/>
      <c r="AI713" s="41"/>
      <c r="AJ713" s="41"/>
    </row>
    <row r="714" spans="6:36" x14ac:dyDescent="0.3"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F714" s="41"/>
      <c r="AG714" s="41"/>
      <c r="AH714" s="41"/>
      <c r="AI714" s="41"/>
      <c r="AJ714" s="41"/>
    </row>
    <row r="715" spans="6:36" x14ac:dyDescent="0.3"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F715" s="41"/>
      <c r="AG715" s="41"/>
      <c r="AH715" s="41"/>
      <c r="AI715" s="41"/>
      <c r="AJ715" s="41"/>
    </row>
    <row r="716" spans="6:36" x14ac:dyDescent="0.3"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F716" s="41"/>
      <c r="AG716" s="41"/>
      <c r="AH716" s="41"/>
      <c r="AI716" s="41"/>
      <c r="AJ716" s="41"/>
    </row>
    <row r="717" spans="6:36" x14ac:dyDescent="0.3"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F717" s="41"/>
      <c r="AG717" s="41"/>
      <c r="AH717" s="41"/>
      <c r="AI717" s="41"/>
      <c r="AJ717" s="41"/>
    </row>
    <row r="718" spans="6:36" x14ac:dyDescent="0.3"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F718" s="41"/>
      <c r="AG718" s="41"/>
      <c r="AH718" s="41"/>
      <c r="AI718" s="41"/>
      <c r="AJ718" s="41"/>
    </row>
    <row r="719" spans="6:36" x14ac:dyDescent="0.3"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F719" s="41"/>
      <c r="AG719" s="41"/>
      <c r="AH719" s="41"/>
      <c r="AI719" s="41"/>
      <c r="AJ719" s="41"/>
    </row>
    <row r="720" spans="6:36" x14ac:dyDescent="0.3"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F720" s="41"/>
      <c r="AG720" s="41"/>
      <c r="AH720" s="41"/>
      <c r="AI720" s="41"/>
      <c r="AJ720" s="41"/>
    </row>
    <row r="721" spans="6:36" x14ac:dyDescent="0.3"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F721" s="41"/>
      <c r="AG721" s="41"/>
      <c r="AH721" s="41"/>
      <c r="AI721" s="41"/>
      <c r="AJ721" s="41"/>
    </row>
    <row r="722" spans="6:36" x14ac:dyDescent="0.3"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F722" s="41"/>
      <c r="AG722" s="41"/>
      <c r="AH722" s="41"/>
      <c r="AI722" s="41"/>
      <c r="AJ722" s="41"/>
    </row>
    <row r="723" spans="6:36" x14ac:dyDescent="0.3"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</row>
    <row r="724" spans="6:36" x14ac:dyDescent="0.3"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F724" s="41"/>
      <c r="AG724" s="41"/>
      <c r="AH724" s="41"/>
      <c r="AI724" s="41"/>
      <c r="AJ724" s="41"/>
    </row>
    <row r="725" spans="6:36" x14ac:dyDescent="0.3"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F725" s="41"/>
      <c r="AG725" s="41"/>
      <c r="AH725" s="41"/>
      <c r="AI725" s="41"/>
      <c r="AJ725" s="41"/>
    </row>
    <row r="726" spans="6:36" x14ac:dyDescent="0.3"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F726" s="41"/>
      <c r="AG726" s="41"/>
      <c r="AH726" s="41"/>
      <c r="AI726" s="41"/>
      <c r="AJ726" s="41"/>
    </row>
    <row r="727" spans="6:36" x14ac:dyDescent="0.3"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F727" s="41"/>
      <c r="AG727" s="41"/>
      <c r="AH727" s="41"/>
      <c r="AI727" s="41"/>
      <c r="AJ727" s="41"/>
    </row>
    <row r="728" spans="6:36" x14ac:dyDescent="0.3"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F728" s="41"/>
      <c r="AG728" s="41"/>
      <c r="AH728" s="41"/>
      <c r="AI728" s="41"/>
      <c r="AJ728" s="41"/>
    </row>
    <row r="729" spans="6:36" x14ac:dyDescent="0.3"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F729" s="41"/>
      <c r="AG729" s="41"/>
      <c r="AH729" s="41"/>
      <c r="AI729" s="41"/>
      <c r="AJ729" s="41"/>
    </row>
    <row r="730" spans="6:36" x14ac:dyDescent="0.3"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F730" s="41"/>
      <c r="AG730" s="41"/>
      <c r="AH730" s="41"/>
      <c r="AI730" s="41"/>
      <c r="AJ730" s="41"/>
    </row>
    <row r="731" spans="6:36" x14ac:dyDescent="0.3"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F731" s="41"/>
      <c r="AG731" s="41"/>
      <c r="AH731" s="41"/>
      <c r="AI731" s="41"/>
      <c r="AJ731" s="41"/>
    </row>
    <row r="732" spans="6:36" x14ac:dyDescent="0.3"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F732" s="41"/>
      <c r="AG732" s="41"/>
      <c r="AH732" s="41"/>
      <c r="AI732" s="41"/>
      <c r="AJ732" s="41"/>
    </row>
    <row r="733" spans="6:36" x14ac:dyDescent="0.3"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F733" s="41"/>
      <c r="AG733" s="41"/>
      <c r="AH733" s="41"/>
      <c r="AI733" s="41"/>
      <c r="AJ733" s="41"/>
    </row>
    <row r="734" spans="6:36" x14ac:dyDescent="0.3"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F734" s="41"/>
      <c r="AG734" s="41"/>
      <c r="AH734" s="41"/>
      <c r="AI734" s="41"/>
      <c r="AJ734" s="41"/>
    </row>
    <row r="735" spans="6:36" x14ac:dyDescent="0.3"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</row>
    <row r="736" spans="6:36" x14ac:dyDescent="0.3"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F736" s="41"/>
      <c r="AG736" s="41"/>
      <c r="AH736" s="41"/>
      <c r="AI736" s="41"/>
      <c r="AJ736" s="41"/>
    </row>
    <row r="737" spans="6:36" x14ac:dyDescent="0.3"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F737" s="41"/>
      <c r="AG737" s="41"/>
      <c r="AH737" s="41"/>
      <c r="AI737" s="41"/>
      <c r="AJ737" s="41"/>
    </row>
    <row r="738" spans="6:36" x14ac:dyDescent="0.3"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F738" s="41"/>
      <c r="AG738" s="41"/>
      <c r="AH738" s="41"/>
      <c r="AI738" s="41"/>
      <c r="AJ738" s="41"/>
    </row>
    <row r="739" spans="6:36" x14ac:dyDescent="0.3"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F739" s="41"/>
      <c r="AG739" s="41"/>
      <c r="AH739" s="41"/>
      <c r="AI739" s="41"/>
      <c r="AJ739" s="41"/>
    </row>
    <row r="740" spans="6:36" x14ac:dyDescent="0.3"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F740" s="41"/>
      <c r="AG740" s="41"/>
      <c r="AH740" s="41"/>
      <c r="AI740" s="41"/>
      <c r="AJ740" s="41"/>
    </row>
    <row r="741" spans="6:36" x14ac:dyDescent="0.3"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F741" s="41"/>
      <c r="AG741" s="41"/>
      <c r="AH741" s="41"/>
      <c r="AI741" s="41"/>
      <c r="AJ741" s="41"/>
    </row>
    <row r="742" spans="6:36" x14ac:dyDescent="0.3"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F742" s="41"/>
      <c r="AG742" s="41"/>
      <c r="AH742" s="41"/>
      <c r="AI742" s="41"/>
      <c r="AJ742" s="41"/>
    </row>
    <row r="743" spans="6:36" x14ac:dyDescent="0.3"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F743" s="41"/>
      <c r="AG743" s="41"/>
      <c r="AH743" s="41"/>
      <c r="AI743" s="41"/>
      <c r="AJ743" s="41"/>
    </row>
    <row r="744" spans="6:36" x14ac:dyDescent="0.3"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F744" s="41"/>
      <c r="AG744" s="41"/>
      <c r="AH744" s="41"/>
      <c r="AI744" s="41"/>
      <c r="AJ744" s="41"/>
    </row>
    <row r="745" spans="6:36" x14ac:dyDescent="0.3"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F745" s="41"/>
      <c r="AG745" s="41"/>
      <c r="AH745" s="41"/>
      <c r="AI745" s="41"/>
      <c r="AJ745" s="41"/>
    </row>
    <row r="746" spans="6:36" x14ac:dyDescent="0.3"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F746" s="41"/>
      <c r="AG746" s="41"/>
      <c r="AH746" s="41"/>
      <c r="AI746" s="41"/>
      <c r="AJ746" s="41"/>
    </row>
    <row r="747" spans="6:36" x14ac:dyDescent="0.3"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</row>
    <row r="748" spans="6:36" x14ac:dyDescent="0.3"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F748" s="41"/>
      <c r="AG748" s="41"/>
      <c r="AH748" s="41"/>
      <c r="AI748" s="41"/>
      <c r="AJ748" s="41"/>
    </row>
    <row r="749" spans="6:36" x14ac:dyDescent="0.3"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F749" s="41"/>
      <c r="AG749" s="41"/>
      <c r="AH749" s="41"/>
      <c r="AI749" s="41"/>
      <c r="AJ749" s="41"/>
    </row>
    <row r="750" spans="6:36" x14ac:dyDescent="0.3"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F750" s="41"/>
      <c r="AG750" s="41"/>
      <c r="AH750" s="41"/>
      <c r="AI750" s="41"/>
      <c r="AJ750" s="41"/>
    </row>
    <row r="751" spans="6:36" x14ac:dyDescent="0.3"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F751" s="41"/>
      <c r="AG751" s="41"/>
      <c r="AH751" s="41"/>
      <c r="AI751" s="41"/>
      <c r="AJ751" s="41"/>
    </row>
    <row r="752" spans="6:36" x14ac:dyDescent="0.3"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F752" s="41"/>
      <c r="AG752" s="41"/>
      <c r="AH752" s="41"/>
      <c r="AI752" s="41"/>
      <c r="AJ752" s="41"/>
    </row>
    <row r="753" spans="6:36" x14ac:dyDescent="0.3"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F753" s="41"/>
      <c r="AG753" s="41"/>
      <c r="AH753" s="41"/>
      <c r="AI753" s="41"/>
      <c r="AJ753" s="41"/>
    </row>
    <row r="754" spans="6:36" x14ac:dyDescent="0.3"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F754" s="41"/>
      <c r="AG754" s="41"/>
      <c r="AH754" s="41"/>
      <c r="AI754" s="41"/>
      <c r="AJ754" s="41"/>
    </row>
    <row r="755" spans="6:36" x14ac:dyDescent="0.3"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F755" s="41"/>
      <c r="AG755" s="41"/>
      <c r="AH755" s="41"/>
      <c r="AI755" s="41"/>
      <c r="AJ755" s="41"/>
    </row>
    <row r="756" spans="6:36" x14ac:dyDescent="0.3"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F756" s="41"/>
      <c r="AG756" s="41"/>
      <c r="AH756" s="41"/>
      <c r="AI756" s="41"/>
      <c r="AJ756" s="41"/>
    </row>
    <row r="757" spans="6:36" x14ac:dyDescent="0.3"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F757" s="41"/>
      <c r="AG757" s="41"/>
      <c r="AH757" s="41"/>
      <c r="AI757" s="41"/>
      <c r="AJ757" s="41"/>
    </row>
    <row r="758" spans="6:36" x14ac:dyDescent="0.3"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F758" s="41"/>
      <c r="AG758" s="41"/>
      <c r="AH758" s="41"/>
      <c r="AI758" s="41"/>
      <c r="AJ758" s="41"/>
    </row>
    <row r="759" spans="6:36" x14ac:dyDescent="0.3"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</row>
    <row r="760" spans="6:36" x14ac:dyDescent="0.3"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F760" s="41"/>
      <c r="AG760" s="41"/>
      <c r="AH760" s="41"/>
      <c r="AI760" s="41"/>
      <c r="AJ760" s="41"/>
    </row>
    <row r="761" spans="6:36" x14ac:dyDescent="0.3"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F761" s="41"/>
      <c r="AG761" s="41"/>
      <c r="AH761" s="41"/>
      <c r="AI761" s="41"/>
      <c r="AJ761" s="41"/>
    </row>
    <row r="762" spans="6:36" x14ac:dyDescent="0.3"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F762" s="41"/>
      <c r="AG762" s="41"/>
      <c r="AH762" s="41"/>
      <c r="AI762" s="41"/>
      <c r="AJ762" s="41"/>
    </row>
    <row r="763" spans="6:36" x14ac:dyDescent="0.3"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F763" s="41"/>
      <c r="AG763" s="41"/>
      <c r="AH763" s="41"/>
      <c r="AI763" s="41"/>
      <c r="AJ763" s="41"/>
    </row>
    <row r="764" spans="6:36" x14ac:dyDescent="0.3"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F764" s="41"/>
      <c r="AG764" s="41"/>
      <c r="AH764" s="41"/>
      <c r="AI764" s="41"/>
      <c r="AJ764" s="41"/>
    </row>
    <row r="765" spans="6:36" x14ac:dyDescent="0.3"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F765" s="41"/>
      <c r="AG765" s="41"/>
      <c r="AH765" s="41"/>
      <c r="AI765" s="41"/>
      <c r="AJ765" s="41"/>
    </row>
    <row r="766" spans="6:36" x14ac:dyDescent="0.3"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F766" s="41"/>
      <c r="AG766" s="41"/>
      <c r="AH766" s="41"/>
      <c r="AI766" s="41"/>
      <c r="AJ766" s="41"/>
    </row>
    <row r="767" spans="6:36" x14ac:dyDescent="0.3"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F767" s="41"/>
      <c r="AG767" s="41"/>
      <c r="AH767" s="41"/>
      <c r="AI767" s="41"/>
      <c r="AJ767" s="41"/>
    </row>
    <row r="768" spans="6:36" x14ac:dyDescent="0.3"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  <c r="AA768" s="41"/>
      <c r="AB768" s="41"/>
      <c r="AC768" s="41"/>
      <c r="AD768" s="41"/>
      <c r="AE768" s="41"/>
      <c r="AF768" s="41"/>
      <c r="AG768" s="41"/>
      <c r="AH768" s="41"/>
      <c r="AI768" s="41"/>
      <c r="AJ768" s="41"/>
    </row>
    <row r="769" spans="6:36" x14ac:dyDescent="0.3"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F769" s="41"/>
      <c r="AG769" s="41"/>
      <c r="AH769" s="41"/>
      <c r="AI769" s="41"/>
      <c r="AJ769" s="41"/>
    </row>
    <row r="770" spans="6:36" x14ac:dyDescent="0.3"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F770" s="41"/>
      <c r="AG770" s="41"/>
      <c r="AH770" s="41"/>
      <c r="AI770" s="41"/>
      <c r="AJ770" s="41"/>
    </row>
    <row r="771" spans="6:36" x14ac:dyDescent="0.3"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</row>
    <row r="772" spans="6:36" x14ac:dyDescent="0.3"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F772" s="41"/>
      <c r="AG772" s="41"/>
      <c r="AH772" s="41"/>
      <c r="AI772" s="41"/>
      <c r="AJ772" s="41"/>
    </row>
    <row r="773" spans="6:36" x14ac:dyDescent="0.3"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F773" s="41"/>
      <c r="AG773" s="41"/>
      <c r="AH773" s="41"/>
      <c r="AI773" s="41"/>
      <c r="AJ773" s="41"/>
    </row>
    <row r="774" spans="6:36" x14ac:dyDescent="0.3"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F774" s="41"/>
      <c r="AG774" s="41"/>
      <c r="AH774" s="41"/>
      <c r="AI774" s="41"/>
      <c r="AJ774" s="41"/>
    </row>
    <row r="775" spans="6:36" x14ac:dyDescent="0.3"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  <c r="AA775" s="41"/>
      <c r="AB775" s="41"/>
      <c r="AC775" s="41"/>
      <c r="AD775" s="41"/>
      <c r="AE775" s="41"/>
      <c r="AF775" s="41"/>
      <c r="AG775" s="41"/>
      <c r="AH775" s="41"/>
      <c r="AI775" s="41"/>
      <c r="AJ775" s="41"/>
    </row>
    <row r="776" spans="6:36" x14ac:dyDescent="0.3"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F776" s="41"/>
      <c r="AG776" s="41"/>
      <c r="AH776" s="41"/>
      <c r="AI776" s="41"/>
      <c r="AJ776" s="41"/>
    </row>
  </sheetData>
  <customSheetViews>
    <customSheetView guid="{121E4431-22F3-11D5-8242-00600818425F}" scale="75" showRuler="0">
      <pane xSplit="2" ySplit="7" topLeftCell="C8" activePane="bottomRight" state="frozen"/>
      <selection pane="bottomRight" activeCell="D1" sqref="D1"/>
      <rowBreaks count="3" manualBreakCount="3">
        <brk id="58" max="16383" man="1"/>
        <brk id="133" max="16383" man="1"/>
        <brk id="198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180" verticalDpi="18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showRuler="0">
      <pane xSplit="2" ySplit="7" topLeftCell="C91" activePane="bottomRight" state="frozen"/>
      <selection pane="bottomRight" activeCell="D94" sqref="D94"/>
      <rowBreaks count="3" manualBreakCount="3">
        <brk id="56" max="16383" man="1"/>
        <brk id="104" max="16383" man="1"/>
        <brk id="157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180" verticalDpi="18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showRuler="0">
      <pane xSplit="2" ySplit="7" topLeftCell="C91" activePane="bottomRight" state="frozen"/>
      <selection pane="bottomRight" activeCell="D94" sqref="D94"/>
      <rowBreaks count="3" manualBreakCount="3">
        <brk id="56" max="16383" man="1"/>
        <brk id="104" max="16383" man="1"/>
        <brk id="157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180" verticalDpi="18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67" fitToHeight="0" orientation="landscape" horizontalDpi="180" verticalDpi="180" r:id="rId4"/>
  <headerFooter alignWithMargins="0">
    <oddFooter>&amp;L&amp;8&amp;F&amp;C&amp;8&amp;A
page &amp;P&amp;R&amp;8&amp;D
&amp;T</oddFooter>
  </headerFooter>
  <rowBreaks count="3" manualBreakCount="3">
    <brk id="64" max="16383" man="1"/>
    <brk id="99" max="16383" man="1"/>
    <brk id="143" max="16383" man="1"/>
  </rowBreaks>
  <colBreaks count="2" manualBreakCount="2">
    <brk id="14" max="202" man="1"/>
    <brk id="25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A287"/>
  <sheetViews>
    <sheetView zoomScale="70" zoomScaleNormal="70" workbookViewId="0">
      <pane xSplit="2" ySplit="8" topLeftCell="C9" activePane="bottomRight" state="frozen"/>
      <selection activeCell="C368" sqref="C368"/>
      <selection pane="topRight" activeCell="C368" sqref="C368"/>
      <selection pane="bottomLeft" activeCell="C368" sqref="C368"/>
      <selection pane="bottomRight" activeCell="C9" sqref="C9"/>
    </sheetView>
  </sheetViews>
  <sheetFormatPr defaultColWidth="9.1796875" defaultRowHeight="13" x14ac:dyDescent="0.3"/>
  <cols>
    <col min="1" max="1" width="5.54296875" style="4" customWidth="1"/>
    <col min="2" max="2" width="27.453125" style="4" customWidth="1"/>
    <col min="3" max="3" width="16.54296875" style="4" customWidth="1"/>
    <col min="4" max="4" width="16" style="17" bestFit="1" customWidth="1"/>
    <col min="5" max="5" width="10.81640625" style="4" bestFit="1" customWidth="1"/>
    <col min="6" max="6" width="15.453125" style="4" bestFit="1" customWidth="1"/>
    <col min="7" max="7" width="13.453125" style="17" bestFit="1" customWidth="1"/>
    <col min="8" max="8" width="15.1796875" style="17" bestFit="1" customWidth="1"/>
    <col min="9" max="9" width="14.453125" style="4" customWidth="1"/>
    <col min="10" max="10" width="13.54296875" style="17" bestFit="1" customWidth="1"/>
    <col min="11" max="11" width="12.54296875" style="17" bestFit="1" customWidth="1"/>
    <col min="12" max="12" width="14.1796875" style="17" bestFit="1" customWidth="1"/>
    <col min="13" max="13" width="12.453125" style="17" bestFit="1" customWidth="1"/>
    <col min="14" max="14" width="17.453125" style="17" customWidth="1"/>
    <col min="15" max="15" width="11.54296875" style="17" bestFit="1" customWidth="1"/>
    <col min="16" max="16" width="12" style="17" customWidth="1"/>
    <col min="17" max="17" width="10" style="17" bestFit="1" customWidth="1"/>
    <col min="18" max="18" width="12" style="17" customWidth="1"/>
    <col min="19" max="19" width="14.54296875" style="4" bestFit="1" customWidth="1"/>
    <col min="20" max="20" width="11.453125" style="4" bestFit="1" customWidth="1"/>
    <col min="21" max="23" width="9.1796875" style="4"/>
    <col min="24" max="24" width="9.54296875" style="4" bestFit="1" customWidth="1"/>
    <col min="25" max="25" width="10.54296875" style="4" bestFit="1" customWidth="1"/>
    <col min="26" max="26" width="9.1796875" style="4"/>
    <col min="27" max="27" width="11.453125" style="4" bestFit="1" customWidth="1"/>
    <col min="28" max="28" width="10.54296875" style="4" bestFit="1" customWidth="1"/>
    <col min="29" max="16384" width="9.1796875" style="4"/>
  </cols>
  <sheetData>
    <row r="1" spans="1:22" x14ac:dyDescent="0.3">
      <c r="A1" s="343" t="str">
        <f>'1. RB-i'!A1</f>
        <v>CPS Energy</v>
      </c>
      <c r="B1" s="344"/>
      <c r="C1" s="207"/>
      <c r="D1" s="353"/>
      <c r="E1" s="353"/>
      <c r="F1" s="207"/>
      <c r="G1" s="353"/>
      <c r="H1" s="353"/>
      <c r="I1" s="207"/>
      <c r="J1" s="353"/>
      <c r="K1" s="353"/>
      <c r="L1" s="353"/>
      <c r="M1" s="353"/>
      <c r="N1" s="353"/>
      <c r="O1" s="353"/>
      <c r="P1" s="353"/>
      <c r="Q1" s="354"/>
    </row>
    <row r="2" spans="1:22" x14ac:dyDescent="0.3">
      <c r="A2" s="346" t="s">
        <v>1297</v>
      </c>
      <c r="B2" s="342"/>
      <c r="C2" s="191"/>
      <c r="D2" s="256"/>
      <c r="E2" s="191"/>
      <c r="F2" s="191"/>
      <c r="G2" s="256"/>
      <c r="H2" s="256"/>
      <c r="I2" s="191"/>
      <c r="J2" s="256"/>
      <c r="K2" s="256"/>
      <c r="L2" s="256"/>
      <c r="M2" s="256"/>
      <c r="N2" s="256"/>
      <c r="O2" s="256"/>
      <c r="P2" s="256"/>
      <c r="Q2" s="355"/>
    </row>
    <row r="3" spans="1:22" x14ac:dyDescent="0.3">
      <c r="A3" s="346" t="str">
        <f>'1. RB-i'!A3</f>
        <v>FYE 2017</v>
      </c>
      <c r="B3" s="342"/>
      <c r="C3" s="191"/>
      <c r="D3" s="256"/>
      <c r="E3" s="191"/>
      <c r="F3" s="191"/>
      <c r="G3" s="256"/>
      <c r="H3" s="256"/>
      <c r="I3" s="191"/>
      <c r="J3" s="256"/>
      <c r="K3" s="256"/>
      <c r="L3" s="256"/>
      <c r="M3" s="256"/>
      <c r="N3" s="256"/>
      <c r="O3" s="256"/>
      <c r="P3" s="256"/>
      <c r="Q3" s="355"/>
    </row>
    <row r="4" spans="1:22" x14ac:dyDescent="0.3">
      <c r="A4" s="346"/>
      <c r="B4" s="342"/>
      <c r="C4" s="191"/>
      <c r="D4" s="256"/>
      <c r="E4" s="191"/>
      <c r="F4" s="191"/>
      <c r="G4" s="256"/>
      <c r="H4" s="256"/>
      <c r="I4" s="191"/>
      <c r="J4" s="256"/>
      <c r="K4" s="256"/>
      <c r="L4" s="256"/>
      <c r="M4" s="256"/>
      <c r="N4" s="256"/>
      <c r="O4" s="256"/>
      <c r="P4" s="256"/>
      <c r="Q4" s="355"/>
    </row>
    <row r="5" spans="1:22" x14ac:dyDescent="0.3">
      <c r="A5" s="268"/>
      <c r="B5" s="196" t="s">
        <v>359</v>
      </c>
      <c r="C5" s="196" t="s">
        <v>352</v>
      </c>
      <c r="D5" s="199" t="s">
        <v>353</v>
      </c>
      <c r="E5" s="196" t="s">
        <v>354</v>
      </c>
      <c r="F5" s="196" t="s">
        <v>355</v>
      </c>
      <c r="G5" s="196" t="s">
        <v>356</v>
      </c>
      <c r="H5" s="196" t="s">
        <v>355</v>
      </c>
      <c r="I5" s="196" t="s">
        <v>357</v>
      </c>
      <c r="J5" s="199" t="s">
        <v>10</v>
      </c>
      <c r="K5" s="199" t="s">
        <v>10</v>
      </c>
      <c r="L5" s="199" t="s">
        <v>10</v>
      </c>
      <c r="M5" s="199" t="s">
        <v>10</v>
      </c>
      <c r="N5" s="199" t="s">
        <v>10</v>
      </c>
      <c r="O5" s="199" t="s">
        <v>10</v>
      </c>
      <c r="P5" s="199" t="s">
        <v>10</v>
      </c>
      <c r="Q5" s="356" t="s">
        <v>10</v>
      </c>
      <c r="R5" s="45"/>
      <c r="S5" s="4" t="s">
        <v>832</v>
      </c>
    </row>
    <row r="6" spans="1:22" x14ac:dyDescent="0.3">
      <c r="A6" s="268" t="s">
        <v>539</v>
      </c>
      <c r="B6" s="191"/>
      <c r="C6" s="196" t="s">
        <v>360</v>
      </c>
      <c r="D6" s="199" t="s">
        <v>361</v>
      </c>
      <c r="E6" s="196" t="s">
        <v>362</v>
      </c>
      <c r="F6" s="196"/>
      <c r="G6" s="196" t="s">
        <v>363</v>
      </c>
      <c r="H6" s="196" t="s">
        <v>364</v>
      </c>
      <c r="I6" s="196" t="s">
        <v>365</v>
      </c>
      <c r="J6" s="196" t="s">
        <v>544</v>
      </c>
      <c r="K6" s="199" t="s">
        <v>366</v>
      </c>
      <c r="L6" s="199" t="s">
        <v>367</v>
      </c>
      <c r="M6" s="199" t="s">
        <v>907</v>
      </c>
      <c r="N6" s="199" t="s">
        <v>909</v>
      </c>
      <c r="O6" s="199" t="s">
        <v>910</v>
      </c>
      <c r="P6" s="199" t="s">
        <v>912</v>
      </c>
      <c r="Q6" s="356" t="s">
        <v>913</v>
      </c>
      <c r="R6" s="45"/>
      <c r="S6" s="4" t="s">
        <v>833</v>
      </c>
      <c r="T6" s="4" t="s">
        <v>824</v>
      </c>
    </row>
    <row r="7" spans="1:22" hidden="1" x14ac:dyDescent="0.3">
      <c r="A7" s="268"/>
      <c r="B7" s="191"/>
      <c r="C7" s="191"/>
      <c r="D7" s="357" t="s">
        <v>815</v>
      </c>
      <c r="E7" s="196" t="s">
        <v>816</v>
      </c>
      <c r="F7" s="196" t="s">
        <v>817</v>
      </c>
      <c r="G7" s="196" t="s">
        <v>818</v>
      </c>
      <c r="H7" s="196" t="s">
        <v>819</v>
      </c>
      <c r="I7" s="196" t="s">
        <v>820</v>
      </c>
      <c r="J7" s="196" t="s">
        <v>821</v>
      </c>
      <c r="K7" s="196" t="s">
        <v>822</v>
      </c>
      <c r="L7" s="196" t="s">
        <v>823</v>
      </c>
      <c r="M7" s="196" t="s">
        <v>908</v>
      </c>
      <c r="N7" s="196" t="s">
        <v>914</v>
      </c>
      <c r="O7" s="196" t="s">
        <v>915</v>
      </c>
      <c r="P7" s="196" t="s">
        <v>916</v>
      </c>
      <c r="Q7" s="305" t="s">
        <v>917</v>
      </c>
      <c r="R7" s="5"/>
    </row>
    <row r="8" spans="1:22" ht="13.5" thickBot="1" x14ac:dyDescent="0.35">
      <c r="A8" s="278"/>
      <c r="B8" s="284"/>
      <c r="C8" s="284"/>
      <c r="D8" s="358"/>
      <c r="E8" s="284"/>
      <c r="F8" s="284"/>
      <c r="G8" s="358"/>
      <c r="H8" s="358"/>
      <c r="I8" s="284"/>
      <c r="J8" s="358"/>
      <c r="K8" s="358"/>
      <c r="L8" s="358"/>
      <c r="M8" s="358"/>
      <c r="N8" s="358"/>
      <c r="O8" s="358"/>
      <c r="P8" s="358"/>
      <c r="Q8" s="359"/>
    </row>
    <row r="9" spans="1:22" x14ac:dyDescent="0.3">
      <c r="A9" s="460" t="s">
        <v>547</v>
      </c>
      <c r="B9" s="461"/>
      <c r="C9" s="461"/>
      <c r="D9" s="171"/>
      <c r="E9" s="62"/>
      <c r="F9" s="62"/>
      <c r="G9" s="171"/>
      <c r="H9" s="171"/>
      <c r="I9" s="62"/>
      <c r="J9" s="171"/>
      <c r="K9" s="171"/>
      <c r="L9" s="171"/>
      <c r="M9" s="171"/>
      <c r="N9" s="171"/>
      <c r="O9" s="171"/>
      <c r="P9" s="171"/>
      <c r="Q9" s="171"/>
      <c r="R9" s="171"/>
      <c r="S9" s="62"/>
      <c r="T9" s="62"/>
      <c r="U9" s="62"/>
      <c r="V9" s="62"/>
    </row>
    <row r="10" spans="1:22" x14ac:dyDescent="0.3">
      <c r="A10" s="461"/>
      <c r="B10" s="461"/>
      <c r="C10" s="461"/>
      <c r="D10" s="171"/>
      <c r="E10" s="62"/>
      <c r="F10" s="62"/>
      <c r="G10" s="171"/>
      <c r="H10" s="171"/>
      <c r="I10" s="62"/>
      <c r="J10" s="171"/>
      <c r="K10" s="171"/>
      <c r="L10" s="171"/>
      <c r="M10" s="171"/>
      <c r="N10" s="171"/>
      <c r="O10" s="171"/>
      <c r="P10" s="171"/>
      <c r="Q10" s="171"/>
      <c r="R10" s="171"/>
      <c r="S10" s="62"/>
      <c r="T10" s="62"/>
      <c r="U10" s="62"/>
      <c r="V10" s="62"/>
    </row>
    <row r="11" spans="1:22" x14ac:dyDescent="0.3">
      <c r="A11" s="461"/>
      <c r="B11" s="463" t="s">
        <v>548</v>
      </c>
      <c r="C11" s="463"/>
      <c r="D11" s="171"/>
      <c r="E11" s="62"/>
      <c r="F11" s="62"/>
      <c r="G11" s="171"/>
      <c r="H11" s="171"/>
      <c r="I11" s="62"/>
      <c r="J11" s="171"/>
      <c r="K11" s="171"/>
      <c r="L11" s="171"/>
      <c r="M11" s="171"/>
      <c r="N11" s="171"/>
      <c r="O11" s="171"/>
      <c r="P11" s="171"/>
      <c r="Q11" s="171"/>
      <c r="R11" s="171"/>
      <c r="S11" s="62"/>
      <c r="T11" s="62"/>
      <c r="U11" s="62"/>
      <c r="V11" s="62"/>
    </row>
    <row r="12" spans="1:22" x14ac:dyDescent="0.3">
      <c r="A12" s="461"/>
      <c r="B12" s="464" t="s">
        <v>549</v>
      </c>
      <c r="C12" s="464"/>
      <c r="D12" s="678"/>
      <c r="E12" s="677"/>
      <c r="F12" s="677"/>
      <c r="G12" s="678"/>
      <c r="H12" s="678"/>
      <c r="I12" s="677"/>
      <c r="J12" s="678"/>
      <c r="K12" s="678"/>
      <c r="L12" s="678"/>
      <c r="M12" s="678"/>
      <c r="N12" s="678"/>
      <c r="O12" s="678"/>
      <c r="P12" s="678"/>
      <c r="Q12" s="678"/>
      <c r="R12" s="171"/>
      <c r="S12" s="62"/>
      <c r="T12" s="62"/>
      <c r="U12" s="62"/>
      <c r="V12" s="62"/>
    </row>
    <row r="13" spans="1:22" s="1" customFormat="1" x14ac:dyDescent="0.3">
      <c r="A13" s="465">
        <v>500</v>
      </c>
      <c r="B13" s="536" t="s">
        <v>551</v>
      </c>
      <c r="C13" s="466"/>
      <c r="D13" s="696"/>
      <c r="E13" s="678"/>
      <c r="F13" s="678"/>
      <c r="G13" s="678"/>
      <c r="H13" s="678"/>
      <c r="I13" s="669"/>
      <c r="J13" s="678"/>
      <c r="K13" s="696"/>
      <c r="L13" s="696"/>
      <c r="M13" s="678"/>
      <c r="N13" s="678"/>
      <c r="O13" s="678"/>
      <c r="P13" s="696"/>
      <c r="Q13" s="678"/>
      <c r="R13" s="171"/>
      <c r="S13" s="62">
        <f>SUM(J13:Q13)</f>
        <v>0</v>
      </c>
      <c r="T13" s="62">
        <f t="shared" ref="T13:T22" si="0">H13-S13</f>
        <v>0</v>
      </c>
      <c r="U13" s="62"/>
      <c r="V13" s="62"/>
    </row>
    <row r="14" spans="1:22" s="1" customFormat="1" x14ac:dyDescent="0.3">
      <c r="A14" s="465">
        <v>501</v>
      </c>
      <c r="B14" s="465" t="s">
        <v>553</v>
      </c>
      <c r="C14" s="461"/>
      <c r="D14" s="678"/>
      <c r="E14" s="699"/>
      <c r="F14" s="678"/>
      <c r="G14" s="678"/>
      <c r="H14" s="678"/>
      <c r="I14" s="669"/>
      <c r="J14" s="678"/>
      <c r="K14" s="696"/>
      <c r="L14" s="696"/>
      <c r="M14" s="678"/>
      <c r="N14" s="678"/>
      <c r="O14" s="678"/>
      <c r="P14" s="696"/>
      <c r="Q14" s="678"/>
      <c r="R14" s="171"/>
      <c r="S14" s="62">
        <f t="shared" ref="S14:S22" si="1">SUM(J14:Q14)</f>
        <v>0</v>
      </c>
      <c r="T14" s="62">
        <f t="shared" si="0"/>
        <v>0</v>
      </c>
      <c r="U14" s="62"/>
      <c r="V14" s="62"/>
    </row>
    <row r="15" spans="1:22" s="1" customFormat="1" x14ac:dyDescent="0.3">
      <c r="A15" s="465">
        <v>501</v>
      </c>
      <c r="B15" s="536" t="s">
        <v>554</v>
      </c>
      <c r="C15" s="466"/>
      <c r="D15" s="678"/>
      <c r="E15" s="679"/>
      <c r="F15" s="678"/>
      <c r="G15" s="678"/>
      <c r="H15" s="678"/>
      <c r="I15" s="669"/>
      <c r="J15" s="678"/>
      <c r="K15" s="696"/>
      <c r="L15" s="696"/>
      <c r="M15" s="678"/>
      <c r="N15" s="678"/>
      <c r="O15" s="678"/>
      <c r="P15" s="696"/>
      <c r="Q15" s="678"/>
      <c r="R15" s="171"/>
      <c r="S15" s="62">
        <f t="shared" si="1"/>
        <v>0</v>
      </c>
      <c r="T15" s="62">
        <f t="shared" si="0"/>
        <v>0</v>
      </c>
      <c r="U15" s="62"/>
      <c r="V15" s="62"/>
    </row>
    <row r="16" spans="1:22" s="1" customFormat="1" x14ac:dyDescent="0.3">
      <c r="A16" s="465">
        <v>502</v>
      </c>
      <c r="B16" s="465" t="s">
        <v>556</v>
      </c>
      <c r="C16" s="461"/>
      <c r="D16" s="678"/>
      <c r="E16" s="699"/>
      <c r="F16" s="678"/>
      <c r="G16" s="678"/>
      <c r="H16" s="678"/>
      <c r="I16" s="669"/>
      <c r="J16" s="678"/>
      <c r="K16" s="696"/>
      <c r="L16" s="696"/>
      <c r="M16" s="678"/>
      <c r="N16" s="678"/>
      <c r="O16" s="678"/>
      <c r="P16" s="696"/>
      <c r="Q16" s="678"/>
      <c r="R16" s="171"/>
      <c r="S16" s="62">
        <f t="shared" si="1"/>
        <v>0</v>
      </c>
      <c r="T16" s="62">
        <f t="shared" si="0"/>
        <v>0</v>
      </c>
      <c r="U16" s="62"/>
      <c r="V16" s="62"/>
    </row>
    <row r="17" spans="1:22" s="1" customFormat="1" x14ac:dyDescent="0.3">
      <c r="A17" s="465">
        <v>503</v>
      </c>
      <c r="B17" s="465" t="s">
        <v>558</v>
      </c>
      <c r="C17" s="461"/>
      <c r="D17" s="678"/>
      <c r="E17" s="699"/>
      <c r="F17" s="678"/>
      <c r="G17" s="678"/>
      <c r="H17" s="678"/>
      <c r="I17" s="669"/>
      <c r="J17" s="678"/>
      <c r="K17" s="696"/>
      <c r="L17" s="696"/>
      <c r="M17" s="678"/>
      <c r="N17" s="678"/>
      <c r="O17" s="678"/>
      <c r="P17" s="696"/>
      <c r="Q17" s="678"/>
      <c r="R17" s="171"/>
      <c r="S17" s="62">
        <f t="shared" si="1"/>
        <v>0</v>
      </c>
      <c r="T17" s="62">
        <f t="shared" si="0"/>
        <v>0</v>
      </c>
      <c r="U17" s="62"/>
      <c r="V17" s="62"/>
    </row>
    <row r="18" spans="1:22" s="1" customFormat="1" x14ac:dyDescent="0.3">
      <c r="A18" s="465">
        <v>505</v>
      </c>
      <c r="B18" s="465" t="s">
        <v>560</v>
      </c>
      <c r="C18" s="461"/>
      <c r="D18" s="678"/>
      <c r="E18" s="699"/>
      <c r="F18" s="678"/>
      <c r="G18" s="678"/>
      <c r="H18" s="678"/>
      <c r="I18" s="669"/>
      <c r="J18" s="678"/>
      <c r="K18" s="696"/>
      <c r="L18" s="696"/>
      <c r="M18" s="678"/>
      <c r="N18" s="678"/>
      <c r="O18" s="678"/>
      <c r="P18" s="696"/>
      <c r="Q18" s="678"/>
      <c r="R18" s="171"/>
      <c r="S18" s="62">
        <f t="shared" si="1"/>
        <v>0</v>
      </c>
      <c r="T18" s="62">
        <f t="shared" si="0"/>
        <v>0</v>
      </c>
      <c r="U18" s="62"/>
      <c r="V18" s="62"/>
    </row>
    <row r="19" spans="1:22" s="1" customFormat="1" x14ac:dyDescent="0.3">
      <c r="A19" s="465">
        <v>506</v>
      </c>
      <c r="B19" s="465" t="s">
        <v>562</v>
      </c>
      <c r="C19" s="461"/>
      <c r="D19" s="678"/>
      <c r="E19" s="699"/>
      <c r="F19" s="678"/>
      <c r="G19" s="678"/>
      <c r="H19" s="678"/>
      <c r="I19" s="669"/>
      <c r="J19" s="678"/>
      <c r="K19" s="696"/>
      <c r="L19" s="696"/>
      <c r="M19" s="678"/>
      <c r="N19" s="678"/>
      <c r="O19" s="678"/>
      <c r="P19" s="696"/>
      <c r="Q19" s="678"/>
      <c r="R19" s="171"/>
      <c r="S19" s="62">
        <f t="shared" si="1"/>
        <v>0</v>
      </c>
      <c r="T19" s="62">
        <f t="shared" si="0"/>
        <v>0</v>
      </c>
      <c r="U19" s="62"/>
      <c r="V19" s="62"/>
    </row>
    <row r="20" spans="1:22" s="1" customFormat="1" x14ac:dyDescent="0.3">
      <c r="A20" s="465">
        <v>507</v>
      </c>
      <c r="B20" s="465" t="s">
        <v>564</v>
      </c>
      <c r="C20" s="461"/>
      <c r="D20" s="678"/>
      <c r="E20" s="678"/>
      <c r="F20" s="678"/>
      <c r="G20" s="678"/>
      <c r="H20" s="678"/>
      <c r="I20" s="669"/>
      <c r="J20" s="678"/>
      <c r="K20" s="696"/>
      <c r="L20" s="696"/>
      <c r="M20" s="678"/>
      <c r="N20" s="678"/>
      <c r="O20" s="678"/>
      <c r="P20" s="696"/>
      <c r="Q20" s="678"/>
      <c r="R20" s="171"/>
      <c r="S20" s="62">
        <f t="shared" si="1"/>
        <v>0</v>
      </c>
      <c r="T20" s="62">
        <f t="shared" si="0"/>
        <v>0</v>
      </c>
      <c r="U20" s="62"/>
      <c r="V20" s="62"/>
    </row>
    <row r="21" spans="1:22" s="1" customFormat="1" ht="14.5" x14ac:dyDescent="0.45">
      <c r="A21" s="461">
        <v>508</v>
      </c>
      <c r="B21" s="461" t="s">
        <v>893</v>
      </c>
      <c r="C21" s="461"/>
      <c r="D21" s="681"/>
      <c r="E21" s="678"/>
      <c r="F21" s="678"/>
      <c r="G21" s="678"/>
      <c r="H21" s="678"/>
      <c r="I21" s="669"/>
      <c r="J21" s="681"/>
      <c r="K21" s="700"/>
      <c r="L21" s="700"/>
      <c r="M21" s="678"/>
      <c r="N21" s="678"/>
      <c r="O21" s="678"/>
      <c r="P21" s="700"/>
      <c r="Q21" s="678"/>
      <c r="R21" s="171"/>
      <c r="S21" s="62">
        <f t="shared" si="1"/>
        <v>0</v>
      </c>
      <c r="T21" s="62">
        <f t="shared" si="0"/>
        <v>0</v>
      </c>
      <c r="U21" s="62"/>
      <c r="V21" s="62"/>
    </row>
    <row r="22" spans="1:22" s="1" customFormat="1" x14ac:dyDescent="0.3">
      <c r="A22" s="461"/>
      <c r="B22" s="474" t="s">
        <v>524</v>
      </c>
      <c r="C22" s="474"/>
      <c r="D22" s="678"/>
      <c r="E22" s="678"/>
      <c r="F22" s="678"/>
      <c r="G22" s="678"/>
      <c r="H22" s="678"/>
      <c r="I22" s="678"/>
      <c r="J22" s="678"/>
      <c r="K22" s="678"/>
      <c r="L22" s="678"/>
      <c r="M22" s="678"/>
      <c r="N22" s="678"/>
      <c r="O22" s="678"/>
      <c r="P22" s="678"/>
      <c r="Q22" s="678"/>
      <c r="R22" s="171"/>
      <c r="S22" s="62">
        <f t="shared" si="1"/>
        <v>0</v>
      </c>
      <c r="T22" s="62">
        <f t="shared" si="0"/>
        <v>0</v>
      </c>
      <c r="U22" s="62"/>
      <c r="V22" s="62"/>
    </row>
    <row r="23" spans="1:22" s="1" customFormat="1" x14ac:dyDescent="0.3">
      <c r="A23" s="461"/>
      <c r="B23" s="461"/>
      <c r="C23" s="461"/>
      <c r="D23" s="678"/>
      <c r="E23" s="677"/>
      <c r="F23" s="677"/>
      <c r="G23" s="678"/>
      <c r="H23" s="678"/>
      <c r="I23" s="677"/>
      <c r="J23" s="678"/>
      <c r="K23" s="678"/>
      <c r="L23" s="678"/>
      <c r="M23" s="678"/>
      <c r="N23" s="678"/>
      <c r="O23" s="678"/>
      <c r="P23" s="678"/>
      <c r="Q23" s="678"/>
      <c r="R23" s="171"/>
      <c r="S23" s="62"/>
      <c r="T23" s="62"/>
      <c r="U23" s="62"/>
      <c r="V23" s="62"/>
    </row>
    <row r="24" spans="1:22" s="1" customFormat="1" x14ac:dyDescent="0.3">
      <c r="A24" s="461"/>
      <c r="B24" s="464" t="s">
        <v>565</v>
      </c>
      <c r="C24" s="464"/>
      <c r="D24" s="678"/>
      <c r="E24" s="677"/>
      <c r="F24" s="677"/>
      <c r="G24" s="678"/>
      <c r="H24" s="678"/>
      <c r="I24" s="677"/>
      <c r="J24" s="678"/>
      <c r="K24" s="678"/>
      <c r="L24" s="678"/>
      <c r="M24" s="678"/>
      <c r="N24" s="678"/>
      <c r="O24" s="678"/>
      <c r="P24" s="678"/>
      <c r="Q24" s="678"/>
      <c r="R24" s="171"/>
      <c r="S24" s="62"/>
      <c r="T24" s="62"/>
      <c r="U24" s="62"/>
      <c r="V24" s="62"/>
    </row>
    <row r="25" spans="1:22" s="1" customFormat="1" x14ac:dyDescent="0.3">
      <c r="A25" s="465">
        <v>510</v>
      </c>
      <c r="B25" s="536" t="s">
        <v>567</v>
      </c>
      <c r="C25" s="466"/>
      <c r="D25" s="678"/>
      <c r="E25" s="699"/>
      <c r="F25" s="678"/>
      <c r="G25" s="678"/>
      <c r="H25" s="678"/>
      <c r="I25" s="669"/>
      <c r="J25" s="678"/>
      <c r="K25" s="696"/>
      <c r="L25" s="696"/>
      <c r="M25" s="678"/>
      <c r="N25" s="678"/>
      <c r="O25" s="678"/>
      <c r="P25" s="696"/>
      <c r="Q25" s="678"/>
      <c r="R25" s="171"/>
      <c r="S25" s="62">
        <f t="shared" ref="S25:S31" si="2">SUM(J25:Q25)</f>
        <v>0</v>
      </c>
      <c r="T25" s="62">
        <f t="shared" ref="T25:T31" si="3">H25-S25</f>
        <v>0</v>
      </c>
      <c r="U25" s="62"/>
      <c r="V25" s="62"/>
    </row>
    <row r="26" spans="1:22" s="1" customFormat="1" x14ac:dyDescent="0.3">
      <c r="A26" s="465">
        <v>511</v>
      </c>
      <c r="B26" s="536" t="s">
        <v>569</v>
      </c>
      <c r="C26" s="466"/>
      <c r="D26" s="678"/>
      <c r="E26" s="699"/>
      <c r="F26" s="678"/>
      <c r="G26" s="678"/>
      <c r="H26" s="678"/>
      <c r="I26" s="669"/>
      <c r="J26" s="678"/>
      <c r="K26" s="696"/>
      <c r="L26" s="696"/>
      <c r="M26" s="678"/>
      <c r="N26" s="678"/>
      <c r="O26" s="678"/>
      <c r="P26" s="696"/>
      <c r="Q26" s="678"/>
      <c r="R26" s="171"/>
      <c r="S26" s="62">
        <f t="shared" si="2"/>
        <v>0</v>
      </c>
      <c r="T26" s="62">
        <f t="shared" si="3"/>
        <v>0</v>
      </c>
      <c r="U26" s="62"/>
      <c r="V26" s="62"/>
    </row>
    <row r="27" spans="1:22" s="1" customFormat="1" x14ac:dyDescent="0.3">
      <c r="A27" s="465">
        <v>512</v>
      </c>
      <c r="B27" s="465" t="s">
        <v>571</v>
      </c>
      <c r="C27" s="461"/>
      <c r="D27" s="678"/>
      <c r="E27" s="699"/>
      <c r="F27" s="678"/>
      <c r="G27" s="678"/>
      <c r="H27" s="678"/>
      <c r="I27" s="669"/>
      <c r="J27" s="678"/>
      <c r="K27" s="696"/>
      <c r="L27" s="696"/>
      <c r="M27" s="678"/>
      <c r="N27" s="678"/>
      <c r="O27" s="678"/>
      <c r="P27" s="696"/>
      <c r="Q27" s="678"/>
      <c r="R27" s="171"/>
      <c r="S27" s="62">
        <f t="shared" si="2"/>
        <v>0</v>
      </c>
      <c r="T27" s="62">
        <f t="shared" si="3"/>
        <v>0</v>
      </c>
      <c r="U27" s="62"/>
      <c r="V27" s="62"/>
    </row>
    <row r="28" spans="1:22" s="1" customFormat="1" x14ac:dyDescent="0.3">
      <c r="A28" s="465">
        <v>513</v>
      </c>
      <c r="B28" s="465" t="s">
        <v>573</v>
      </c>
      <c r="C28" s="461"/>
      <c r="D28" s="678"/>
      <c r="E28" s="699"/>
      <c r="F28" s="678"/>
      <c r="G28" s="678"/>
      <c r="H28" s="678"/>
      <c r="I28" s="669"/>
      <c r="J28" s="678"/>
      <c r="K28" s="696"/>
      <c r="L28" s="696"/>
      <c r="M28" s="678"/>
      <c r="N28" s="678"/>
      <c r="O28" s="678"/>
      <c r="P28" s="696"/>
      <c r="Q28" s="678"/>
      <c r="R28" s="171"/>
      <c r="S28" s="62">
        <f t="shared" si="2"/>
        <v>0</v>
      </c>
      <c r="T28" s="62">
        <f t="shared" si="3"/>
        <v>0</v>
      </c>
      <c r="U28" s="62"/>
      <c r="V28" s="62"/>
    </row>
    <row r="29" spans="1:22" s="1" customFormat="1" x14ac:dyDescent="0.3">
      <c r="A29" s="465">
        <v>514</v>
      </c>
      <c r="B29" s="465" t="s">
        <v>575</v>
      </c>
      <c r="C29" s="461"/>
      <c r="D29" s="678"/>
      <c r="E29" s="702"/>
      <c r="F29" s="678"/>
      <c r="G29" s="678"/>
      <c r="H29" s="678"/>
      <c r="I29" s="669"/>
      <c r="J29" s="678"/>
      <c r="K29" s="696"/>
      <c r="L29" s="696"/>
      <c r="M29" s="678"/>
      <c r="N29" s="678"/>
      <c r="O29" s="678"/>
      <c r="P29" s="696"/>
      <c r="Q29" s="678"/>
      <c r="R29" s="171"/>
      <c r="S29" s="62">
        <f t="shared" si="2"/>
        <v>0</v>
      </c>
      <c r="T29" s="62">
        <f t="shared" si="3"/>
        <v>0</v>
      </c>
      <c r="U29" s="62"/>
      <c r="V29" s="62"/>
    </row>
    <row r="30" spans="1:22" s="1" customFormat="1" ht="14.5" x14ac:dyDescent="0.45">
      <c r="A30" s="465">
        <v>516</v>
      </c>
      <c r="B30" s="465" t="s">
        <v>1195</v>
      </c>
      <c r="C30" s="461"/>
      <c r="D30" s="681"/>
      <c r="E30" s="702"/>
      <c r="F30" s="678"/>
      <c r="G30" s="678"/>
      <c r="H30" s="678"/>
      <c r="I30" s="669"/>
      <c r="J30" s="681"/>
      <c r="K30" s="700"/>
      <c r="L30" s="700"/>
      <c r="M30" s="678"/>
      <c r="N30" s="678"/>
      <c r="O30" s="678"/>
      <c r="P30" s="700"/>
      <c r="Q30" s="678"/>
      <c r="R30" s="171"/>
      <c r="S30" s="62">
        <f t="shared" si="2"/>
        <v>0</v>
      </c>
      <c r="T30" s="62">
        <f t="shared" si="3"/>
        <v>0</v>
      </c>
      <c r="U30" s="62"/>
      <c r="V30" s="62"/>
    </row>
    <row r="31" spans="1:22" s="1" customFormat="1" x14ac:dyDescent="0.3">
      <c r="A31" s="461"/>
      <c r="B31" s="474" t="s">
        <v>524</v>
      </c>
      <c r="C31" s="474"/>
      <c r="D31" s="678"/>
      <c r="E31" s="703"/>
      <c r="F31" s="678"/>
      <c r="G31" s="678"/>
      <c r="H31" s="678"/>
      <c r="I31" s="678"/>
      <c r="J31" s="678"/>
      <c r="K31" s="678"/>
      <c r="L31" s="678"/>
      <c r="M31" s="678"/>
      <c r="N31" s="678"/>
      <c r="O31" s="678"/>
      <c r="P31" s="678"/>
      <c r="Q31" s="678"/>
      <c r="R31" s="171"/>
      <c r="S31" s="62">
        <f t="shared" si="2"/>
        <v>0</v>
      </c>
      <c r="T31" s="62">
        <f t="shared" si="3"/>
        <v>0</v>
      </c>
      <c r="U31" s="62"/>
      <c r="V31" s="62"/>
    </row>
    <row r="32" spans="1:22" s="1" customFormat="1" x14ac:dyDescent="0.3">
      <c r="A32" s="461"/>
      <c r="B32" s="474"/>
      <c r="C32" s="474"/>
      <c r="D32" s="678"/>
      <c r="E32" s="703"/>
      <c r="F32" s="703"/>
      <c r="G32" s="678"/>
      <c r="H32" s="678"/>
      <c r="I32" s="677"/>
      <c r="J32" s="678"/>
      <c r="K32" s="678"/>
      <c r="L32" s="678"/>
      <c r="M32" s="678"/>
      <c r="N32" s="678"/>
      <c r="O32" s="678"/>
      <c r="P32" s="678"/>
      <c r="Q32" s="678"/>
      <c r="R32" s="171"/>
      <c r="S32" s="62"/>
      <c r="T32" s="62"/>
      <c r="U32" s="62"/>
      <c r="V32" s="62"/>
    </row>
    <row r="33" spans="1:22" s="1" customFormat="1" x14ac:dyDescent="0.3">
      <c r="A33" s="461">
        <v>515</v>
      </c>
      <c r="B33" s="461" t="s">
        <v>577</v>
      </c>
      <c r="C33" s="461"/>
      <c r="D33" s="678"/>
      <c r="E33" s="699"/>
      <c r="F33" s="678"/>
      <c r="G33" s="678"/>
      <c r="H33" s="678"/>
      <c r="I33" s="678"/>
      <c r="J33" s="678"/>
      <c r="K33" s="678"/>
      <c r="L33" s="678"/>
      <c r="M33" s="678"/>
      <c r="N33" s="678"/>
      <c r="O33" s="678"/>
      <c r="P33" s="696"/>
      <c r="Q33" s="678"/>
      <c r="R33" s="171"/>
      <c r="S33" s="62">
        <f>SUM(J33:Q33)</f>
        <v>0</v>
      </c>
      <c r="T33" s="62">
        <f>H33-S33</f>
        <v>0</v>
      </c>
      <c r="U33" s="62"/>
      <c r="V33" s="62"/>
    </row>
    <row r="34" spans="1:22" s="1" customFormat="1" x14ac:dyDescent="0.3">
      <c r="A34" s="461"/>
      <c r="B34" s="461"/>
      <c r="C34" s="461"/>
      <c r="D34" s="678"/>
      <c r="E34" s="699"/>
      <c r="F34" s="678"/>
      <c r="G34" s="678"/>
      <c r="H34" s="678"/>
      <c r="I34" s="678"/>
      <c r="J34" s="678"/>
      <c r="K34" s="678"/>
      <c r="L34" s="678"/>
      <c r="M34" s="678"/>
      <c r="N34" s="678"/>
      <c r="O34" s="678"/>
      <c r="P34" s="678"/>
      <c r="Q34" s="678"/>
      <c r="R34" s="171"/>
      <c r="S34" s="62"/>
      <c r="T34" s="62"/>
      <c r="U34" s="62"/>
      <c r="V34" s="62"/>
    </row>
    <row r="35" spans="1:22" s="1" customFormat="1" x14ac:dyDescent="0.3">
      <c r="A35" s="461"/>
      <c r="B35" s="463" t="s">
        <v>578</v>
      </c>
      <c r="C35" s="463"/>
      <c r="D35" s="678"/>
      <c r="E35" s="677"/>
      <c r="F35" s="677"/>
      <c r="G35" s="678"/>
      <c r="H35" s="678"/>
      <c r="I35" s="677"/>
      <c r="J35" s="678"/>
      <c r="K35" s="678"/>
      <c r="L35" s="678"/>
      <c r="M35" s="678"/>
      <c r="N35" s="678"/>
      <c r="O35" s="678"/>
      <c r="P35" s="678"/>
      <c r="Q35" s="678"/>
      <c r="R35" s="171"/>
      <c r="S35" s="62"/>
      <c r="T35" s="62"/>
      <c r="U35" s="62"/>
      <c r="V35" s="62"/>
    </row>
    <row r="36" spans="1:22" s="1" customFormat="1" x14ac:dyDescent="0.3">
      <c r="A36" s="461"/>
      <c r="B36" s="464" t="s">
        <v>549</v>
      </c>
      <c r="C36" s="464"/>
      <c r="D36" s="678"/>
      <c r="E36" s="677"/>
      <c r="F36" s="677"/>
      <c r="G36" s="678"/>
      <c r="H36" s="678"/>
      <c r="I36" s="677"/>
      <c r="J36" s="678"/>
      <c r="K36" s="678"/>
      <c r="L36" s="678"/>
      <c r="M36" s="678"/>
      <c r="N36" s="678"/>
      <c r="O36" s="678"/>
      <c r="P36" s="678"/>
      <c r="Q36" s="678"/>
      <c r="R36" s="171"/>
      <c r="S36" s="62"/>
      <c r="T36" s="62"/>
      <c r="U36" s="62"/>
      <c r="V36" s="62"/>
    </row>
    <row r="37" spans="1:22" s="1" customFormat="1" x14ac:dyDescent="0.3">
      <c r="A37" s="461">
        <v>517</v>
      </c>
      <c r="B37" s="461" t="s">
        <v>580</v>
      </c>
      <c r="C37" s="461"/>
      <c r="D37" s="678"/>
      <c r="E37" s="699"/>
      <c r="F37" s="699"/>
      <c r="G37" s="678"/>
      <c r="H37" s="678"/>
      <c r="I37" s="703"/>
      <c r="J37" s="678"/>
      <c r="K37" s="696"/>
      <c r="L37" s="696"/>
      <c r="M37" s="678"/>
      <c r="N37" s="678"/>
      <c r="O37" s="678"/>
      <c r="P37" s="696"/>
      <c r="Q37" s="678"/>
      <c r="R37" s="171"/>
      <c r="S37" s="62">
        <f t="shared" ref="S37:S44" si="4">SUM(J37:Q37)</f>
        <v>0</v>
      </c>
      <c r="T37" s="62">
        <f t="shared" ref="T37:T44" si="5">H37-S37</f>
        <v>0</v>
      </c>
      <c r="U37" s="62"/>
      <c r="V37" s="62"/>
    </row>
    <row r="38" spans="1:22" s="1" customFormat="1" x14ac:dyDescent="0.3">
      <c r="A38" s="461">
        <v>518</v>
      </c>
      <c r="B38" s="461" t="s">
        <v>582</v>
      </c>
      <c r="C38" s="461"/>
      <c r="D38" s="678"/>
      <c r="E38" s="699"/>
      <c r="F38" s="699"/>
      <c r="G38" s="678"/>
      <c r="H38" s="678"/>
      <c r="I38" s="703"/>
      <c r="J38" s="678"/>
      <c r="K38" s="696"/>
      <c r="L38" s="696"/>
      <c r="M38" s="678"/>
      <c r="N38" s="678"/>
      <c r="O38" s="678"/>
      <c r="P38" s="696"/>
      <c r="Q38" s="678"/>
      <c r="R38" s="171"/>
      <c r="S38" s="62">
        <f t="shared" si="4"/>
        <v>0</v>
      </c>
      <c r="T38" s="62">
        <f t="shared" si="5"/>
        <v>0</v>
      </c>
      <c r="U38" s="62"/>
      <c r="V38" s="62"/>
    </row>
    <row r="39" spans="1:22" s="1" customFormat="1" x14ac:dyDescent="0.3">
      <c r="A39" s="461">
        <v>519</v>
      </c>
      <c r="B39" s="461" t="s">
        <v>584</v>
      </c>
      <c r="C39" s="461"/>
      <c r="D39" s="678"/>
      <c r="E39" s="699"/>
      <c r="F39" s="699"/>
      <c r="G39" s="678"/>
      <c r="H39" s="678"/>
      <c r="I39" s="703"/>
      <c r="J39" s="678"/>
      <c r="K39" s="696"/>
      <c r="L39" s="696"/>
      <c r="M39" s="678"/>
      <c r="N39" s="678"/>
      <c r="O39" s="678"/>
      <c r="P39" s="696"/>
      <c r="Q39" s="678"/>
      <c r="R39" s="171"/>
      <c r="S39" s="62">
        <f t="shared" si="4"/>
        <v>0</v>
      </c>
      <c r="T39" s="62">
        <f t="shared" si="5"/>
        <v>0</v>
      </c>
      <c r="U39" s="62"/>
      <c r="V39" s="62"/>
    </row>
    <row r="40" spans="1:22" s="1" customFormat="1" x14ac:dyDescent="0.3">
      <c r="A40" s="461">
        <v>520</v>
      </c>
      <c r="B40" s="461" t="s">
        <v>556</v>
      </c>
      <c r="C40" s="461"/>
      <c r="D40" s="678"/>
      <c r="E40" s="699"/>
      <c r="F40" s="699"/>
      <c r="G40" s="678"/>
      <c r="H40" s="678"/>
      <c r="I40" s="703"/>
      <c r="J40" s="678"/>
      <c r="K40" s="696"/>
      <c r="L40" s="696"/>
      <c r="M40" s="678"/>
      <c r="N40" s="678"/>
      <c r="O40" s="678"/>
      <c r="P40" s="696"/>
      <c r="Q40" s="678"/>
      <c r="R40" s="171"/>
      <c r="S40" s="62">
        <f t="shared" si="4"/>
        <v>0</v>
      </c>
      <c r="T40" s="62">
        <f t="shared" si="5"/>
        <v>0</v>
      </c>
      <c r="U40" s="62"/>
      <c r="V40" s="62"/>
    </row>
    <row r="41" spans="1:22" s="1" customFormat="1" x14ac:dyDescent="0.3">
      <c r="A41" s="461">
        <v>523</v>
      </c>
      <c r="B41" s="466" t="s">
        <v>587</v>
      </c>
      <c r="C41" s="466"/>
      <c r="D41" s="678"/>
      <c r="E41" s="699"/>
      <c r="F41" s="699"/>
      <c r="G41" s="678"/>
      <c r="H41" s="678"/>
      <c r="I41" s="703"/>
      <c r="J41" s="678"/>
      <c r="K41" s="696"/>
      <c r="L41" s="696"/>
      <c r="M41" s="678"/>
      <c r="N41" s="678"/>
      <c r="O41" s="678"/>
      <c r="P41" s="696"/>
      <c r="Q41" s="678"/>
      <c r="R41" s="171"/>
      <c r="S41" s="62">
        <f t="shared" si="4"/>
        <v>0</v>
      </c>
      <c r="T41" s="62">
        <f t="shared" si="5"/>
        <v>0</v>
      </c>
      <c r="U41" s="62"/>
      <c r="V41" s="62"/>
    </row>
    <row r="42" spans="1:22" s="1" customFormat="1" x14ac:dyDescent="0.3">
      <c r="A42" s="461">
        <v>524</v>
      </c>
      <c r="B42" s="461" t="s">
        <v>589</v>
      </c>
      <c r="C42" s="461"/>
      <c r="D42" s="678"/>
      <c r="E42" s="699"/>
      <c r="F42" s="699"/>
      <c r="G42" s="678"/>
      <c r="H42" s="678"/>
      <c r="I42" s="703"/>
      <c r="J42" s="678"/>
      <c r="K42" s="696"/>
      <c r="L42" s="696"/>
      <c r="M42" s="678"/>
      <c r="N42" s="678"/>
      <c r="O42" s="678"/>
      <c r="P42" s="696"/>
      <c r="Q42" s="678"/>
      <c r="R42" s="171"/>
      <c r="S42" s="62">
        <f t="shared" si="4"/>
        <v>0</v>
      </c>
      <c r="T42" s="62">
        <f t="shared" si="5"/>
        <v>0</v>
      </c>
      <c r="U42" s="62"/>
      <c r="V42" s="62"/>
    </row>
    <row r="43" spans="1:22" s="1" customFormat="1" ht="14.5" x14ac:dyDescent="0.45">
      <c r="A43" s="461">
        <v>525</v>
      </c>
      <c r="B43" s="461" t="s">
        <v>591</v>
      </c>
      <c r="C43" s="461"/>
      <c r="D43" s="681"/>
      <c r="E43" s="704"/>
      <c r="F43" s="681"/>
      <c r="G43" s="681"/>
      <c r="H43" s="681"/>
      <c r="I43" s="681"/>
      <c r="J43" s="681"/>
      <c r="K43" s="681"/>
      <c r="L43" s="681"/>
      <c r="M43" s="681"/>
      <c r="N43" s="681"/>
      <c r="O43" s="681"/>
      <c r="P43" s="681"/>
      <c r="Q43" s="681"/>
      <c r="R43" s="171"/>
      <c r="S43" s="62">
        <f t="shared" si="4"/>
        <v>0</v>
      </c>
      <c r="T43" s="62">
        <f t="shared" si="5"/>
        <v>0</v>
      </c>
      <c r="U43" s="62"/>
      <c r="V43" s="62"/>
    </row>
    <row r="44" spans="1:22" s="1" customFormat="1" x14ac:dyDescent="0.3">
      <c r="A44" s="461"/>
      <c r="B44" s="474" t="s">
        <v>524</v>
      </c>
      <c r="C44" s="474"/>
      <c r="D44" s="678"/>
      <c r="E44" s="703"/>
      <c r="F44" s="678"/>
      <c r="G44" s="678"/>
      <c r="H44" s="678"/>
      <c r="I44" s="678"/>
      <c r="J44" s="678"/>
      <c r="K44" s="678"/>
      <c r="L44" s="678"/>
      <c r="M44" s="678"/>
      <c r="N44" s="678"/>
      <c r="O44" s="678"/>
      <c r="P44" s="678"/>
      <c r="Q44" s="678"/>
      <c r="R44" s="171"/>
      <c r="S44" s="62">
        <f t="shared" si="4"/>
        <v>0</v>
      </c>
      <c r="T44" s="62">
        <f t="shared" si="5"/>
        <v>0</v>
      </c>
      <c r="U44" s="62"/>
      <c r="V44" s="62"/>
    </row>
    <row r="45" spans="1:22" s="1" customFormat="1" x14ac:dyDescent="0.3">
      <c r="A45" s="461"/>
      <c r="B45" s="461"/>
      <c r="C45" s="461"/>
      <c r="D45" s="678"/>
      <c r="E45" s="677"/>
      <c r="F45" s="677"/>
      <c r="G45" s="678"/>
      <c r="H45" s="678"/>
      <c r="I45" s="677"/>
      <c r="J45" s="678"/>
      <c r="K45" s="678"/>
      <c r="L45" s="678"/>
      <c r="M45" s="678"/>
      <c r="N45" s="678"/>
      <c r="O45" s="678"/>
      <c r="P45" s="678"/>
      <c r="Q45" s="678"/>
      <c r="R45" s="171"/>
      <c r="S45" s="62"/>
      <c r="T45" s="62"/>
      <c r="U45" s="62"/>
      <c r="V45" s="62"/>
    </row>
    <row r="46" spans="1:22" s="1" customFormat="1" x14ac:dyDescent="0.3">
      <c r="A46" s="461"/>
      <c r="B46" s="464" t="s">
        <v>565</v>
      </c>
      <c r="C46" s="464"/>
      <c r="D46" s="678"/>
      <c r="E46" s="677"/>
      <c r="F46" s="677"/>
      <c r="G46" s="678"/>
      <c r="H46" s="678"/>
      <c r="I46" s="677"/>
      <c r="J46" s="678"/>
      <c r="K46" s="678"/>
      <c r="L46" s="678"/>
      <c r="M46" s="678"/>
      <c r="N46" s="678"/>
      <c r="O46" s="678"/>
      <c r="P46" s="678"/>
      <c r="Q46" s="678"/>
      <c r="R46" s="171"/>
      <c r="S46" s="62"/>
      <c r="T46" s="62"/>
      <c r="U46" s="62"/>
      <c r="V46" s="62"/>
    </row>
    <row r="47" spans="1:22" s="1" customFormat="1" x14ac:dyDescent="0.3">
      <c r="A47" s="461">
        <v>528</v>
      </c>
      <c r="B47" s="461" t="s">
        <v>593</v>
      </c>
      <c r="C47" s="461"/>
      <c r="D47" s="678"/>
      <c r="E47" s="703"/>
      <c r="F47" s="703"/>
      <c r="G47" s="678"/>
      <c r="H47" s="678"/>
      <c r="I47" s="703"/>
      <c r="J47" s="678"/>
      <c r="K47" s="696"/>
      <c r="L47" s="696"/>
      <c r="M47" s="678"/>
      <c r="N47" s="678"/>
      <c r="O47" s="678"/>
      <c r="P47" s="696"/>
      <c r="Q47" s="678"/>
      <c r="R47" s="171"/>
      <c r="S47" s="62">
        <f t="shared" ref="S47:S52" si="6">SUM(J47:Q47)</f>
        <v>0</v>
      </c>
      <c r="T47" s="62">
        <f t="shared" ref="T47:T52" si="7">H47-S47</f>
        <v>0</v>
      </c>
      <c r="U47" s="62"/>
      <c r="V47" s="62"/>
    </row>
    <row r="48" spans="1:22" s="1" customFormat="1" x14ac:dyDescent="0.3">
      <c r="A48" s="461">
        <v>529</v>
      </c>
      <c r="B48" s="461" t="s">
        <v>569</v>
      </c>
      <c r="C48" s="461"/>
      <c r="D48" s="678"/>
      <c r="E48" s="703"/>
      <c r="F48" s="703"/>
      <c r="G48" s="678"/>
      <c r="H48" s="678"/>
      <c r="I48" s="703"/>
      <c r="J48" s="678"/>
      <c r="K48" s="696"/>
      <c r="L48" s="696"/>
      <c r="M48" s="678"/>
      <c r="N48" s="678"/>
      <c r="O48" s="678"/>
      <c r="P48" s="696"/>
      <c r="Q48" s="678"/>
      <c r="R48" s="171"/>
      <c r="S48" s="62">
        <f t="shared" si="6"/>
        <v>0</v>
      </c>
      <c r="T48" s="62">
        <f t="shared" si="7"/>
        <v>0</v>
      </c>
      <c r="U48" s="62"/>
      <c r="V48" s="62"/>
    </row>
    <row r="49" spans="1:22" s="1" customFormat="1" x14ac:dyDescent="0.3">
      <c r="A49" s="461">
        <v>530</v>
      </c>
      <c r="B49" s="461" t="s">
        <v>596</v>
      </c>
      <c r="C49" s="461"/>
      <c r="D49" s="678"/>
      <c r="E49" s="703"/>
      <c r="F49" s="703"/>
      <c r="G49" s="678"/>
      <c r="H49" s="678"/>
      <c r="I49" s="703"/>
      <c r="J49" s="678"/>
      <c r="K49" s="696"/>
      <c r="L49" s="696"/>
      <c r="M49" s="678"/>
      <c r="N49" s="678"/>
      <c r="O49" s="678"/>
      <c r="P49" s="696"/>
      <c r="Q49" s="678"/>
      <c r="R49" s="171"/>
      <c r="S49" s="62">
        <f t="shared" si="6"/>
        <v>0</v>
      </c>
      <c r="T49" s="62">
        <f t="shared" si="7"/>
        <v>0</v>
      </c>
      <c r="U49" s="62"/>
      <c r="V49" s="62"/>
    </row>
    <row r="50" spans="1:22" s="1" customFormat="1" x14ac:dyDescent="0.3">
      <c r="A50" s="461">
        <v>531</v>
      </c>
      <c r="B50" s="461" t="s">
        <v>573</v>
      </c>
      <c r="C50" s="461"/>
      <c r="D50" s="678"/>
      <c r="E50" s="703"/>
      <c r="F50" s="703"/>
      <c r="G50" s="678"/>
      <c r="H50" s="678"/>
      <c r="I50" s="703"/>
      <c r="J50" s="678"/>
      <c r="K50" s="696"/>
      <c r="L50" s="696"/>
      <c r="M50" s="678"/>
      <c r="N50" s="678"/>
      <c r="O50" s="678"/>
      <c r="P50" s="696"/>
      <c r="Q50" s="678"/>
      <c r="R50" s="171"/>
      <c r="S50" s="62">
        <f t="shared" si="6"/>
        <v>0</v>
      </c>
      <c r="T50" s="62">
        <f t="shared" si="7"/>
        <v>0</v>
      </c>
      <c r="U50" s="62"/>
      <c r="V50" s="62"/>
    </row>
    <row r="51" spans="1:22" s="1" customFormat="1" ht="14.5" x14ac:dyDescent="0.45">
      <c r="A51" s="461">
        <v>532</v>
      </c>
      <c r="B51" s="461" t="s">
        <v>599</v>
      </c>
      <c r="C51" s="461"/>
      <c r="D51" s="681"/>
      <c r="E51" s="704"/>
      <c r="F51" s="704"/>
      <c r="G51" s="678"/>
      <c r="H51" s="682"/>
      <c r="I51" s="704"/>
      <c r="J51" s="681"/>
      <c r="K51" s="700"/>
      <c r="L51" s="700"/>
      <c r="M51" s="678"/>
      <c r="N51" s="678"/>
      <c r="O51" s="678"/>
      <c r="P51" s="700"/>
      <c r="Q51" s="678"/>
      <c r="R51" s="171"/>
      <c r="S51" s="62">
        <f t="shared" si="6"/>
        <v>0</v>
      </c>
      <c r="T51" s="62">
        <f t="shared" si="7"/>
        <v>0</v>
      </c>
      <c r="U51" s="62"/>
      <c r="V51" s="62"/>
    </row>
    <row r="52" spans="1:22" s="1" customFormat="1" x14ac:dyDescent="0.3">
      <c r="A52" s="461"/>
      <c r="B52" s="474" t="s">
        <v>524</v>
      </c>
      <c r="C52" s="474"/>
      <c r="D52" s="678"/>
      <c r="E52" s="703"/>
      <c r="F52" s="678"/>
      <c r="G52" s="678"/>
      <c r="H52" s="678"/>
      <c r="I52" s="678"/>
      <c r="J52" s="678"/>
      <c r="K52" s="678"/>
      <c r="L52" s="678"/>
      <c r="M52" s="678"/>
      <c r="N52" s="678"/>
      <c r="O52" s="678"/>
      <c r="P52" s="678"/>
      <c r="Q52" s="678"/>
      <c r="R52" s="171"/>
      <c r="S52" s="62">
        <f t="shared" si="6"/>
        <v>0</v>
      </c>
      <c r="T52" s="62">
        <f t="shared" si="7"/>
        <v>0</v>
      </c>
      <c r="U52" s="62"/>
      <c r="V52" s="62"/>
    </row>
    <row r="53" spans="1:22" s="1" customFormat="1" x14ac:dyDescent="0.3">
      <c r="A53" s="461"/>
      <c r="B53" s="461"/>
      <c r="C53" s="461"/>
      <c r="D53" s="678"/>
      <c r="E53" s="677"/>
      <c r="F53" s="677"/>
      <c r="G53" s="678"/>
      <c r="H53" s="678"/>
      <c r="I53" s="677"/>
      <c r="J53" s="678"/>
      <c r="K53" s="678"/>
      <c r="L53" s="678"/>
      <c r="M53" s="678"/>
      <c r="N53" s="678"/>
      <c r="O53" s="678"/>
      <c r="P53" s="678"/>
      <c r="Q53" s="678"/>
      <c r="R53" s="171"/>
      <c r="S53" s="62"/>
      <c r="T53" s="62"/>
      <c r="U53" s="62"/>
      <c r="V53" s="62"/>
    </row>
    <row r="54" spans="1:22" s="1" customFormat="1" x14ac:dyDescent="0.3">
      <c r="A54" s="461"/>
      <c r="B54" s="477" t="s">
        <v>1327</v>
      </c>
      <c r="C54" s="477"/>
      <c r="D54" s="678"/>
      <c r="E54" s="677"/>
      <c r="F54" s="677"/>
      <c r="G54" s="678"/>
      <c r="H54" s="678"/>
      <c r="I54" s="677"/>
      <c r="J54" s="678"/>
      <c r="K54" s="678"/>
      <c r="L54" s="678"/>
      <c r="M54" s="678"/>
      <c r="N54" s="678"/>
      <c r="O54" s="678"/>
      <c r="P54" s="678"/>
      <c r="Q54" s="678"/>
      <c r="R54" s="171"/>
      <c r="S54" s="62"/>
      <c r="T54" s="62"/>
      <c r="U54" s="62"/>
      <c r="V54" s="62"/>
    </row>
    <row r="55" spans="1:22" s="1" customFormat="1" x14ac:dyDescent="0.3">
      <c r="A55" s="461"/>
      <c r="B55" s="464" t="s">
        <v>549</v>
      </c>
      <c r="C55" s="464"/>
      <c r="D55" s="678"/>
      <c r="E55" s="677"/>
      <c r="F55" s="677"/>
      <c r="G55" s="678"/>
      <c r="H55" s="678"/>
      <c r="I55" s="677"/>
      <c r="J55" s="678"/>
      <c r="K55" s="678"/>
      <c r="L55" s="678"/>
      <c r="M55" s="678"/>
      <c r="N55" s="678"/>
      <c r="O55" s="678"/>
      <c r="P55" s="678"/>
      <c r="Q55" s="678"/>
      <c r="R55" s="171"/>
      <c r="S55" s="62"/>
      <c r="T55" s="62"/>
      <c r="U55" s="62"/>
      <c r="V55" s="62"/>
    </row>
    <row r="56" spans="1:22" s="1" customFormat="1" x14ac:dyDescent="0.3">
      <c r="A56" s="461">
        <v>535</v>
      </c>
      <c r="B56" s="461" t="s">
        <v>580</v>
      </c>
      <c r="C56" s="461"/>
      <c r="D56" s="678"/>
      <c r="E56" s="678"/>
      <c r="F56" s="678"/>
      <c r="G56" s="678"/>
      <c r="H56" s="678"/>
      <c r="I56" s="677"/>
      <c r="J56" s="696"/>
      <c r="K56" s="696"/>
      <c r="L56" s="696"/>
      <c r="M56" s="678"/>
      <c r="N56" s="678"/>
      <c r="O56" s="678"/>
      <c r="P56" s="696"/>
      <c r="Q56" s="678"/>
      <c r="R56" s="171"/>
      <c r="S56" s="62">
        <f t="shared" ref="S56:S62" si="8">SUM(J56:Q56)</f>
        <v>0</v>
      </c>
      <c r="T56" s="62">
        <f t="shared" ref="T56:T62" si="9">H56-S56</f>
        <v>0</v>
      </c>
      <c r="U56" s="62"/>
      <c r="V56" s="62"/>
    </row>
    <row r="57" spans="1:22" s="1" customFormat="1" x14ac:dyDescent="0.3">
      <c r="A57" s="461">
        <v>536</v>
      </c>
      <c r="B57" s="466" t="s">
        <v>602</v>
      </c>
      <c r="C57" s="466"/>
      <c r="D57" s="678"/>
      <c r="E57" s="678"/>
      <c r="F57" s="678"/>
      <c r="G57" s="678"/>
      <c r="H57" s="678"/>
      <c r="I57" s="677"/>
      <c r="J57" s="696"/>
      <c r="K57" s="696"/>
      <c r="L57" s="696"/>
      <c r="M57" s="678"/>
      <c r="N57" s="678"/>
      <c r="O57" s="678"/>
      <c r="P57" s="696"/>
      <c r="Q57" s="678"/>
      <c r="R57" s="171"/>
      <c r="S57" s="62">
        <f t="shared" si="8"/>
        <v>0</v>
      </c>
      <c r="T57" s="62">
        <f t="shared" si="9"/>
        <v>0</v>
      </c>
      <c r="U57" s="62"/>
      <c r="V57" s="62"/>
    </row>
    <row r="58" spans="1:22" s="1" customFormat="1" x14ac:dyDescent="0.3">
      <c r="A58" s="461">
        <v>537</v>
      </c>
      <c r="B58" s="461" t="s">
        <v>1328</v>
      </c>
      <c r="C58" s="461"/>
      <c r="D58" s="678"/>
      <c r="E58" s="678"/>
      <c r="F58" s="678"/>
      <c r="G58" s="678"/>
      <c r="H58" s="678"/>
      <c r="I58" s="677"/>
      <c r="J58" s="696"/>
      <c r="K58" s="696"/>
      <c r="L58" s="696"/>
      <c r="M58" s="678"/>
      <c r="N58" s="678"/>
      <c r="O58" s="678"/>
      <c r="P58" s="696"/>
      <c r="Q58" s="678"/>
      <c r="R58" s="171"/>
      <c r="S58" s="62">
        <f t="shared" si="8"/>
        <v>0</v>
      </c>
      <c r="T58" s="62">
        <f t="shared" si="9"/>
        <v>0</v>
      </c>
      <c r="U58" s="62"/>
      <c r="V58" s="62"/>
    </row>
    <row r="59" spans="1:22" s="1" customFormat="1" x14ac:dyDescent="0.3">
      <c r="A59" s="461">
        <v>538</v>
      </c>
      <c r="B59" s="461" t="s">
        <v>560</v>
      </c>
      <c r="C59" s="461"/>
      <c r="D59" s="678"/>
      <c r="E59" s="678"/>
      <c r="F59" s="678"/>
      <c r="G59" s="678"/>
      <c r="H59" s="678"/>
      <c r="I59" s="677"/>
      <c r="J59" s="696"/>
      <c r="K59" s="696"/>
      <c r="L59" s="696"/>
      <c r="M59" s="678"/>
      <c r="N59" s="678"/>
      <c r="O59" s="678"/>
      <c r="P59" s="696"/>
      <c r="Q59" s="678"/>
      <c r="R59" s="171"/>
      <c r="S59" s="62">
        <f t="shared" si="8"/>
        <v>0</v>
      </c>
      <c r="T59" s="62">
        <f t="shared" si="9"/>
        <v>0</v>
      </c>
      <c r="U59" s="62"/>
      <c r="V59" s="62"/>
    </row>
    <row r="60" spans="1:22" s="1" customFormat="1" x14ac:dyDescent="0.3">
      <c r="A60" s="461">
        <v>539</v>
      </c>
      <c r="B60" s="466" t="s">
        <v>1329</v>
      </c>
      <c r="C60" s="466"/>
      <c r="D60" s="678"/>
      <c r="E60" s="678"/>
      <c r="F60" s="678"/>
      <c r="G60" s="678"/>
      <c r="H60" s="678"/>
      <c r="I60" s="677"/>
      <c r="J60" s="696"/>
      <c r="K60" s="696"/>
      <c r="L60" s="696"/>
      <c r="M60" s="678"/>
      <c r="N60" s="678"/>
      <c r="O60" s="678"/>
      <c r="P60" s="696"/>
      <c r="Q60" s="678"/>
      <c r="R60" s="171"/>
      <c r="S60" s="62">
        <f t="shared" si="8"/>
        <v>0</v>
      </c>
      <c r="T60" s="62">
        <f t="shared" si="9"/>
        <v>0</v>
      </c>
      <c r="U60" s="62"/>
      <c r="V60" s="62"/>
    </row>
    <row r="61" spans="1:22" s="1" customFormat="1" ht="14.5" x14ac:dyDescent="0.45">
      <c r="A61" s="461">
        <v>540</v>
      </c>
      <c r="B61" s="461" t="s">
        <v>564</v>
      </c>
      <c r="C61" s="461"/>
      <c r="D61" s="681"/>
      <c r="E61" s="678"/>
      <c r="F61" s="678"/>
      <c r="G61" s="678"/>
      <c r="H61" s="678"/>
      <c r="I61" s="677"/>
      <c r="J61" s="700"/>
      <c r="K61" s="700"/>
      <c r="L61" s="700"/>
      <c r="M61" s="678"/>
      <c r="N61" s="678"/>
      <c r="O61" s="678"/>
      <c r="P61" s="696"/>
      <c r="Q61" s="678"/>
      <c r="R61" s="171"/>
      <c r="S61" s="62">
        <f t="shared" si="8"/>
        <v>0</v>
      </c>
      <c r="T61" s="62">
        <f t="shared" si="9"/>
        <v>0</v>
      </c>
      <c r="U61" s="62"/>
      <c r="V61" s="62"/>
    </row>
    <row r="62" spans="1:22" s="1" customFormat="1" x14ac:dyDescent="0.3">
      <c r="A62" s="466"/>
      <c r="B62" s="474" t="s">
        <v>524</v>
      </c>
      <c r="C62" s="474"/>
      <c r="D62" s="678"/>
      <c r="E62" s="678"/>
      <c r="F62" s="678"/>
      <c r="G62" s="678"/>
      <c r="H62" s="678"/>
      <c r="I62" s="677"/>
      <c r="J62" s="678"/>
      <c r="K62" s="678"/>
      <c r="L62" s="678"/>
      <c r="M62" s="678"/>
      <c r="N62" s="678"/>
      <c r="O62" s="678"/>
      <c r="P62" s="678"/>
      <c r="Q62" s="678"/>
      <c r="R62" s="171"/>
      <c r="S62" s="62">
        <f t="shared" si="8"/>
        <v>0</v>
      </c>
      <c r="T62" s="62">
        <f t="shared" si="9"/>
        <v>0</v>
      </c>
      <c r="U62" s="62"/>
      <c r="V62" s="62"/>
    </row>
    <row r="63" spans="1:22" s="1" customFormat="1" x14ac:dyDescent="0.3">
      <c r="A63" s="461"/>
      <c r="B63" s="474"/>
      <c r="C63" s="474"/>
      <c r="D63" s="678"/>
      <c r="E63" s="677"/>
      <c r="F63" s="677"/>
      <c r="G63" s="678"/>
      <c r="H63" s="678"/>
      <c r="I63" s="677"/>
      <c r="J63" s="678"/>
      <c r="K63" s="678"/>
      <c r="L63" s="678"/>
      <c r="M63" s="678"/>
      <c r="N63" s="678"/>
      <c r="O63" s="678"/>
      <c r="P63" s="678"/>
      <c r="Q63" s="678"/>
      <c r="R63" s="171"/>
      <c r="S63" s="62"/>
      <c r="T63" s="62"/>
      <c r="U63" s="62"/>
      <c r="V63" s="62"/>
    </row>
    <row r="64" spans="1:22" s="1" customFormat="1" x14ac:dyDescent="0.3">
      <c r="A64" s="461"/>
      <c r="B64" s="464" t="s">
        <v>565</v>
      </c>
      <c r="C64" s="464"/>
      <c r="D64" s="678"/>
      <c r="E64" s="677"/>
      <c r="F64" s="677"/>
      <c r="G64" s="678"/>
      <c r="H64" s="678"/>
      <c r="I64" s="677"/>
      <c r="J64" s="678"/>
      <c r="K64" s="678"/>
      <c r="L64" s="678"/>
      <c r="M64" s="678"/>
      <c r="N64" s="678"/>
      <c r="O64" s="678"/>
      <c r="P64" s="678"/>
      <c r="Q64" s="678"/>
      <c r="R64" s="171"/>
      <c r="S64" s="62"/>
      <c r="T64" s="62"/>
      <c r="U64" s="62"/>
      <c r="V64" s="62"/>
    </row>
    <row r="65" spans="1:22" s="1" customFormat="1" x14ac:dyDescent="0.3">
      <c r="A65" s="461">
        <v>541</v>
      </c>
      <c r="B65" s="461" t="s">
        <v>593</v>
      </c>
      <c r="C65" s="461"/>
      <c r="D65" s="678"/>
      <c r="E65" s="678"/>
      <c r="F65" s="678"/>
      <c r="G65" s="678"/>
      <c r="H65" s="678"/>
      <c r="I65" s="677"/>
      <c r="J65" s="696"/>
      <c r="K65" s="696"/>
      <c r="L65" s="696"/>
      <c r="M65" s="678"/>
      <c r="N65" s="678"/>
      <c r="O65" s="678"/>
      <c r="P65" s="696"/>
      <c r="Q65" s="678"/>
      <c r="R65" s="171"/>
      <c r="S65" s="62">
        <f t="shared" ref="S65:S70" si="10">SUM(J65:Q65)</f>
        <v>0</v>
      </c>
      <c r="T65" s="62">
        <f t="shared" ref="T65:T70" si="11">H65-S65</f>
        <v>0</v>
      </c>
      <c r="U65" s="62"/>
      <c r="V65" s="62"/>
    </row>
    <row r="66" spans="1:22" s="1" customFormat="1" x14ac:dyDescent="0.3">
      <c r="A66" s="461">
        <v>542</v>
      </c>
      <c r="B66" s="461" t="s">
        <v>569</v>
      </c>
      <c r="C66" s="461"/>
      <c r="D66" s="678"/>
      <c r="E66" s="678"/>
      <c r="F66" s="678"/>
      <c r="G66" s="678"/>
      <c r="H66" s="678"/>
      <c r="I66" s="677"/>
      <c r="J66" s="696"/>
      <c r="K66" s="696"/>
      <c r="L66" s="696"/>
      <c r="M66" s="678"/>
      <c r="N66" s="678"/>
      <c r="O66" s="678"/>
      <c r="P66" s="696"/>
      <c r="Q66" s="678"/>
      <c r="R66" s="171"/>
      <c r="S66" s="62">
        <f t="shared" si="10"/>
        <v>0</v>
      </c>
      <c r="T66" s="62">
        <f t="shared" si="11"/>
        <v>0</v>
      </c>
      <c r="U66" s="62"/>
      <c r="V66" s="62"/>
    </row>
    <row r="67" spans="1:22" s="1" customFormat="1" x14ac:dyDescent="0.3">
      <c r="A67" s="461">
        <v>543</v>
      </c>
      <c r="B67" s="466" t="s">
        <v>610</v>
      </c>
      <c r="C67" s="466"/>
      <c r="D67" s="678"/>
      <c r="E67" s="678"/>
      <c r="F67" s="678"/>
      <c r="G67" s="678"/>
      <c r="H67" s="678"/>
      <c r="I67" s="677"/>
      <c r="J67" s="696"/>
      <c r="K67" s="696"/>
      <c r="L67" s="696"/>
      <c r="M67" s="678"/>
      <c r="N67" s="678"/>
      <c r="O67" s="678"/>
      <c r="P67" s="696"/>
      <c r="Q67" s="678"/>
      <c r="R67" s="171"/>
      <c r="S67" s="62">
        <f t="shared" si="10"/>
        <v>0</v>
      </c>
      <c r="T67" s="62">
        <f t="shared" si="11"/>
        <v>0</v>
      </c>
      <c r="U67" s="62"/>
      <c r="V67" s="62"/>
    </row>
    <row r="68" spans="1:22" s="1" customFormat="1" x14ac:dyDescent="0.3">
      <c r="A68" s="461">
        <v>544</v>
      </c>
      <c r="B68" s="461" t="s">
        <v>573</v>
      </c>
      <c r="C68" s="461"/>
      <c r="D68" s="678"/>
      <c r="E68" s="678"/>
      <c r="F68" s="678"/>
      <c r="G68" s="678"/>
      <c r="H68" s="678"/>
      <c r="I68" s="677"/>
      <c r="J68" s="696"/>
      <c r="K68" s="696"/>
      <c r="L68" s="696"/>
      <c r="M68" s="678"/>
      <c r="N68" s="678"/>
      <c r="O68" s="678"/>
      <c r="P68" s="696"/>
      <c r="Q68" s="678"/>
      <c r="R68" s="171"/>
      <c r="S68" s="62">
        <f t="shared" si="10"/>
        <v>0</v>
      </c>
      <c r="T68" s="62">
        <f t="shared" si="11"/>
        <v>0</v>
      </c>
      <c r="U68" s="62"/>
      <c r="V68" s="62"/>
    </row>
    <row r="69" spans="1:22" s="1" customFormat="1" ht="14.5" x14ac:dyDescent="0.45">
      <c r="A69" s="461">
        <v>545</v>
      </c>
      <c r="B69" s="466" t="s">
        <v>1330</v>
      </c>
      <c r="C69" s="466"/>
      <c r="D69" s="681"/>
      <c r="E69" s="678"/>
      <c r="F69" s="678"/>
      <c r="G69" s="678"/>
      <c r="H69" s="678"/>
      <c r="I69" s="677"/>
      <c r="J69" s="700"/>
      <c r="K69" s="700"/>
      <c r="L69" s="700"/>
      <c r="M69" s="678"/>
      <c r="N69" s="678"/>
      <c r="O69" s="678"/>
      <c r="P69" s="700"/>
      <c r="Q69" s="678"/>
      <c r="R69" s="171"/>
      <c r="S69" s="62">
        <f t="shared" si="10"/>
        <v>0</v>
      </c>
      <c r="T69" s="62">
        <f t="shared" si="11"/>
        <v>0</v>
      </c>
      <c r="U69" s="62"/>
      <c r="V69" s="62"/>
    </row>
    <row r="70" spans="1:22" s="1" customFormat="1" x14ac:dyDescent="0.3">
      <c r="A70" s="461"/>
      <c r="B70" s="474" t="s">
        <v>524</v>
      </c>
      <c r="C70" s="474"/>
      <c r="D70" s="678"/>
      <c r="E70" s="669"/>
      <c r="F70" s="669"/>
      <c r="G70" s="678"/>
      <c r="H70" s="678"/>
      <c r="I70" s="677"/>
      <c r="J70" s="678"/>
      <c r="K70" s="678"/>
      <c r="L70" s="678"/>
      <c r="M70" s="678"/>
      <c r="N70" s="678"/>
      <c r="O70" s="678"/>
      <c r="P70" s="678"/>
      <c r="Q70" s="678"/>
      <c r="R70" s="171"/>
      <c r="S70" s="62">
        <f t="shared" si="10"/>
        <v>0</v>
      </c>
      <c r="T70" s="62">
        <f t="shared" si="11"/>
        <v>0</v>
      </c>
      <c r="U70" s="62"/>
      <c r="V70" s="62"/>
    </row>
    <row r="71" spans="1:22" s="1" customFormat="1" x14ac:dyDescent="0.3">
      <c r="A71" s="461"/>
      <c r="B71" s="461"/>
      <c r="C71" s="461"/>
      <c r="D71" s="678"/>
      <c r="E71" s="677"/>
      <c r="F71" s="677"/>
      <c r="G71" s="678"/>
      <c r="H71" s="678"/>
      <c r="I71" s="677"/>
      <c r="J71" s="678"/>
      <c r="K71" s="678"/>
      <c r="L71" s="678"/>
      <c r="M71" s="678"/>
      <c r="N71" s="678"/>
      <c r="O71" s="678"/>
      <c r="P71" s="678"/>
      <c r="Q71" s="678"/>
      <c r="R71" s="171"/>
      <c r="S71" s="62"/>
      <c r="T71" s="62"/>
      <c r="U71" s="62"/>
      <c r="V71" s="62"/>
    </row>
    <row r="72" spans="1:22" s="1" customFormat="1" x14ac:dyDescent="0.3">
      <c r="A72" s="461"/>
      <c r="B72" s="477" t="s">
        <v>613</v>
      </c>
      <c r="C72" s="477"/>
      <c r="D72" s="678"/>
      <c r="E72" s="677"/>
      <c r="F72" s="677"/>
      <c r="G72" s="678"/>
      <c r="H72" s="678"/>
      <c r="I72" s="677"/>
      <c r="J72" s="678"/>
      <c r="K72" s="678"/>
      <c r="L72" s="678"/>
      <c r="M72" s="678"/>
      <c r="N72" s="678"/>
      <c r="O72" s="678"/>
      <c r="P72" s="678"/>
      <c r="Q72" s="678"/>
      <c r="R72" s="171"/>
      <c r="S72" s="62"/>
      <c r="T72" s="62"/>
      <c r="U72" s="62"/>
      <c r="V72" s="62"/>
    </row>
    <row r="73" spans="1:22" s="1" customFormat="1" x14ac:dyDescent="0.3">
      <c r="A73" s="461"/>
      <c r="B73" s="464" t="s">
        <v>549</v>
      </c>
      <c r="C73" s="464"/>
      <c r="D73" s="678"/>
      <c r="E73" s="677"/>
      <c r="F73" s="677"/>
      <c r="G73" s="678"/>
      <c r="H73" s="678"/>
      <c r="I73" s="677"/>
      <c r="J73" s="678"/>
      <c r="K73" s="678"/>
      <c r="L73" s="678"/>
      <c r="M73" s="678"/>
      <c r="N73" s="678"/>
      <c r="O73" s="678"/>
      <c r="P73" s="678"/>
      <c r="Q73" s="678"/>
      <c r="R73" s="171"/>
      <c r="S73" s="62">
        <f t="shared" ref="S73:S79" si="12">SUM(J73:Q73)</f>
        <v>0</v>
      </c>
      <c r="T73" s="62">
        <f t="shared" ref="T73:T79" si="13">H73-S73</f>
        <v>0</v>
      </c>
      <c r="U73" s="62"/>
      <c r="V73" s="62"/>
    </row>
    <row r="74" spans="1:22" s="1" customFormat="1" x14ac:dyDescent="0.3">
      <c r="A74" s="465">
        <v>546</v>
      </c>
      <c r="B74" s="465" t="s">
        <v>615</v>
      </c>
      <c r="C74" s="461"/>
      <c r="D74" s="678"/>
      <c r="E74" s="678"/>
      <c r="F74" s="678"/>
      <c r="G74" s="678"/>
      <c r="H74" s="678"/>
      <c r="I74" s="677"/>
      <c r="J74" s="678"/>
      <c r="K74" s="696"/>
      <c r="L74" s="696"/>
      <c r="M74" s="678"/>
      <c r="N74" s="678"/>
      <c r="O74" s="678"/>
      <c r="P74" s="696"/>
      <c r="Q74" s="678"/>
      <c r="R74" s="171"/>
      <c r="S74" s="62">
        <f t="shared" si="12"/>
        <v>0</v>
      </c>
      <c r="T74" s="62">
        <f t="shared" si="13"/>
        <v>0</v>
      </c>
      <c r="U74" s="62"/>
      <c r="V74" s="62"/>
    </row>
    <row r="75" spans="1:22" s="1" customFormat="1" x14ac:dyDescent="0.3">
      <c r="A75" s="465">
        <v>547</v>
      </c>
      <c r="B75" s="465" t="s">
        <v>617</v>
      </c>
      <c r="C75" s="461"/>
      <c r="D75" s="678"/>
      <c r="E75" s="678"/>
      <c r="F75" s="678"/>
      <c r="G75" s="678"/>
      <c r="H75" s="678"/>
      <c r="I75" s="678"/>
      <c r="J75" s="678"/>
      <c r="K75" s="696"/>
      <c r="L75" s="696"/>
      <c r="M75" s="678"/>
      <c r="N75" s="678"/>
      <c r="O75" s="678"/>
      <c r="P75" s="696"/>
      <c r="Q75" s="678"/>
      <c r="R75" s="171"/>
      <c r="S75" s="62">
        <f t="shared" ref="S75" si="14">SUM(J75:Q75)</f>
        <v>0</v>
      </c>
      <c r="T75" s="62">
        <f t="shared" ref="T75" si="15">H75-S75</f>
        <v>0</v>
      </c>
      <c r="U75" s="62"/>
      <c r="V75" s="62"/>
    </row>
    <row r="76" spans="1:22" s="1" customFormat="1" x14ac:dyDescent="0.3">
      <c r="A76" s="465">
        <v>548</v>
      </c>
      <c r="B76" s="465" t="s">
        <v>1196</v>
      </c>
      <c r="C76" s="461"/>
      <c r="D76" s="678"/>
      <c r="E76" s="678"/>
      <c r="F76" s="678"/>
      <c r="G76" s="678"/>
      <c r="H76" s="678"/>
      <c r="I76" s="677"/>
      <c r="J76" s="678"/>
      <c r="K76" s="696"/>
      <c r="L76" s="696"/>
      <c r="M76" s="678"/>
      <c r="N76" s="678"/>
      <c r="O76" s="678"/>
      <c r="P76" s="696"/>
      <c r="Q76" s="678"/>
      <c r="R76" s="171"/>
      <c r="S76" s="62">
        <f t="shared" si="12"/>
        <v>0</v>
      </c>
      <c r="T76" s="62">
        <f t="shared" si="13"/>
        <v>0</v>
      </c>
      <c r="U76" s="62"/>
      <c r="V76" s="62"/>
    </row>
    <row r="77" spans="1:22" s="1" customFormat="1" x14ac:dyDescent="0.3">
      <c r="A77" s="465">
        <v>549</v>
      </c>
      <c r="B77" s="465" t="s">
        <v>619</v>
      </c>
      <c r="C77" s="461"/>
      <c r="D77" s="678"/>
      <c r="E77" s="678"/>
      <c r="F77" s="678"/>
      <c r="G77" s="678"/>
      <c r="H77" s="678"/>
      <c r="I77" s="677"/>
      <c r="J77" s="678"/>
      <c r="K77" s="696"/>
      <c r="L77" s="696"/>
      <c r="M77" s="678"/>
      <c r="N77" s="678"/>
      <c r="O77" s="678"/>
      <c r="P77" s="696"/>
      <c r="Q77" s="678"/>
      <c r="R77" s="171"/>
      <c r="S77" s="62">
        <f t="shared" si="12"/>
        <v>0</v>
      </c>
      <c r="T77" s="62">
        <f t="shared" si="13"/>
        <v>0</v>
      </c>
      <c r="U77" s="62"/>
      <c r="V77" s="62"/>
    </row>
    <row r="78" spans="1:22" s="1" customFormat="1" ht="14.5" x14ac:dyDescent="0.45">
      <c r="A78" s="465">
        <v>550</v>
      </c>
      <c r="B78" s="465" t="s">
        <v>564</v>
      </c>
      <c r="C78" s="461"/>
      <c r="D78" s="681"/>
      <c r="E78" s="678"/>
      <c r="F78" s="682"/>
      <c r="G78" s="678"/>
      <c r="H78" s="682"/>
      <c r="I78" s="682"/>
      <c r="J78" s="681"/>
      <c r="K78" s="700"/>
      <c r="L78" s="700"/>
      <c r="M78" s="678"/>
      <c r="N78" s="678"/>
      <c r="O78" s="678"/>
      <c r="P78" s="700"/>
      <c r="Q78" s="678"/>
      <c r="R78" s="171"/>
      <c r="S78" s="62">
        <f t="shared" si="12"/>
        <v>0</v>
      </c>
      <c r="T78" s="62">
        <f t="shared" si="13"/>
        <v>0</v>
      </c>
      <c r="U78" s="62"/>
      <c r="V78" s="62"/>
    </row>
    <row r="79" spans="1:22" s="1" customFormat="1" x14ac:dyDescent="0.3">
      <c r="A79" s="461"/>
      <c r="B79" s="474" t="s">
        <v>524</v>
      </c>
      <c r="C79" s="474"/>
      <c r="D79" s="678"/>
      <c r="E79" s="669"/>
      <c r="F79" s="669"/>
      <c r="G79" s="678"/>
      <c r="H79" s="678"/>
      <c r="I79" s="677"/>
      <c r="J79" s="678"/>
      <c r="K79" s="678"/>
      <c r="L79" s="678"/>
      <c r="M79" s="678"/>
      <c r="N79" s="678"/>
      <c r="O79" s="678"/>
      <c r="P79" s="678"/>
      <c r="Q79" s="678"/>
      <c r="R79" s="171"/>
      <c r="S79" s="62">
        <f t="shared" si="12"/>
        <v>0</v>
      </c>
      <c r="T79" s="62">
        <f t="shared" si="13"/>
        <v>0</v>
      </c>
      <c r="U79" s="62"/>
      <c r="V79" s="62"/>
    </row>
    <row r="80" spans="1:22" s="1" customFormat="1" x14ac:dyDescent="0.3">
      <c r="A80" s="461"/>
      <c r="B80" s="461"/>
      <c r="C80" s="461"/>
      <c r="D80" s="678"/>
      <c r="E80" s="677"/>
      <c r="F80" s="677"/>
      <c r="G80" s="678"/>
      <c r="H80" s="678"/>
      <c r="I80" s="677"/>
      <c r="J80" s="678"/>
      <c r="K80" s="678"/>
      <c r="L80" s="678"/>
      <c r="M80" s="678"/>
      <c r="N80" s="678"/>
      <c r="O80" s="678"/>
      <c r="P80" s="678"/>
      <c r="Q80" s="678"/>
      <c r="R80" s="171"/>
      <c r="S80" s="62"/>
      <c r="T80" s="62"/>
      <c r="U80" s="62"/>
      <c r="V80" s="62"/>
    </row>
    <row r="81" spans="1:22" s="1" customFormat="1" x14ac:dyDescent="0.3">
      <c r="A81" s="461"/>
      <c r="B81" s="464" t="s">
        <v>565</v>
      </c>
      <c r="C81" s="464"/>
      <c r="D81" s="678"/>
      <c r="E81" s="677"/>
      <c r="F81" s="677"/>
      <c r="G81" s="678"/>
      <c r="H81" s="678"/>
      <c r="I81" s="677"/>
      <c r="J81" s="678"/>
      <c r="K81" s="678"/>
      <c r="L81" s="678"/>
      <c r="M81" s="678"/>
      <c r="N81" s="678"/>
      <c r="O81" s="678"/>
      <c r="P81" s="678"/>
      <c r="Q81" s="678"/>
      <c r="R81" s="171"/>
      <c r="S81" s="62"/>
      <c r="T81" s="62"/>
      <c r="U81" s="62"/>
      <c r="V81" s="62"/>
    </row>
    <row r="82" spans="1:22" s="1" customFormat="1" x14ac:dyDescent="0.3">
      <c r="A82" s="461">
        <v>551</v>
      </c>
      <c r="B82" s="461" t="s">
        <v>622</v>
      </c>
      <c r="C82" s="461"/>
      <c r="D82" s="678"/>
      <c r="E82" s="669"/>
      <c r="F82" s="669"/>
      <c r="G82" s="678"/>
      <c r="H82" s="678"/>
      <c r="I82" s="677"/>
      <c r="J82" s="678"/>
      <c r="K82" s="696"/>
      <c r="L82" s="696"/>
      <c r="M82" s="678"/>
      <c r="N82" s="678"/>
      <c r="O82" s="678"/>
      <c r="P82" s="696"/>
      <c r="Q82" s="678"/>
      <c r="R82" s="171"/>
      <c r="S82" s="62">
        <f>SUM(J82:Q82)</f>
        <v>0</v>
      </c>
      <c r="T82" s="62">
        <f>H82-S82</f>
        <v>0</v>
      </c>
      <c r="U82" s="62"/>
      <c r="V82" s="62"/>
    </row>
    <row r="83" spans="1:22" s="1" customFormat="1" x14ac:dyDescent="0.3">
      <c r="A83" s="461">
        <v>552</v>
      </c>
      <c r="B83" s="466" t="s">
        <v>624</v>
      </c>
      <c r="C83" s="466"/>
      <c r="D83" s="678"/>
      <c r="E83" s="669"/>
      <c r="F83" s="669"/>
      <c r="G83" s="678"/>
      <c r="H83" s="678"/>
      <c r="I83" s="677"/>
      <c r="J83" s="678"/>
      <c r="K83" s="696"/>
      <c r="L83" s="696"/>
      <c r="M83" s="678"/>
      <c r="N83" s="678"/>
      <c r="O83" s="678"/>
      <c r="P83" s="696"/>
      <c r="Q83" s="678"/>
      <c r="R83" s="171"/>
      <c r="S83" s="62">
        <f>SUM(J83:Q83)</f>
        <v>0</v>
      </c>
      <c r="T83" s="62">
        <f>H83-S83</f>
        <v>0</v>
      </c>
      <c r="U83" s="62"/>
      <c r="V83" s="62"/>
    </row>
    <row r="84" spans="1:22" s="1" customFormat="1" x14ac:dyDescent="0.3">
      <c r="A84" s="461">
        <v>553</v>
      </c>
      <c r="B84" s="461" t="s">
        <v>626</v>
      </c>
      <c r="C84" s="461"/>
      <c r="D84" s="678"/>
      <c r="E84" s="669"/>
      <c r="F84" s="669"/>
      <c r="G84" s="678"/>
      <c r="H84" s="678"/>
      <c r="I84" s="677"/>
      <c r="J84" s="678"/>
      <c r="K84" s="696"/>
      <c r="L84" s="696"/>
      <c r="M84" s="678"/>
      <c r="N84" s="678"/>
      <c r="O84" s="678"/>
      <c r="P84" s="696"/>
      <c r="Q84" s="678"/>
      <c r="R84" s="171"/>
      <c r="S84" s="62">
        <f>SUM(J84:Q84)</f>
        <v>0</v>
      </c>
      <c r="T84" s="62">
        <f>H84-S84</f>
        <v>0</v>
      </c>
      <c r="U84" s="62"/>
      <c r="V84" s="62"/>
    </row>
    <row r="85" spans="1:22" s="1" customFormat="1" ht="14.5" x14ac:dyDescent="0.45">
      <c r="A85" s="461">
        <v>554</v>
      </c>
      <c r="B85" s="461" t="s">
        <v>628</v>
      </c>
      <c r="C85" s="461"/>
      <c r="D85" s="681"/>
      <c r="E85" s="669"/>
      <c r="F85" s="683"/>
      <c r="G85" s="678"/>
      <c r="H85" s="682"/>
      <c r="I85" s="712"/>
      <c r="J85" s="681"/>
      <c r="K85" s="700"/>
      <c r="L85" s="700"/>
      <c r="M85" s="678"/>
      <c r="N85" s="678"/>
      <c r="O85" s="678"/>
      <c r="P85" s="700"/>
      <c r="Q85" s="678"/>
      <c r="R85" s="171"/>
      <c r="S85" s="62">
        <f>SUM(J85:Q85)</f>
        <v>0</v>
      </c>
      <c r="T85" s="62">
        <f>H85-S85</f>
        <v>0</v>
      </c>
      <c r="U85" s="62"/>
      <c r="V85" s="62"/>
    </row>
    <row r="86" spans="1:22" s="1" customFormat="1" x14ac:dyDescent="0.3">
      <c r="A86" s="461"/>
      <c r="B86" s="474" t="s">
        <v>524</v>
      </c>
      <c r="C86" s="474"/>
      <c r="D86" s="678"/>
      <c r="E86" s="669"/>
      <c r="F86" s="669"/>
      <c r="G86" s="678"/>
      <c r="H86" s="678"/>
      <c r="I86" s="677"/>
      <c r="J86" s="678"/>
      <c r="K86" s="678"/>
      <c r="L86" s="678"/>
      <c r="M86" s="678"/>
      <c r="N86" s="678"/>
      <c r="O86" s="678"/>
      <c r="P86" s="678"/>
      <c r="Q86" s="678"/>
      <c r="R86" s="171"/>
      <c r="S86" s="62">
        <f>SUM(J86:Q86)</f>
        <v>0</v>
      </c>
      <c r="T86" s="62">
        <f>H86-S86</f>
        <v>0</v>
      </c>
      <c r="U86" s="62"/>
      <c r="V86" s="62"/>
    </row>
    <row r="87" spans="1:22" s="1" customFormat="1" x14ac:dyDescent="0.3">
      <c r="A87" s="461"/>
      <c r="B87" s="461"/>
      <c r="C87" s="461"/>
      <c r="D87" s="678"/>
      <c r="E87" s="677"/>
      <c r="F87" s="677"/>
      <c r="G87" s="678"/>
      <c r="H87" s="678"/>
      <c r="I87" s="677"/>
      <c r="J87" s="678"/>
      <c r="K87" s="678"/>
      <c r="L87" s="678"/>
      <c r="M87" s="678"/>
      <c r="N87" s="678"/>
      <c r="O87" s="678"/>
      <c r="P87" s="678"/>
      <c r="Q87" s="678"/>
      <c r="R87" s="171"/>
      <c r="S87" s="62"/>
      <c r="T87" s="62"/>
      <c r="U87" s="62"/>
      <c r="V87" s="62"/>
    </row>
    <row r="88" spans="1:22" s="1" customFormat="1" x14ac:dyDescent="0.3">
      <c r="A88" s="461"/>
      <c r="B88" s="477" t="s">
        <v>629</v>
      </c>
      <c r="C88" s="477"/>
      <c r="D88" s="678"/>
      <c r="E88" s="677"/>
      <c r="F88" s="677"/>
      <c r="G88" s="678"/>
      <c r="H88" s="678"/>
      <c r="I88" s="677"/>
      <c r="J88" s="678"/>
      <c r="K88" s="678"/>
      <c r="L88" s="678"/>
      <c r="M88" s="678"/>
      <c r="N88" s="678"/>
      <c r="O88" s="678"/>
      <c r="P88" s="678"/>
      <c r="Q88" s="678"/>
      <c r="R88" s="171"/>
      <c r="S88" s="62"/>
      <c r="T88" s="62"/>
      <c r="U88" s="62"/>
      <c r="V88" s="62"/>
    </row>
    <row r="89" spans="1:22" s="1" customFormat="1" x14ac:dyDescent="0.3">
      <c r="A89" s="465">
        <v>555</v>
      </c>
      <c r="B89" s="465" t="s">
        <v>631</v>
      </c>
      <c r="C89" s="461"/>
      <c r="D89" s="678"/>
      <c r="E89" s="678"/>
      <c r="F89" s="703"/>
      <c r="G89" s="678"/>
      <c r="H89" s="678"/>
      <c r="I89" s="669"/>
      <c r="J89" s="678"/>
      <c r="K89" s="696"/>
      <c r="L89" s="678"/>
      <c r="M89" s="678"/>
      <c r="N89" s="678"/>
      <c r="O89" s="678"/>
      <c r="P89" s="696"/>
      <c r="Q89" s="678"/>
      <c r="R89" s="171"/>
      <c r="S89" s="62">
        <f t="shared" ref="S89:S92" si="16">SUM(J89:Q89)</f>
        <v>0</v>
      </c>
      <c r="T89" s="62">
        <f t="shared" ref="T89:T92" si="17">H89-S89</f>
        <v>0</v>
      </c>
      <c r="U89" s="62"/>
      <c r="V89" s="62"/>
    </row>
    <row r="90" spans="1:22" s="1" customFormat="1" x14ac:dyDescent="0.3">
      <c r="A90" s="465"/>
      <c r="B90" s="465" t="s">
        <v>632</v>
      </c>
      <c r="C90" s="461"/>
      <c r="D90" s="678"/>
      <c r="E90" s="677"/>
      <c r="F90" s="703"/>
      <c r="G90" s="678"/>
      <c r="H90" s="678"/>
      <c r="I90" s="669"/>
      <c r="J90" s="678"/>
      <c r="K90" s="696"/>
      <c r="L90" s="678"/>
      <c r="M90" s="678"/>
      <c r="N90" s="678"/>
      <c r="O90" s="678"/>
      <c r="P90" s="678"/>
      <c r="Q90" s="678"/>
      <c r="R90" s="171"/>
      <c r="S90" s="62">
        <f t="shared" si="16"/>
        <v>0</v>
      </c>
      <c r="T90" s="62">
        <f t="shared" si="17"/>
        <v>0</v>
      </c>
      <c r="U90" s="62"/>
      <c r="V90" s="62"/>
    </row>
    <row r="91" spans="1:22" s="1" customFormat="1" x14ac:dyDescent="0.3">
      <c r="A91" s="465"/>
      <c r="B91" s="465" t="s">
        <v>633</v>
      </c>
      <c r="C91" s="461"/>
      <c r="D91" s="678"/>
      <c r="E91" s="677"/>
      <c r="F91" s="703"/>
      <c r="G91" s="678"/>
      <c r="H91" s="678"/>
      <c r="I91" s="669"/>
      <c r="J91" s="678"/>
      <c r="K91" s="696"/>
      <c r="L91" s="678"/>
      <c r="M91" s="678"/>
      <c r="N91" s="678"/>
      <c r="O91" s="678"/>
      <c r="P91" s="678"/>
      <c r="Q91" s="678"/>
      <c r="R91" s="171"/>
      <c r="S91" s="62">
        <f t="shared" si="16"/>
        <v>0</v>
      </c>
      <c r="T91" s="62">
        <f t="shared" si="17"/>
        <v>0</v>
      </c>
      <c r="U91" s="62"/>
      <c r="V91" s="62"/>
    </row>
    <row r="92" spans="1:22" s="1" customFormat="1" ht="14.5" x14ac:dyDescent="0.45">
      <c r="A92" s="465"/>
      <c r="B92" s="465" t="s">
        <v>634</v>
      </c>
      <c r="C92" s="461"/>
      <c r="D92" s="678"/>
      <c r="E92" s="677"/>
      <c r="F92" s="703"/>
      <c r="G92" s="678"/>
      <c r="H92" s="678"/>
      <c r="I92" s="669"/>
      <c r="J92" s="678"/>
      <c r="K92" s="696"/>
      <c r="L92" s="678"/>
      <c r="M92" s="678"/>
      <c r="N92" s="678"/>
      <c r="O92" s="678"/>
      <c r="P92" s="681"/>
      <c r="Q92" s="678"/>
      <c r="R92" s="171"/>
      <c r="S92" s="62">
        <f t="shared" si="16"/>
        <v>0</v>
      </c>
      <c r="T92" s="62">
        <f t="shared" si="17"/>
        <v>0</v>
      </c>
      <c r="U92" s="62"/>
      <c r="V92" s="62"/>
    </row>
    <row r="93" spans="1:22" x14ac:dyDescent="0.3">
      <c r="A93" s="465">
        <v>555</v>
      </c>
      <c r="B93" s="538" t="s">
        <v>524</v>
      </c>
      <c r="C93" s="474"/>
      <c r="D93" s="678"/>
      <c r="E93" s="703"/>
      <c r="F93" s="678"/>
      <c r="G93" s="678"/>
      <c r="H93" s="678"/>
      <c r="I93" s="678"/>
      <c r="J93" s="678"/>
      <c r="K93" s="678"/>
      <c r="L93" s="678"/>
      <c r="M93" s="678"/>
      <c r="N93" s="678"/>
      <c r="O93" s="678"/>
      <c r="P93" s="678"/>
      <c r="Q93" s="678"/>
      <c r="R93" s="171"/>
      <c r="S93" s="62">
        <f>SUM(J93:Q93)</f>
        <v>0</v>
      </c>
      <c r="T93" s="62">
        <f>H93-S93</f>
        <v>0</v>
      </c>
      <c r="U93" s="62"/>
      <c r="V93" s="62"/>
    </row>
    <row r="94" spans="1:22" x14ac:dyDescent="0.3">
      <c r="A94" s="465">
        <v>556</v>
      </c>
      <c r="B94" s="465" t="s">
        <v>636</v>
      </c>
      <c r="C94" s="461"/>
      <c r="D94" s="678"/>
      <c r="E94" s="703"/>
      <c r="F94" s="703"/>
      <c r="G94" s="678"/>
      <c r="H94" s="678"/>
      <c r="I94" s="669"/>
      <c r="J94" s="678"/>
      <c r="K94" s="696"/>
      <c r="L94" s="696"/>
      <c r="M94" s="678"/>
      <c r="N94" s="678"/>
      <c r="O94" s="678"/>
      <c r="P94" s="696"/>
      <c r="Q94" s="678"/>
      <c r="R94" s="171"/>
      <c r="S94" s="62">
        <f>SUM(J94:Q94)</f>
        <v>0</v>
      </c>
      <c r="T94" s="62">
        <f>H94-S94</f>
        <v>0</v>
      </c>
      <c r="U94" s="62"/>
      <c r="V94" s="62"/>
    </row>
    <row r="95" spans="1:22" x14ac:dyDescent="0.3">
      <c r="A95" s="465">
        <v>557</v>
      </c>
      <c r="B95" s="465" t="s">
        <v>1180</v>
      </c>
      <c r="C95" s="461"/>
      <c r="D95" s="678"/>
      <c r="E95" s="704"/>
      <c r="F95" s="703"/>
      <c r="G95" s="678"/>
      <c r="H95" s="678"/>
      <c r="I95" s="669"/>
      <c r="J95" s="678"/>
      <c r="K95" s="696"/>
      <c r="L95" s="696"/>
      <c r="M95" s="678"/>
      <c r="N95" s="678"/>
      <c r="O95" s="678"/>
      <c r="P95" s="696"/>
      <c r="Q95" s="678"/>
      <c r="R95" s="171"/>
      <c r="S95" s="62">
        <f>SUM(J95:Q95)</f>
        <v>0</v>
      </c>
      <c r="T95" s="62">
        <f>H95-S95</f>
        <v>0</v>
      </c>
      <c r="U95" s="62"/>
      <c r="V95" s="62"/>
    </row>
    <row r="96" spans="1:22" ht="14.5" x14ac:dyDescent="0.45">
      <c r="A96" s="465">
        <v>557</v>
      </c>
      <c r="B96" s="465" t="s">
        <v>1181</v>
      </c>
      <c r="C96" s="461"/>
      <c r="D96" s="681"/>
      <c r="E96" s="704"/>
      <c r="F96" s="704"/>
      <c r="G96" s="682"/>
      <c r="H96" s="682"/>
      <c r="I96" s="683"/>
      <c r="J96" s="681"/>
      <c r="K96" s="700"/>
      <c r="L96" s="700"/>
      <c r="M96" s="678"/>
      <c r="N96" s="678"/>
      <c r="O96" s="678"/>
      <c r="P96" s="700"/>
      <c r="Q96" s="678"/>
      <c r="R96" s="171"/>
      <c r="S96" s="62"/>
      <c r="T96" s="62"/>
      <c r="U96" s="62"/>
      <c r="V96" s="62"/>
    </row>
    <row r="97" spans="1:22" x14ac:dyDescent="0.3">
      <c r="A97" s="465"/>
      <c r="B97" s="538" t="s">
        <v>639</v>
      </c>
      <c r="C97" s="474"/>
      <c r="D97" s="678"/>
      <c r="E97" s="678"/>
      <c r="F97" s="678"/>
      <c r="G97" s="678"/>
      <c r="H97" s="678"/>
      <c r="I97" s="678"/>
      <c r="J97" s="678"/>
      <c r="K97" s="678"/>
      <c r="L97" s="678"/>
      <c r="M97" s="678"/>
      <c r="N97" s="678"/>
      <c r="O97" s="678"/>
      <c r="P97" s="678"/>
      <c r="Q97" s="678"/>
      <c r="R97" s="171"/>
      <c r="S97" s="62">
        <f>SUM(J97:Q97)</f>
        <v>0</v>
      </c>
      <c r="T97" s="62">
        <f>H97-S97</f>
        <v>0</v>
      </c>
      <c r="U97" s="62"/>
      <c r="V97" s="62"/>
    </row>
    <row r="98" spans="1:22" s="1" customFormat="1" x14ac:dyDescent="0.3">
      <c r="A98" s="461"/>
      <c r="B98" s="461"/>
      <c r="C98" s="461"/>
      <c r="D98" s="171"/>
      <c r="E98" s="62"/>
      <c r="F98" s="62"/>
      <c r="G98" s="171"/>
      <c r="H98" s="171"/>
      <c r="I98" s="62"/>
      <c r="J98" s="171"/>
      <c r="K98" s="171"/>
      <c r="L98" s="171"/>
      <c r="M98" s="171"/>
      <c r="N98" s="171"/>
      <c r="O98" s="171"/>
      <c r="P98" s="171"/>
      <c r="Q98" s="171"/>
      <c r="R98" s="171"/>
      <c r="S98" s="62"/>
      <c r="T98" s="62"/>
      <c r="U98" s="62"/>
      <c r="V98" s="62"/>
    </row>
    <row r="99" spans="1:22" s="1" customFormat="1" x14ac:dyDescent="0.3">
      <c r="A99" s="461"/>
      <c r="B99" s="479" t="s">
        <v>640</v>
      </c>
      <c r="C99" s="479"/>
      <c r="D99" s="680">
        <v>906097319.02999997</v>
      </c>
      <c r="E99" s="680">
        <v>0</v>
      </c>
      <c r="F99" s="680">
        <v>906097319.02999997</v>
      </c>
      <c r="G99" s="680"/>
      <c r="H99" s="680">
        <v>906097319.02999997</v>
      </c>
      <c r="I99" s="680">
        <v>906097319.02999997</v>
      </c>
      <c r="J99" s="680">
        <v>906097319.02999997</v>
      </c>
      <c r="K99" s="680">
        <v>0</v>
      </c>
      <c r="L99" s="680">
        <v>0</v>
      </c>
      <c r="M99" s="680">
        <v>0</v>
      </c>
      <c r="N99" s="680">
        <v>0</v>
      </c>
      <c r="O99" s="680">
        <v>0</v>
      </c>
      <c r="P99" s="680">
        <v>0</v>
      </c>
      <c r="Q99" s="680">
        <v>0</v>
      </c>
      <c r="R99" s="171"/>
      <c r="S99" s="62">
        <f>SUM(J99:Q99)</f>
        <v>906097319.02999997</v>
      </c>
      <c r="T99" s="62">
        <f>H99-S99</f>
        <v>0</v>
      </c>
      <c r="U99" s="62"/>
      <c r="V99" s="62"/>
    </row>
    <row r="100" spans="1:22" s="1" customFormat="1" x14ac:dyDescent="0.3">
      <c r="A100" s="461"/>
      <c r="B100" s="461"/>
      <c r="C100" s="461"/>
      <c r="D100" s="171"/>
      <c r="E100" s="475"/>
      <c r="F100" s="475"/>
      <c r="G100" s="171"/>
      <c r="H100" s="171"/>
      <c r="I100" s="62"/>
      <c r="J100" s="171"/>
      <c r="K100" s="171"/>
      <c r="L100" s="171"/>
      <c r="M100" s="171"/>
      <c r="N100" s="171"/>
      <c r="O100" s="171"/>
      <c r="P100" s="171"/>
      <c r="Q100" s="171"/>
      <c r="R100" s="171"/>
      <c r="S100" s="62"/>
      <c r="T100" s="62"/>
      <c r="U100" s="62"/>
      <c r="V100" s="62"/>
    </row>
    <row r="101" spans="1:22" s="1" customFormat="1" x14ac:dyDescent="0.3">
      <c r="A101" s="479" t="s">
        <v>641</v>
      </c>
      <c r="B101" s="461"/>
      <c r="C101" s="461"/>
      <c r="D101" s="171"/>
      <c r="E101" s="62"/>
      <c r="F101" s="62"/>
      <c r="G101" s="171"/>
      <c r="H101" s="171"/>
      <c r="I101" s="62"/>
      <c r="J101" s="171"/>
      <c r="K101" s="171"/>
      <c r="L101" s="171"/>
      <c r="M101" s="171"/>
      <c r="N101" s="171"/>
      <c r="O101" s="171"/>
      <c r="P101" s="171"/>
      <c r="Q101" s="171"/>
      <c r="R101" s="171"/>
      <c r="S101" s="62"/>
      <c r="T101" s="62"/>
      <c r="U101" s="62"/>
      <c r="V101" s="62"/>
    </row>
    <row r="102" spans="1:22" s="1" customFormat="1" x14ac:dyDescent="0.3">
      <c r="A102" s="461"/>
      <c r="B102" s="464" t="s">
        <v>549</v>
      </c>
      <c r="C102" s="464"/>
      <c r="D102" s="171"/>
      <c r="E102" s="62"/>
      <c r="F102" s="62"/>
      <c r="G102" s="171"/>
      <c r="H102" s="171"/>
      <c r="I102" s="62"/>
      <c r="J102" s="171"/>
      <c r="K102" s="171"/>
      <c r="L102" s="171"/>
      <c r="M102" s="171"/>
      <c r="N102" s="171"/>
      <c r="O102" s="171"/>
      <c r="P102" s="171"/>
      <c r="Q102" s="171"/>
      <c r="R102" s="171"/>
      <c r="S102" s="62"/>
      <c r="T102" s="62"/>
      <c r="U102" s="62"/>
      <c r="V102" s="62"/>
    </row>
    <row r="103" spans="1:22" s="1" customFormat="1" x14ac:dyDescent="0.3">
      <c r="A103" s="461">
        <v>560</v>
      </c>
      <c r="B103" s="461" t="s">
        <v>615</v>
      </c>
      <c r="C103" s="461"/>
      <c r="D103" s="171">
        <v>2718478.24</v>
      </c>
      <c r="E103" s="475"/>
      <c r="F103" s="475">
        <f t="shared" ref="F103:F110" si="18">D103+E103</f>
        <v>2718478.24</v>
      </c>
      <c r="G103" s="171"/>
      <c r="H103" s="171">
        <f t="shared" ref="H103:H110" si="19">F103</f>
        <v>2718478.24</v>
      </c>
      <c r="I103" s="171">
        <f t="shared" ref="I103:I110" si="20">H103</f>
        <v>2718478.24</v>
      </c>
      <c r="J103" s="467">
        <v>0</v>
      </c>
      <c r="K103" s="171">
        <f t="shared" ref="K103:K110" si="21">I103</f>
        <v>2718478.24</v>
      </c>
      <c r="L103" s="467">
        <v>0</v>
      </c>
      <c r="M103" s="171"/>
      <c r="N103" s="171"/>
      <c r="O103" s="171"/>
      <c r="P103" s="467">
        <v>0</v>
      </c>
      <c r="Q103" s="171"/>
      <c r="R103" s="171"/>
      <c r="S103" s="62">
        <f t="shared" ref="S103:S111" si="22">SUM(J103:Q103)</f>
        <v>2718478.24</v>
      </c>
      <c r="T103" s="62">
        <f t="shared" ref="T103:T111" si="23">H103-S103</f>
        <v>0</v>
      </c>
      <c r="U103" s="62"/>
      <c r="V103" s="62"/>
    </row>
    <row r="104" spans="1:22" s="1" customFormat="1" x14ac:dyDescent="0.3">
      <c r="A104" s="461">
        <v>561</v>
      </c>
      <c r="B104" s="461" t="s">
        <v>644</v>
      </c>
      <c r="C104" s="461"/>
      <c r="D104" s="171">
        <v>2273713.75</v>
      </c>
      <c r="E104" s="475"/>
      <c r="F104" s="475">
        <f t="shared" si="18"/>
        <v>2273713.75</v>
      </c>
      <c r="G104" s="171"/>
      <c r="H104" s="171">
        <f t="shared" si="19"/>
        <v>2273713.75</v>
      </c>
      <c r="I104" s="171">
        <f t="shared" si="20"/>
        <v>2273713.75</v>
      </c>
      <c r="J104" s="467">
        <v>0</v>
      </c>
      <c r="K104" s="171">
        <f t="shared" si="21"/>
        <v>2273713.75</v>
      </c>
      <c r="L104" s="467">
        <v>0</v>
      </c>
      <c r="M104" s="171"/>
      <c r="N104" s="171"/>
      <c r="O104" s="171"/>
      <c r="P104" s="467">
        <v>0</v>
      </c>
      <c r="Q104" s="171"/>
      <c r="R104" s="171"/>
      <c r="S104" s="62">
        <f t="shared" si="22"/>
        <v>2273713.75</v>
      </c>
      <c r="T104" s="62">
        <f t="shared" si="23"/>
        <v>0</v>
      </c>
      <c r="U104" s="62"/>
      <c r="V104" s="62"/>
    </row>
    <row r="105" spans="1:22" s="1" customFormat="1" x14ac:dyDescent="0.3">
      <c r="A105" s="461">
        <v>562</v>
      </c>
      <c r="B105" s="461" t="s">
        <v>428</v>
      </c>
      <c r="C105" s="461"/>
      <c r="D105" s="171">
        <v>359349.7</v>
      </c>
      <c r="E105" s="475"/>
      <c r="F105" s="475">
        <f t="shared" si="18"/>
        <v>359349.7</v>
      </c>
      <c r="G105" s="171"/>
      <c r="H105" s="171">
        <f t="shared" si="19"/>
        <v>359349.7</v>
      </c>
      <c r="I105" s="171">
        <f t="shared" si="20"/>
        <v>359349.7</v>
      </c>
      <c r="J105" s="467">
        <v>0</v>
      </c>
      <c r="K105" s="171">
        <f t="shared" si="21"/>
        <v>359349.7</v>
      </c>
      <c r="L105" s="467">
        <v>0</v>
      </c>
      <c r="M105" s="171"/>
      <c r="N105" s="171"/>
      <c r="O105" s="171"/>
      <c r="P105" s="467">
        <v>0</v>
      </c>
      <c r="Q105" s="171"/>
      <c r="R105" s="171"/>
      <c r="S105" s="62">
        <f t="shared" si="22"/>
        <v>359349.7</v>
      </c>
      <c r="T105" s="62">
        <f t="shared" si="23"/>
        <v>0</v>
      </c>
      <c r="U105" s="62"/>
      <c r="V105" s="62"/>
    </row>
    <row r="106" spans="1:22" s="1" customFormat="1" x14ac:dyDescent="0.3">
      <c r="A106" s="461">
        <v>563</v>
      </c>
      <c r="B106" s="461" t="s">
        <v>647</v>
      </c>
      <c r="C106" s="461"/>
      <c r="D106" s="171">
        <v>4987.07</v>
      </c>
      <c r="E106" s="475"/>
      <c r="F106" s="475">
        <f t="shared" si="18"/>
        <v>4987.07</v>
      </c>
      <c r="G106" s="171"/>
      <c r="H106" s="171">
        <f t="shared" si="19"/>
        <v>4987.07</v>
      </c>
      <c r="I106" s="171">
        <f t="shared" si="20"/>
        <v>4987.07</v>
      </c>
      <c r="J106" s="467">
        <v>0</v>
      </c>
      <c r="K106" s="171">
        <f t="shared" si="21"/>
        <v>4987.07</v>
      </c>
      <c r="L106" s="467">
        <v>0</v>
      </c>
      <c r="M106" s="171"/>
      <c r="N106" s="171"/>
      <c r="O106" s="171"/>
      <c r="P106" s="467">
        <v>0</v>
      </c>
      <c r="Q106" s="171"/>
      <c r="R106" s="171"/>
      <c r="S106" s="62">
        <f t="shared" si="22"/>
        <v>4987.07</v>
      </c>
      <c r="T106" s="62">
        <f t="shared" si="23"/>
        <v>0</v>
      </c>
      <c r="U106" s="62"/>
      <c r="V106" s="62"/>
    </row>
    <row r="107" spans="1:22" s="1" customFormat="1" x14ac:dyDescent="0.3">
      <c r="A107" s="461">
        <v>564</v>
      </c>
      <c r="B107" s="461" t="s">
        <v>649</v>
      </c>
      <c r="C107" s="461"/>
      <c r="D107" s="171">
        <v>0</v>
      </c>
      <c r="E107" s="62"/>
      <c r="F107" s="171">
        <f t="shared" si="18"/>
        <v>0</v>
      </c>
      <c r="G107" s="171"/>
      <c r="H107" s="171">
        <f t="shared" si="19"/>
        <v>0</v>
      </c>
      <c r="I107" s="171">
        <f t="shared" si="20"/>
        <v>0</v>
      </c>
      <c r="J107" s="467">
        <v>0</v>
      </c>
      <c r="K107" s="171">
        <f t="shared" si="21"/>
        <v>0</v>
      </c>
      <c r="L107" s="467">
        <v>0</v>
      </c>
      <c r="M107" s="171"/>
      <c r="N107" s="171"/>
      <c r="O107" s="171"/>
      <c r="P107" s="467">
        <v>0</v>
      </c>
      <c r="Q107" s="171"/>
      <c r="R107" s="171"/>
      <c r="S107" s="62">
        <f t="shared" si="22"/>
        <v>0</v>
      </c>
      <c r="T107" s="62">
        <f t="shared" si="23"/>
        <v>0</v>
      </c>
      <c r="U107" s="62"/>
      <c r="V107" s="62"/>
    </row>
    <row r="108" spans="1:22" s="1" customFormat="1" x14ac:dyDescent="0.3">
      <c r="A108" s="461">
        <v>565</v>
      </c>
      <c r="B108" s="466" t="s">
        <v>651</v>
      </c>
      <c r="C108" s="466"/>
      <c r="D108" s="171">
        <v>0</v>
      </c>
      <c r="E108" s="171"/>
      <c r="F108" s="171">
        <f t="shared" si="18"/>
        <v>0</v>
      </c>
      <c r="G108" s="171"/>
      <c r="H108" s="171">
        <f t="shared" si="19"/>
        <v>0</v>
      </c>
      <c r="I108" s="171">
        <f t="shared" si="20"/>
        <v>0</v>
      </c>
      <c r="J108" s="467">
        <v>0</v>
      </c>
      <c r="K108" s="171">
        <f t="shared" si="21"/>
        <v>0</v>
      </c>
      <c r="L108" s="171">
        <v>0</v>
      </c>
      <c r="M108" s="171"/>
      <c r="N108" s="171"/>
      <c r="O108" s="171"/>
      <c r="P108" s="467">
        <v>0</v>
      </c>
      <c r="Q108" s="171"/>
      <c r="R108" s="171"/>
      <c r="S108" s="62">
        <f t="shared" si="22"/>
        <v>0</v>
      </c>
      <c r="T108" s="62">
        <f t="shared" si="23"/>
        <v>0</v>
      </c>
      <c r="U108" s="62"/>
      <c r="V108" s="62"/>
    </row>
    <row r="109" spans="1:22" s="1" customFormat="1" x14ac:dyDescent="0.3">
      <c r="A109" s="461">
        <v>566</v>
      </c>
      <c r="B109" s="461" t="s">
        <v>653</v>
      </c>
      <c r="C109" s="461"/>
      <c r="D109" s="171">
        <v>4752526.21</v>
      </c>
      <c r="E109" s="62"/>
      <c r="F109" s="171">
        <f t="shared" si="18"/>
        <v>4752526.21</v>
      </c>
      <c r="G109" s="171"/>
      <c r="H109" s="171">
        <f t="shared" si="19"/>
        <v>4752526.21</v>
      </c>
      <c r="I109" s="171">
        <f t="shared" si="20"/>
        <v>4752526.21</v>
      </c>
      <c r="J109" s="467">
        <v>0</v>
      </c>
      <c r="K109" s="171">
        <f t="shared" si="21"/>
        <v>4752526.21</v>
      </c>
      <c r="L109" s="467">
        <v>0</v>
      </c>
      <c r="M109" s="171"/>
      <c r="N109" s="171"/>
      <c r="O109" s="171"/>
      <c r="P109" s="467">
        <v>0</v>
      </c>
      <c r="Q109" s="171"/>
      <c r="R109" s="171"/>
      <c r="S109" s="62">
        <f t="shared" si="22"/>
        <v>4752526.21</v>
      </c>
      <c r="T109" s="62">
        <f t="shared" si="23"/>
        <v>0</v>
      </c>
      <c r="U109" s="62"/>
      <c r="V109" s="62"/>
    </row>
    <row r="110" spans="1:22" s="1" customFormat="1" ht="14.5" x14ac:dyDescent="0.45">
      <c r="A110" s="461">
        <v>567</v>
      </c>
      <c r="B110" s="461" t="s">
        <v>564</v>
      </c>
      <c r="C110" s="461"/>
      <c r="D110" s="472">
        <v>0</v>
      </c>
      <c r="E110" s="62"/>
      <c r="F110" s="476">
        <f t="shared" si="18"/>
        <v>0</v>
      </c>
      <c r="G110" s="171"/>
      <c r="H110" s="476">
        <f t="shared" si="19"/>
        <v>0</v>
      </c>
      <c r="I110" s="476">
        <f t="shared" si="20"/>
        <v>0</v>
      </c>
      <c r="J110" s="471">
        <v>0</v>
      </c>
      <c r="K110" s="472">
        <f t="shared" si="21"/>
        <v>0</v>
      </c>
      <c r="L110" s="471">
        <v>0</v>
      </c>
      <c r="M110" s="171"/>
      <c r="N110" s="171"/>
      <c r="O110" s="171"/>
      <c r="P110" s="471">
        <v>0</v>
      </c>
      <c r="Q110" s="171"/>
      <c r="R110" s="171"/>
      <c r="S110" s="62">
        <f t="shared" si="22"/>
        <v>0</v>
      </c>
      <c r="T110" s="62">
        <f t="shared" si="23"/>
        <v>0</v>
      </c>
      <c r="U110" s="62"/>
      <c r="V110" s="62"/>
    </row>
    <row r="111" spans="1:22" s="1" customFormat="1" x14ac:dyDescent="0.3">
      <c r="A111" s="461"/>
      <c r="B111" s="474" t="s">
        <v>524</v>
      </c>
      <c r="C111" s="474"/>
      <c r="D111" s="171">
        <f>SUM(D103:D110)</f>
        <v>10109054.970000001</v>
      </c>
      <c r="E111" s="171">
        <f>SUM(E103:E110)</f>
        <v>0</v>
      </c>
      <c r="F111" s="171">
        <f>SUM(F103:F110)</f>
        <v>10109054.970000001</v>
      </c>
      <c r="G111" s="171"/>
      <c r="H111" s="171">
        <f>SUM(H103:H110)</f>
        <v>10109054.970000001</v>
      </c>
      <c r="I111" s="171">
        <f>SUM(I103:I110)</f>
        <v>10109054.970000001</v>
      </c>
      <c r="J111" s="171">
        <f>SUM(J103:J110)</f>
        <v>0</v>
      </c>
      <c r="K111" s="171">
        <f>SUM(K103:K110)</f>
        <v>10109054.970000001</v>
      </c>
      <c r="L111" s="171">
        <f>SUM(L103:L110)</f>
        <v>0</v>
      </c>
      <c r="M111" s="171"/>
      <c r="N111" s="171"/>
      <c r="O111" s="171"/>
      <c r="P111" s="171">
        <f>SUM(P103:P110)</f>
        <v>0</v>
      </c>
      <c r="Q111" s="171"/>
      <c r="R111" s="171"/>
      <c r="S111" s="62">
        <f t="shared" si="22"/>
        <v>10109054.970000001</v>
      </c>
      <c r="T111" s="62">
        <f t="shared" si="23"/>
        <v>0</v>
      </c>
      <c r="U111" s="62"/>
      <c r="V111" s="62"/>
    </row>
    <row r="112" spans="1:22" s="1" customFormat="1" x14ac:dyDescent="0.3">
      <c r="A112" s="461"/>
      <c r="B112" s="461"/>
      <c r="C112" s="461"/>
      <c r="D112" s="171"/>
      <c r="E112" s="62"/>
      <c r="F112" s="62"/>
      <c r="G112" s="171"/>
      <c r="H112" s="171"/>
      <c r="I112" s="62"/>
      <c r="J112" s="171"/>
      <c r="K112" s="171"/>
      <c r="L112" s="171"/>
      <c r="M112" s="171"/>
      <c r="N112" s="171"/>
      <c r="O112" s="171"/>
      <c r="P112" s="171"/>
      <c r="Q112" s="171"/>
      <c r="R112" s="171"/>
      <c r="S112" s="62"/>
      <c r="T112" s="62"/>
      <c r="U112" s="62"/>
      <c r="V112" s="62"/>
    </row>
    <row r="113" spans="1:22" s="1" customFormat="1" x14ac:dyDescent="0.3">
      <c r="A113" s="461"/>
      <c r="B113" s="464" t="s">
        <v>565</v>
      </c>
      <c r="C113" s="464"/>
      <c r="D113" s="171"/>
      <c r="E113" s="62"/>
      <c r="F113" s="62"/>
      <c r="G113" s="171"/>
      <c r="H113" s="171"/>
      <c r="I113" s="62"/>
      <c r="J113" s="171"/>
      <c r="K113" s="171"/>
      <c r="L113" s="171"/>
      <c r="M113" s="171"/>
      <c r="N113" s="171"/>
      <c r="O113" s="171"/>
      <c r="P113" s="171"/>
      <c r="Q113" s="171"/>
      <c r="R113" s="171"/>
      <c r="S113" s="62"/>
      <c r="T113" s="62"/>
      <c r="U113" s="62"/>
      <c r="V113" s="62"/>
    </row>
    <row r="114" spans="1:22" s="1" customFormat="1" x14ac:dyDescent="0.3">
      <c r="A114" s="461">
        <v>568</v>
      </c>
      <c r="B114" s="461" t="s">
        <v>622</v>
      </c>
      <c r="C114" s="461"/>
      <c r="D114" s="171">
        <v>790810.29</v>
      </c>
      <c r="E114" s="62"/>
      <c r="F114" s="468">
        <f t="shared" ref="F114:F119" si="24">D114+E114</f>
        <v>790810.29</v>
      </c>
      <c r="G114" s="171"/>
      <c r="H114" s="171">
        <f t="shared" ref="H114:H119" si="25">F114</f>
        <v>790810.29</v>
      </c>
      <c r="I114" s="468">
        <f t="shared" ref="I114:I119" si="26">H114</f>
        <v>790810.29</v>
      </c>
      <c r="J114" s="467">
        <v>0</v>
      </c>
      <c r="K114" s="171">
        <f t="shared" ref="K114:K119" si="27">I114</f>
        <v>790810.29</v>
      </c>
      <c r="L114" s="467">
        <v>0</v>
      </c>
      <c r="M114" s="171"/>
      <c r="N114" s="171"/>
      <c r="O114" s="171"/>
      <c r="P114" s="467">
        <v>0</v>
      </c>
      <c r="Q114" s="171"/>
      <c r="R114" s="171"/>
      <c r="S114" s="62">
        <f t="shared" ref="S114:S120" si="28">SUM(J114:Q114)</f>
        <v>790810.29</v>
      </c>
      <c r="T114" s="62">
        <f t="shared" ref="T114:T120" si="29">H114-S114</f>
        <v>0</v>
      </c>
      <c r="U114" s="62"/>
      <c r="V114" s="62"/>
    </row>
    <row r="115" spans="1:22" s="1" customFormat="1" x14ac:dyDescent="0.3">
      <c r="A115" s="461">
        <v>569</v>
      </c>
      <c r="B115" s="466" t="s">
        <v>569</v>
      </c>
      <c r="C115" s="466"/>
      <c r="D115" s="171">
        <v>0</v>
      </c>
      <c r="E115" s="62"/>
      <c r="F115" s="468">
        <f t="shared" si="24"/>
        <v>0</v>
      </c>
      <c r="G115" s="171"/>
      <c r="H115" s="171">
        <f t="shared" si="25"/>
        <v>0</v>
      </c>
      <c r="I115" s="468">
        <f t="shared" si="26"/>
        <v>0</v>
      </c>
      <c r="J115" s="467">
        <v>0</v>
      </c>
      <c r="K115" s="171">
        <f t="shared" si="27"/>
        <v>0</v>
      </c>
      <c r="L115" s="467">
        <v>0</v>
      </c>
      <c r="M115" s="171"/>
      <c r="N115" s="171"/>
      <c r="O115" s="171"/>
      <c r="P115" s="467">
        <v>0</v>
      </c>
      <c r="Q115" s="171"/>
      <c r="R115" s="171"/>
      <c r="S115" s="62">
        <f t="shared" si="28"/>
        <v>0</v>
      </c>
      <c r="T115" s="62">
        <f t="shared" si="29"/>
        <v>0</v>
      </c>
      <c r="U115" s="62"/>
      <c r="V115" s="62"/>
    </row>
    <row r="116" spans="1:22" s="1" customFormat="1" x14ac:dyDescent="0.3">
      <c r="A116" s="461">
        <v>570</v>
      </c>
      <c r="B116" s="461" t="s">
        <v>658</v>
      </c>
      <c r="C116" s="461"/>
      <c r="D116" s="171">
        <v>2809824.7399999998</v>
      </c>
      <c r="E116" s="62"/>
      <c r="F116" s="468">
        <f t="shared" si="24"/>
        <v>2809824.7399999998</v>
      </c>
      <c r="G116" s="171"/>
      <c r="H116" s="171">
        <f t="shared" si="25"/>
        <v>2809824.7399999998</v>
      </c>
      <c r="I116" s="468">
        <f t="shared" si="26"/>
        <v>2809824.7399999998</v>
      </c>
      <c r="J116" s="467">
        <v>0</v>
      </c>
      <c r="K116" s="171">
        <f t="shared" si="27"/>
        <v>2809824.7399999998</v>
      </c>
      <c r="L116" s="467">
        <v>0</v>
      </c>
      <c r="M116" s="171"/>
      <c r="N116" s="171"/>
      <c r="O116" s="171"/>
      <c r="P116" s="467">
        <v>0</v>
      </c>
      <c r="Q116" s="171"/>
      <c r="R116" s="171"/>
      <c r="S116" s="62">
        <f t="shared" si="28"/>
        <v>2809824.7399999998</v>
      </c>
      <c r="T116" s="62">
        <f t="shared" si="29"/>
        <v>0</v>
      </c>
      <c r="U116" s="62"/>
      <c r="V116" s="62"/>
    </row>
    <row r="117" spans="1:22" s="1" customFormat="1" x14ac:dyDescent="0.3">
      <c r="A117" s="461">
        <v>571</v>
      </c>
      <c r="B117" s="461" t="s">
        <v>660</v>
      </c>
      <c r="C117" s="461"/>
      <c r="D117" s="171">
        <v>3478893.21</v>
      </c>
      <c r="E117" s="62"/>
      <c r="F117" s="468">
        <f t="shared" si="24"/>
        <v>3478893.21</v>
      </c>
      <c r="G117" s="171"/>
      <c r="H117" s="171">
        <f t="shared" si="25"/>
        <v>3478893.21</v>
      </c>
      <c r="I117" s="468">
        <f t="shared" si="26"/>
        <v>3478893.21</v>
      </c>
      <c r="J117" s="467">
        <v>0</v>
      </c>
      <c r="K117" s="171">
        <f t="shared" si="27"/>
        <v>3478893.21</v>
      </c>
      <c r="L117" s="467">
        <v>0</v>
      </c>
      <c r="M117" s="171"/>
      <c r="N117" s="171"/>
      <c r="O117" s="171"/>
      <c r="P117" s="467">
        <v>0</v>
      </c>
      <c r="Q117" s="171"/>
      <c r="R117" s="171"/>
      <c r="S117" s="62">
        <f t="shared" si="28"/>
        <v>3478893.21</v>
      </c>
      <c r="T117" s="62">
        <f t="shared" si="29"/>
        <v>0</v>
      </c>
      <c r="U117" s="62"/>
      <c r="V117" s="62"/>
    </row>
    <row r="118" spans="1:22" s="1" customFormat="1" x14ac:dyDescent="0.3">
      <c r="A118" s="461">
        <v>572</v>
      </c>
      <c r="B118" s="466" t="s">
        <v>662</v>
      </c>
      <c r="C118" s="466"/>
      <c r="D118" s="171">
        <v>49782.62</v>
      </c>
      <c r="E118" s="62"/>
      <c r="F118" s="468">
        <f t="shared" si="24"/>
        <v>49782.62</v>
      </c>
      <c r="G118" s="171"/>
      <c r="H118" s="171">
        <f t="shared" si="25"/>
        <v>49782.62</v>
      </c>
      <c r="I118" s="468">
        <f t="shared" si="26"/>
        <v>49782.62</v>
      </c>
      <c r="J118" s="467">
        <v>0</v>
      </c>
      <c r="K118" s="171">
        <f t="shared" si="27"/>
        <v>49782.62</v>
      </c>
      <c r="L118" s="467">
        <v>0</v>
      </c>
      <c r="M118" s="171"/>
      <c r="N118" s="171"/>
      <c r="O118" s="171"/>
      <c r="P118" s="467">
        <v>0</v>
      </c>
      <c r="Q118" s="171"/>
      <c r="R118" s="171"/>
      <c r="S118" s="62">
        <f t="shared" si="28"/>
        <v>49782.62</v>
      </c>
      <c r="T118" s="62">
        <f t="shared" si="29"/>
        <v>0</v>
      </c>
      <c r="U118" s="62"/>
      <c r="V118" s="62"/>
    </row>
    <row r="119" spans="1:22" s="1" customFormat="1" ht="14.5" x14ac:dyDescent="0.45">
      <c r="A119" s="461">
        <v>573</v>
      </c>
      <c r="B119" s="466" t="s">
        <v>664</v>
      </c>
      <c r="C119" s="466"/>
      <c r="D119" s="472">
        <v>2138304.7599999998</v>
      </c>
      <c r="E119" s="62"/>
      <c r="F119" s="478">
        <f t="shared" si="24"/>
        <v>2138304.7599999998</v>
      </c>
      <c r="G119" s="171"/>
      <c r="H119" s="476">
        <f t="shared" si="25"/>
        <v>2138304.7599999998</v>
      </c>
      <c r="I119" s="478">
        <f t="shared" si="26"/>
        <v>2138304.7599999998</v>
      </c>
      <c r="J119" s="471">
        <v>0</v>
      </c>
      <c r="K119" s="476">
        <f t="shared" si="27"/>
        <v>2138304.7599999998</v>
      </c>
      <c r="L119" s="471">
        <v>0</v>
      </c>
      <c r="M119" s="171"/>
      <c r="N119" s="171"/>
      <c r="O119" s="171"/>
      <c r="P119" s="471">
        <v>0</v>
      </c>
      <c r="Q119" s="171"/>
      <c r="R119" s="171"/>
      <c r="S119" s="62">
        <f t="shared" si="28"/>
        <v>2138304.7599999998</v>
      </c>
      <c r="T119" s="62">
        <f t="shared" si="29"/>
        <v>0</v>
      </c>
      <c r="U119" s="62"/>
      <c r="V119" s="62"/>
    </row>
    <row r="120" spans="1:22" s="1" customFormat="1" x14ac:dyDescent="0.3">
      <c r="A120" s="461"/>
      <c r="B120" s="474" t="s">
        <v>524</v>
      </c>
      <c r="C120" s="474"/>
      <c r="D120" s="171">
        <f>SUM(D114:D119)</f>
        <v>9267615.620000001</v>
      </c>
      <c r="E120" s="171">
        <f>SUM(E114:E119)</f>
        <v>0</v>
      </c>
      <c r="F120" s="171">
        <f>SUM(F114:F119)</f>
        <v>9267615.620000001</v>
      </c>
      <c r="G120" s="171"/>
      <c r="H120" s="171">
        <f t="shared" ref="H120:Q120" si="30">SUM(H114:H119)</f>
        <v>9267615.620000001</v>
      </c>
      <c r="I120" s="171">
        <f t="shared" si="30"/>
        <v>9267615.620000001</v>
      </c>
      <c r="J120" s="171">
        <f t="shared" si="30"/>
        <v>0</v>
      </c>
      <c r="K120" s="171">
        <f t="shared" si="30"/>
        <v>9267615.620000001</v>
      </c>
      <c r="L120" s="171">
        <f t="shared" si="30"/>
        <v>0</v>
      </c>
      <c r="M120" s="171">
        <f t="shared" si="30"/>
        <v>0</v>
      </c>
      <c r="N120" s="171">
        <f t="shared" si="30"/>
        <v>0</v>
      </c>
      <c r="O120" s="171">
        <f t="shared" si="30"/>
        <v>0</v>
      </c>
      <c r="P120" s="171">
        <f t="shared" si="30"/>
        <v>0</v>
      </c>
      <c r="Q120" s="171">
        <f t="shared" si="30"/>
        <v>0</v>
      </c>
      <c r="R120" s="171"/>
      <c r="S120" s="62">
        <f t="shared" si="28"/>
        <v>9267615.620000001</v>
      </c>
      <c r="T120" s="62">
        <f t="shared" si="29"/>
        <v>0</v>
      </c>
      <c r="U120" s="62"/>
      <c r="V120" s="62"/>
    </row>
    <row r="121" spans="1:22" s="1" customFormat="1" x14ac:dyDescent="0.3">
      <c r="A121" s="461"/>
      <c r="B121" s="461"/>
      <c r="C121" s="461"/>
      <c r="D121" s="171"/>
      <c r="E121" s="62"/>
      <c r="F121" s="62"/>
      <c r="G121" s="171"/>
      <c r="H121" s="171"/>
      <c r="I121" s="62"/>
      <c r="J121" s="171"/>
      <c r="K121" s="171"/>
      <c r="L121" s="171"/>
      <c r="M121" s="171"/>
      <c r="N121" s="171"/>
      <c r="O121" s="171"/>
      <c r="P121" s="171"/>
      <c r="Q121" s="171"/>
      <c r="R121" s="171"/>
      <c r="S121" s="62"/>
      <c r="T121" s="62"/>
      <c r="U121" s="62"/>
      <c r="V121" s="62"/>
    </row>
    <row r="122" spans="1:22" s="1" customFormat="1" x14ac:dyDescent="0.3">
      <c r="A122" s="461"/>
      <c r="B122" s="479" t="s">
        <v>541</v>
      </c>
      <c r="C122" s="479"/>
      <c r="D122" s="171">
        <f>D120+D111</f>
        <v>19376670.590000004</v>
      </c>
      <c r="E122" s="171">
        <f>E120+E111</f>
        <v>0</v>
      </c>
      <c r="F122" s="171">
        <f>F120+F111</f>
        <v>19376670.590000004</v>
      </c>
      <c r="G122" s="171"/>
      <c r="H122" s="171">
        <f t="shared" ref="H122:Q122" si="31">H120+H111</f>
        <v>19376670.590000004</v>
      </c>
      <c r="I122" s="171">
        <f t="shared" si="31"/>
        <v>19376670.590000004</v>
      </c>
      <c r="J122" s="171">
        <f t="shared" si="31"/>
        <v>0</v>
      </c>
      <c r="K122" s="171">
        <f t="shared" si="31"/>
        <v>19376670.590000004</v>
      </c>
      <c r="L122" s="171">
        <f t="shared" si="31"/>
        <v>0</v>
      </c>
      <c r="M122" s="171">
        <f t="shared" si="31"/>
        <v>0</v>
      </c>
      <c r="N122" s="171">
        <f t="shared" si="31"/>
        <v>0</v>
      </c>
      <c r="O122" s="171">
        <f t="shared" si="31"/>
        <v>0</v>
      </c>
      <c r="P122" s="171">
        <f t="shared" si="31"/>
        <v>0</v>
      </c>
      <c r="Q122" s="171">
        <f t="shared" si="31"/>
        <v>0</v>
      </c>
      <c r="R122" s="171"/>
      <c r="S122" s="62"/>
      <c r="T122" s="62"/>
      <c r="U122" s="62"/>
      <c r="V122" s="62"/>
    </row>
    <row r="123" spans="1:22" s="1" customFormat="1" x14ac:dyDescent="0.3">
      <c r="A123" s="461"/>
      <c r="B123" s="461"/>
      <c r="C123" s="461"/>
      <c r="D123" s="171"/>
      <c r="E123" s="62"/>
      <c r="F123" s="62"/>
      <c r="G123" s="171"/>
      <c r="H123" s="171"/>
      <c r="I123" s="62"/>
      <c r="J123" s="171"/>
      <c r="K123" s="171"/>
      <c r="L123" s="171"/>
      <c r="M123" s="171"/>
      <c r="N123" s="171"/>
      <c r="O123" s="171"/>
      <c r="P123" s="171"/>
      <c r="Q123" s="171"/>
      <c r="R123" s="171"/>
      <c r="S123" s="62"/>
      <c r="T123" s="62"/>
      <c r="U123" s="62"/>
      <c r="V123" s="62"/>
    </row>
    <row r="124" spans="1:22" s="1" customFormat="1" x14ac:dyDescent="0.3">
      <c r="A124" s="479" t="s">
        <v>367</v>
      </c>
      <c r="B124" s="461"/>
      <c r="C124" s="461"/>
      <c r="D124" s="171"/>
      <c r="E124" s="62"/>
      <c r="F124" s="62"/>
      <c r="G124" s="171"/>
      <c r="H124" s="171"/>
      <c r="I124" s="62"/>
      <c r="J124" s="171"/>
      <c r="K124" s="171"/>
      <c r="L124" s="171"/>
      <c r="M124" s="171"/>
      <c r="N124" s="171"/>
      <c r="O124" s="171"/>
      <c r="P124" s="171"/>
      <c r="Q124" s="171"/>
      <c r="R124" s="171"/>
      <c r="S124" s="62"/>
      <c r="T124" s="62"/>
      <c r="U124" s="62"/>
      <c r="V124" s="62"/>
    </row>
    <row r="125" spans="1:22" s="1" customFormat="1" x14ac:dyDescent="0.3">
      <c r="A125" s="461"/>
      <c r="B125" s="464" t="s">
        <v>549</v>
      </c>
      <c r="C125" s="464"/>
      <c r="D125" s="171"/>
      <c r="E125" s="62"/>
      <c r="F125" s="62"/>
      <c r="G125" s="171"/>
      <c r="H125" s="171"/>
      <c r="I125" s="62"/>
      <c r="J125" s="171"/>
      <c r="K125" s="171"/>
      <c r="L125" s="171"/>
      <c r="M125" s="171"/>
      <c r="N125" s="171"/>
      <c r="O125" s="171"/>
      <c r="P125" s="171"/>
      <c r="Q125" s="171"/>
      <c r="R125" s="171"/>
      <c r="S125" s="62"/>
      <c r="T125" s="62"/>
      <c r="U125" s="62"/>
      <c r="V125" s="62"/>
    </row>
    <row r="126" spans="1:22" s="1" customFormat="1" x14ac:dyDescent="0.3">
      <c r="A126" s="461">
        <v>580</v>
      </c>
      <c r="B126" s="461" t="s">
        <v>615</v>
      </c>
      <c r="C126" s="461" t="s">
        <v>48</v>
      </c>
      <c r="D126" s="171">
        <v>5800048.1699999999</v>
      </c>
      <c r="E126" s="62"/>
      <c r="F126" s="468">
        <f t="shared" ref="F126:F135" si="32">D126+E126</f>
        <v>5800048.1699999999</v>
      </c>
      <c r="G126" s="171"/>
      <c r="H126" s="171">
        <f t="shared" ref="H126:H135" si="33">F126</f>
        <v>5800048.1699999999</v>
      </c>
      <c r="I126" s="468">
        <f t="shared" ref="I126:I135" si="34">H126</f>
        <v>5800048.1699999999</v>
      </c>
      <c r="J126" s="171">
        <f t="shared" ref="J126:Q126" si="35">$I126*J$137/$I$137</f>
        <v>0</v>
      </c>
      <c r="K126" s="171">
        <f t="shared" si="35"/>
        <v>0</v>
      </c>
      <c r="L126" s="171">
        <f>$I126*L$137/$I$137</f>
        <v>4614943.0433644252</v>
      </c>
      <c r="M126" s="171">
        <f t="shared" si="35"/>
        <v>1185105.126635575</v>
      </c>
      <c r="N126" s="171">
        <f t="shared" si="35"/>
        <v>0</v>
      </c>
      <c r="O126" s="171">
        <f t="shared" si="35"/>
        <v>0</v>
      </c>
      <c r="P126" s="171">
        <f t="shared" si="35"/>
        <v>0</v>
      </c>
      <c r="Q126" s="171">
        <f t="shared" si="35"/>
        <v>0</v>
      </c>
      <c r="R126" s="171"/>
      <c r="S126" s="62">
        <f t="shared" ref="S126:S136" si="36">SUM(J126:Q126)</f>
        <v>5800048.1699999999</v>
      </c>
      <c r="T126" s="62">
        <f t="shared" ref="T126:T136" si="37">H126-S126</f>
        <v>0</v>
      </c>
      <c r="U126" s="62"/>
      <c r="V126" s="62"/>
    </row>
    <row r="127" spans="1:22" s="1" customFormat="1" x14ac:dyDescent="0.3">
      <c r="A127" s="461">
        <v>581</v>
      </c>
      <c r="B127" s="466" t="s">
        <v>644</v>
      </c>
      <c r="C127" s="466"/>
      <c r="D127" s="171">
        <v>7274474.5499999998</v>
      </c>
      <c r="E127" s="62"/>
      <c r="F127" s="468">
        <f t="shared" si="32"/>
        <v>7274474.5499999998</v>
      </c>
      <c r="G127" s="171"/>
      <c r="H127" s="171">
        <f t="shared" si="33"/>
        <v>7274474.5499999998</v>
      </c>
      <c r="I127" s="468">
        <f t="shared" si="34"/>
        <v>7274474.5499999998</v>
      </c>
      <c r="J127" s="467">
        <v>0</v>
      </c>
      <c r="K127" s="467">
        <v>0</v>
      </c>
      <c r="L127" s="171">
        <f>I127</f>
        <v>7274474.5499999998</v>
      </c>
      <c r="M127" s="171"/>
      <c r="N127" s="171"/>
      <c r="O127" s="171"/>
      <c r="P127" s="467">
        <v>0</v>
      </c>
      <c r="Q127" s="171"/>
      <c r="R127" s="171"/>
      <c r="S127" s="62">
        <f t="shared" si="36"/>
        <v>7274474.5499999998</v>
      </c>
      <c r="T127" s="62">
        <f t="shared" si="37"/>
        <v>0</v>
      </c>
      <c r="U127" s="62"/>
      <c r="V127" s="62"/>
    </row>
    <row r="128" spans="1:22" s="1" customFormat="1" x14ac:dyDescent="0.3">
      <c r="A128" s="461">
        <v>582</v>
      </c>
      <c r="B128" s="461" t="s">
        <v>668</v>
      </c>
      <c r="C128" s="461"/>
      <c r="D128" s="171">
        <v>70252.11</v>
      </c>
      <c r="E128" s="62"/>
      <c r="F128" s="468">
        <f t="shared" si="32"/>
        <v>70252.11</v>
      </c>
      <c r="G128" s="171"/>
      <c r="H128" s="171">
        <f t="shared" si="33"/>
        <v>70252.11</v>
      </c>
      <c r="I128" s="468">
        <f t="shared" si="34"/>
        <v>70252.11</v>
      </c>
      <c r="J128" s="467">
        <v>0</v>
      </c>
      <c r="K128" s="467">
        <v>0</v>
      </c>
      <c r="L128" s="171">
        <f>I128</f>
        <v>70252.11</v>
      </c>
      <c r="M128" s="171"/>
      <c r="N128" s="171"/>
      <c r="O128" s="171"/>
      <c r="P128" s="467">
        <v>0</v>
      </c>
      <c r="Q128" s="171"/>
      <c r="R128" s="171"/>
      <c r="S128" s="62">
        <f t="shared" si="36"/>
        <v>70252.11</v>
      </c>
      <c r="T128" s="62">
        <f t="shared" si="37"/>
        <v>0</v>
      </c>
      <c r="U128" s="62"/>
      <c r="V128" s="62"/>
    </row>
    <row r="129" spans="1:22" s="1" customFormat="1" x14ac:dyDescent="0.3">
      <c r="A129" s="461">
        <v>583</v>
      </c>
      <c r="B129" s="461" t="s">
        <v>670</v>
      </c>
      <c r="C129" s="461"/>
      <c r="D129" s="171">
        <v>5794580.9500000002</v>
      </c>
      <c r="E129" s="62"/>
      <c r="F129" s="468">
        <f t="shared" si="32"/>
        <v>5794580.9500000002</v>
      </c>
      <c r="G129" s="171"/>
      <c r="H129" s="171">
        <f t="shared" si="33"/>
        <v>5794580.9500000002</v>
      </c>
      <c r="I129" s="468">
        <f t="shared" si="34"/>
        <v>5794580.9500000002</v>
      </c>
      <c r="J129" s="467">
        <v>0</v>
      </c>
      <c r="K129" s="467">
        <v>0</v>
      </c>
      <c r="L129" s="171">
        <f>I129</f>
        <v>5794580.9500000002</v>
      </c>
      <c r="M129" s="171"/>
      <c r="N129" s="171"/>
      <c r="O129" s="171"/>
      <c r="P129" s="467">
        <v>0</v>
      </c>
      <c r="Q129" s="171"/>
      <c r="R129" s="171"/>
      <c r="S129" s="62">
        <f t="shared" si="36"/>
        <v>5794580.9500000002</v>
      </c>
      <c r="T129" s="62">
        <f t="shared" si="37"/>
        <v>0</v>
      </c>
      <c r="U129" s="62"/>
      <c r="V129" s="62"/>
    </row>
    <row r="130" spans="1:22" s="1" customFormat="1" x14ac:dyDescent="0.3">
      <c r="A130" s="461">
        <v>584</v>
      </c>
      <c r="B130" s="461" t="s">
        <v>649</v>
      </c>
      <c r="C130" s="461"/>
      <c r="D130" s="171">
        <v>5098384.5599999996</v>
      </c>
      <c r="E130" s="62"/>
      <c r="F130" s="468">
        <f t="shared" si="32"/>
        <v>5098384.5599999996</v>
      </c>
      <c r="G130" s="171"/>
      <c r="H130" s="171">
        <f t="shared" si="33"/>
        <v>5098384.5599999996</v>
      </c>
      <c r="I130" s="468">
        <f t="shared" si="34"/>
        <v>5098384.5599999996</v>
      </c>
      <c r="J130" s="467">
        <v>0</v>
      </c>
      <c r="K130" s="467">
        <v>0</v>
      </c>
      <c r="L130" s="171">
        <f>I130</f>
        <v>5098384.5599999996</v>
      </c>
      <c r="M130" s="171"/>
      <c r="N130" s="171"/>
      <c r="O130" s="171"/>
      <c r="P130" s="467">
        <v>0</v>
      </c>
      <c r="Q130" s="171"/>
      <c r="R130" s="171"/>
      <c r="S130" s="62">
        <f t="shared" si="36"/>
        <v>5098384.5599999996</v>
      </c>
      <c r="T130" s="62">
        <f t="shared" si="37"/>
        <v>0</v>
      </c>
      <c r="U130" s="62"/>
      <c r="V130" s="62"/>
    </row>
    <row r="131" spans="1:22" s="1" customFormat="1" x14ac:dyDescent="0.3">
      <c r="A131" s="461">
        <v>585</v>
      </c>
      <c r="B131" s="461" t="s">
        <v>673</v>
      </c>
      <c r="C131" s="461"/>
      <c r="D131" s="171">
        <v>1703894.28</v>
      </c>
      <c r="E131" s="62"/>
      <c r="F131" s="468">
        <f t="shared" si="32"/>
        <v>1703894.28</v>
      </c>
      <c r="G131" s="171"/>
      <c r="H131" s="171">
        <f t="shared" si="33"/>
        <v>1703894.28</v>
      </c>
      <c r="I131" s="468">
        <f t="shared" si="34"/>
        <v>1703894.28</v>
      </c>
      <c r="J131" s="467">
        <v>0</v>
      </c>
      <c r="K131" s="467">
        <v>0</v>
      </c>
      <c r="L131" s="171">
        <f>I131</f>
        <v>1703894.28</v>
      </c>
      <c r="M131" s="171"/>
      <c r="N131" s="171"/>
      <c r="O131" s="171"/>
      <c r="P131" s="467">
        <v>0</v>
      </c>
      <c r="Q131" s="171"/>
      <c r="R131" s="171"/>
      <c r="S131" s="62">
        <f t="shared" si="36"/>
        <v>1703894.28</v>
      </c>
      <c r="T131" s="62">
        <f t="shared" si="37"/>
        <v>0</v>
      </c>
      <c r="U131" s="62"/>
      <c r="V131" s="62"/>
    </row>
    <row r="132" spans="1:22" s="1" customFormat="1" x14ac:dyDescent="0.3">
      <c r="A132" s="461">
        <v>586</v>
      </c>
      <c r="B132" s="461" t="s">
        <v>675</v>
      </c>
      <c r="C132" s="461"/>
      <c r="D132" s="171">
        <v>5337843.5999999996</v>
      </c>
      <c r="E132" s="62"/>
      <c r="F132" s="468">
        <f t="shared" si="32"/>
        <v>5337843.5999999996</v>
      </c>
      <c r="G132" s="171"/>
      <c r="H132" s="171">
        <f t="shared" si="33"/>
        <v>5337843.5999999996</v>
      </c>
      <c r="I132" s="468">
        <f t="shared" si="34"/>
        <v>5337843.5999999996</v>
      </c>
      <c r="J132" s="467">
        <v>0</v>
      </c>
      <c r="K132" s="467">
        <v>0</v>
      </c>
      <c r="L132" s="467">
        <v>0</v>
      </c>
      <c r="M132" s="171">
        <f>I132</f>
        <v>5337843.5999999996</v>
      </c>
      <c r="N132" s="171"/>
      <c r="O132" s="171"/>
      <c r="P132" s="467">
        <v>0</v>
      </c>
      <c r="Q132" s="171"/>
      <c r="R132" s="171"/>
      <c r="S132" s="62">
        <f t="shared" si="36"/>
        <v>5337843.5999999996</v>
      </c>
      <c r="T132" s="62">
        <f t="shared" si="37"/>
        <v>0</v>
      </c>
      <c r="U132" s="62"/>
      <c r="V132" s="62"/>
    </row>
    <row r="133" spans="1:22" s="1" customFormat="1" x14ac:dyDescent="0.3">
      <c r="A133" s="461">
        <v>587</v>
      </c>
      <c r="B133" s="461" t="s">
        <v>677</v>
      </c>
      <c r="C133" s="461"/>
      <c r="D133" s="171">
        <v>844623.68</v>
      </c>
      <c r="E133" s="62"/>
      <c r="F133" s="468">
        <f t="shared" si="32"/>
        <v>844623.68</v>
      </c>
      <c r="G133" s="171"/>
      <c r="H133" s="171">
        <f t="shared" si="33"/>
        <v>844623.68</v>
      </c>
      <c r="I133" s="468">
        <f t="shared" si="34"/>
        <v>844623.68</v>
      </c>
      <c r="J133" s="467">
        <v>0</v>
      </c>
      <c r="K133" s="467">
        <v>0</v>
      </c>
      <c r="L133" s="171">
        <f>I133</f>
        <v>844623.68</v>
      </c>
      <c r="M133" s="171"/>
      <c r="N133" s="171"/>
      <c r="O133" s="171"/>
      <c r="P133" s="467">
        <v>0</v>
      </c>
      <c r="Q133" s="171"/>
      <c r="R133" s="171"/>
      <c r="S133" s="62">
        <f t="shared" si="36"/>
        <v>844623.68</v>
      </c>
      <c r="T133" s="62">
        <f t="shared" si="37"/>
        <v>0</v>
      </c>
      <c r="U133" s="62"/>
      <c r="V133" s="62"/>
    </row>
    <row r="134" spans="1:22" s="1" customFormat="1" x14ac:dyDescent="0.3">
      <c r="A134" s="461">
        <v>588</v>
      </c>
      <c r="B134" s="466" t="s">
        <v>679</v>
      </c>
      <c r="C134" s="461" t="s">
        <v>48</v>
      </c>
      <c r="D134" s="171">
        <v>13097611.789999999</v>
      </c>
      <c r="E134" s="62"/>
      <c r="F134" s="468">
        <f t="shared" si="32"/>
        <v>13097611.789999999</v>
      </c>
      <c r="G134" s="171"/>
      <c r="H134" s="171">
        <f t="shared" si="33"/>
        <v>13097611.789999999</v>
      </c>
      <c r="I134" s="468">
        <f t="shared" si="34"/>
        <v>13097611.789999999</v>
      </c>
      <c r="J134" s="171">
        <f t="shared" ref="J134:Q134" si="38">$I134*J$137/$I$137</f>
        <v>0</v>
      </c>
      <c r="K134" s="171">
        <f t="shared" si="38"/>
        <v>0</v>
      </c>
      <c r="L134" s="171">
        <f t="shared" si="38"/>
        <v>10421419.037102304</v>
      </c>
      <c r="M134" s="171">
        <f t="shared" si="38"/>
        <v>2676192.7528976966</v>
      </c>
      <c r="N134" s="171">
        <f t="shared" si="38"/>
        <v>0</v>
      </c>
      <c r="O134" s="171">
        <f t="shared" si="38"/>
        <v>0</v>
      </c>
      <c r="P134" s="171">
        <f t="shared" si="38"/>
        <v>0</v>
      </c>
      <c r="Q134" s="171">
        <f t="shared" si="38"/>
        <v>0</v>
      </c>
      <c r="R134" s="171"/>
      <c r="S134" s="62">
        <f t="shared" si="36"/>
        <v>13097611.790000001</v>
      </c>
      <c r="T134" s="62">
        <f t="shared" si="37"/>
        <v>0</v>
      </c>
      <c r="U134" s="62"/>
      <c r="V134" s="62"/>
    </row>
    <row r="135" spans="1:22" s="1" customFormat="1" ht="14.5" x14ac:dyDescent="0.45">
      <c r="A135" s="461">
        <v>589</v>
      </c>
      <c r="B135" s="461" t="s">
        <v>564</v>
      </c>
      <c r="C135" s="461"/>
      <c r="D135" s="472">
        <v>0</v>
      </c>
      <c r="E135" s="62"/>
      <c r="F135" s="478">
        <f t="shared" si="32"/>
        <v>0</v>
      </c>
      <c r="G135" s="171"/>
      <c r="H135" s="476">
        <f t="shared" si="33"/>
        <v>0</v>
      </c>
      <c r="I135" s="478">
        <f t="shared" si="34"/>
        <v>0</v>
      </c>
      <c r="J135" s="471">
        <v>0</v>
      </c>
      <c r="K135" s="476">
        <v>0</v>
      </c>
      <c r="L135" s="471">
        <f>I135</f>
        <v>0</v>
      </c>
      <c r="M135" s="476">
        <v>0</v>
      </c>
      <c r="N135" s="171"/>
      <c r="O135" s="171"/>
      <c r="P135" s="471">
        <v>0</v>
      </c>
      <c r="Q135" s="171"/>
      <c r="R135" s="171"/>
      <c r="S135" s="62">
        <f t="shared" si="36"/>
        <v>0</v>
      </c>
      <c r="T135" s="62">
        <f t="shared" si="37"/>
        <v>0</v>
      </c>
      <c r="U135" s="62"/>
      <c r="V135" s="62"/>
    </row>
    <row r="136" spans="1:22" s="1" customFormat="1" x14ac:dyDescent="0.3">
      <c r="A136" s="461"/>
      <c r="B136" s="474" t="s">
        <v>524</v>
      </c>
      <c r="C136" s="474"/>
      <c r="D136" s="171">
        <f>SUM(D126:D135)</f>
        <v>45021713.689999998</v>
      </c>
      <c r="E136" s="171">
        <f>SUM(E126:E135)</f>
        <v>0</v>
      </c>
      <c r="F136" s="171">
        <f>SUM(F126:F135)</f>
        <v>45021713.689999998</v>
      </c>
      <c r="G136" s="171"/>
      <c r="H136" s="171">
        <f t="shared" ref="H136:Q136" si="39">SUM(H126:H135)</f>
        <v>45021713.689999998</v>
      </c>
      <c r="I136" s="171">
        <f t="shared" si="39"/>
        <v>45021713.689999998</v>
      </c>
      <c r="J136" s="171">
        <f t="shared" si="39"/>
        <v>0</v>
      </c>
      <c r="K136" s="171">
        <f t="shared" si="39"/>
        <v>0</v>
      </c>
      <c r="L136" s="171">
        <f t="shared" si="39"/>
        <v>35822572.210466728</v>
      </c>
      <c r="M136" s="171">
        <f t="shared" si="39"/>
        <v>9199141.47953327</v>
      </c>
      <c r="N136" s="171">
        <f t="shared" si="39"/>
        <v>0</v>
      </c>
      <c r="O136" s="171">
        <f t="shared" si="39"/>
        <v>0</v>
      </c>
      <c r="P136" s="171">
        <f t="shared" si="39"/>
        <v>0</v>
      </c>
      <c r="Q136" s="171">
        <f t="shared" si="39"/>
        <v>0</v>
      </c>
      <c r="R136" s="171"/>
      <c r="S136" s="62">
        <f t="shared" si="36"/>
        <v>45021713.689999998</v>
      </c>
      <c r="T136" s="62">
        <f t="shared" si="37"/>
        <v>0</v>
      </c>
      <c r="U136" s="62"/>
      <c r="V136" s="62"/>
    </row>
    <row r="137" spans="1:22" s="1" customFormat="1" x14ac:dyDescent="0.3">
      <c r="A137" s="461" t="s">
        <v>1205</v>
      </c>
      <c r="B137" s="461" t="s">
        <v>828</v>
      </c>
      <c r="C137" s="461"/>
      <c r="D137" s="62">
        <f>SUM(D127:D133,D135)</f>
        <v>26124053.729999997</v>
      </c>
      <c r="E137" s="62"/>
      <c r="F137" s="62">
        <f>SUM(F127:F133,F135)</f>
        <v>26124053.729999997</v>
      </c>
      <c r="G137" s="171"/>
      <c r="H137" s="62">
        <f t="shared" ref="H137:Q137" si="40">SUM(H127:H133,H135)</f>
        <v>26124053.729999997</v>
      </c>
      <c r="I137" s="62">
        <f t="shared" si="40"/>
        <v>26124053.729999997</v>
      </c>
      <c r="J137" s="171">
        <f t="shared" si="40"/>
        <v>0</v>
      </c>
      <c r="K137" s="171">
        <f t="shared" si="40"/>
        <v>0</v>
      </c>
      <c r="L137" s="171">
        <f t="shared" si="40"/>
        <v>20786210.129999999</v>
      </c>
      <c r="M137" s="171">
        <f t="shared" si="40"/>
        <v>5337843.5999999996</v>
      </c>
      <c r="N137" s="171">
        <f t="shared" si="40"/>
        <v>0</v>
      </c>
      <c r="O137" s="171">
        <f t="shared" si="40"/>
        <v>0</v>
      </c>
      <c r="P137" s="171">
        <f t="shared" si="40"/>
        <v>0</v>
      </c>
      <c r="Q137" s="171">
        <f t="shared" si="40"/>
        <v>0</v>
      </c>
      <c r="R137" s="62"/>
      <c r="S137" s="62"/>
      <c r="T137" s="62"/>
      <c r="U137" s="62"/>
      <c r="V137" s="62"/>
    </row>
    <row r="138" spans="1:22" s="1" customFormat="1" x14ac:dyDescent="0.3">
      <c r="A138" s="461"/>
      <c r="B138" s="464" t="s">
        <v>565</v>
      </c>
      <c r="C138" s="464"/>
      <c r="D138" s="171"/>
      <c r="E138" s="62"/>
      <c r="F138" s="62"/>
      <c r="G138" s="171"/>
      <c r="H138" s="171"/>
      <c r="I138" s="62"/>
      <c r="J138" s="171"/>
      <c r="K138" s="171"/>
      <c r="L138" s="171"/>
      <c r="M138" s="171"/>
      <c r="N138" s="171"/>
      <c r="O138" s="171"/>
      <c r="P138" s="171"/>
      <c r="Q138" s="171"/>
      <c r="R138" s="171"/>
      <c r="S138" s="62"/>
      <c r="T138" s="62"/>
      <c r="U138" s="62"/>
      <c r="V138" s="62"/>
    </row>
    <row r="139" spans="1:22" s="1" customFormat="1" x14ac:dyDescent="0.3">
      <c r="A139" s="461">
        <v>590</v>
      </c>
      <c r="B139" s="461" t="s">
        <v>682</v>
      </c>
      <c r="C139" s="461" t="s">
        <v>49</v>
      </c>
      <c r="D139" s="171">
        <v>1201692.25</v>
      </c>
      <c r="E139" s="62"/>
      <c r="F139" s="468">
        <f t="shared" ref="F139:F147" si="41">D139+E139</f>
        <v>1201692.25</v>
      </c>
      <c r="G139" s="171"/>
      <c r="H139" s="171">
        <f t="shared" ref="H139:H147" si="42">F139</f>
        <v>1201692.25</v>
      </c>
      <c r="I139" s="468">
        <f t="shared" ref="I139:I147" si="43">H139</f>
        <v>1201692.25</v>
      </c>
      <c r="J139" s="171">
        <f>$I139*J$149/$I$149</f>
        <v>0</v>
      </c>
      <c r="K139" s="171">
        <v>0</v>
      </c>
      <c r="L139" s="171">
        <f t="shared" ref="L139:Q139" si="44">$I139*L$149/$I$149</f>
        <v>1157205.0263751568</v>
      </c>
      <c r="M139" s="171">
        <f t="shared" si="44"/>
        <v>44487.223624843267</v>
      </c>
      <c r="N139" s="171">
        <f t="shared" si="44"/>
        <v>0</v>
      </c>
      <c r="O139" s="171">
        <f t="shared" si="44"/>
        <v>0</v>
      </c>
      <c r="P139" s="171">
        <f t="shared" si="44"/>
        <v>0</v>
      </c>
      <c r="Q139" s="171">
        <f t="shared" si="44"/>
        <v>0</v>
      </c>
      <c r="R139" s="171"/>
      <c r="S139" s="62">
        <f t="shared" ref="S139:S148" si="45">SUM(J139:Q139)</f>
        <v>1201692.25</v>
      </c>
      <c r="T139" s="62">
        <f t="shared" ref="T139:T148" si="46">H139-S139</f>
        <v>0</v>
      </c>
      <c r="U139" s="62"/>
      <c r="V139" s="62"/>
    </row>
    <row r="140" spans="1:22" s="1" customFormat="1" x14ac:dyDescent="0.3">
      <c r="A140" s="461">
        <v>591</v>
      </c>
      <c r="B140" s="466" t="s">
        <v>569</v>
      </c>
      <c r="C140" s="466"/>
      <c r="D140" s="171">
        <v>0</v>
      </c>
      <c r="E140" s="62"/>
      <c r="F140" s="468">
        <f t="shared" si="41"/>
        <v>0</v>
      </c>
      <c r="G140" s="171"/>
      <c r="H140" s="171">
        <f t="shared" si="42"/>
        <v>0</v>
      </c>
      <c r="I140" s="468">
        <f t="shared" si="43"/>
        <v>0</v>
      </c>
      <c r="J140" s="467">
        <v>0</v>
      </c>
      <c r="K140" s="467">
        <v>0</v>
      </c>
      <c r="L140" s="171">
        <f>I140</f>
        <v>0</v>
      </c>
      <c r="M140" s="171"/>
      <c r="N140" s="171"/>
      <c r="O140" s="171"/>
      <c r="P140" s="467">
        <v>0</v>
      </c>
      <c r="Q140" s="171"/>
      <c r="R140" s="171"/>
      <c r="S140" s="62">
        <f t="shared" si="45"/>
        <v>0</v>
      </c>
      <c r="T140" s="62">
        <f t="shared" si="46"/>
        <v>0</v>
      </c>
      <c r="U140" s="62"/>
      <c r="V140" s="62"/>
    </row>
    <row r="141" spans="1:22" s="1" customFormat="1" x14ac:dyDescent="0.3">
      <c r="A141" s="461">
        <v>592</v>
      </c>
      <c r="B141" s="461" t="s">
        <v>658</v>
      </c>
      <c r="C141" s="461"/>
      <c r="D141" s="171">
        <v>5780399.1299999999</v>
      </c>
      <c r="E141" s="62"/>
      <c r="F141" s="468">
        <f t="shared" si="41"/>
        <v>5780399.1299999999</v>
      </c>
      <c r="G141" s="171"/>
      <c r="H141" s="171">
        <f t="shared" si="42"/>
        <v>5780399.1299999999</v>
      </c>
      <c r="I141" s="468">
        <f t="shared" si="43"/>
        <v>5780399.1299999999</v>
      </c>
      <c r="J141" s="467">
        <v>0</v>
      </c>
      <c r="K141" s="467">
        <v>0</v>
      </c>
      <c r="L141" s="171">
        <f>+I141</f>
        <v>5780399.1299999999</v>
      </c>
      <c r="M141" s="171"/>
      <c r="N141" s="171"/>
      <c r="O141" s="171"/>
      <c r="P141" s="467">
        <v>0</v>
      </c>
      <c r="Q141" s="171"/>
      <c r="R141" s="171"/>
      <c r="S141" s="62">
        <f t="shared" si="45"/>
        <v>5780399.1299999999</v>
      </c>
      <c r="T141" s="62">
        <f t="shared" si="46"/>
        <v>0</v>
      </c>
      <c r="U141" s="62"/>
      <c r="V141" s="62"/>
    </row>
    <row r="142" spans="1:22" s="1" customFormat="1" x14ac:dyDescent="0.3">
      <c r="A142" s="461">
        <v>593</v>
      </c>
      <c r="B142" s="466" t="s">
        <v>660</v>
      </c>
      <c r="C142" s="466"/>
      <c r="D142" s="171">
        <v>32086363.030000001</v>
      </c>
      <c r="E142" s="171">
        <v>0</v>
      </c>
      <c r="F142" s="468">
        <f t="shared" si="41"/>
        <v>32086363.030000001</v>
      </c>
      <c r="G142" s="171"/>
      <c r="H142" s="171">
        <f t="shared" si="42"/>
        <v>32086363.030000001</v>
      </c>
      <c r="I142" s="468">
        <f t="shared" si="43"/>
        <v>32086363.030000001</v>
      </c>
      <c r="J142" s="467">
        <v>0</v>
      </c>
      <c r="K142" s="467">
        <v>0</v>
      </c>
      <c r="L142" s="171">
        <f>I142</f>
        <v>32086363.030000001</v>
      </c>
      <c r="M142" s="171"/>
      <c r="N142" s="171"/>
      <c r="O142" s="171"/>
      <c r="P142" s="467">
        <v>0</v>
      </c>
      <c r="Q142" s="171"/>
      <c r="R142" s="171"/>
      <c r="S142" s="62">
        <f t="shared" si="45"/>
        <v>32086363.030000001</v>
      </c>
      <c r="T142" s="62">
        <f t="shared" si="46"/>
        <v>0</v>
      </c>
      <c r="U142" s="62"/>
      <c r="V142" s="62"/>
    </row>
    <row r="143" spans="1:22" s="1" customFormat="1" x14ac:dyDescent="0.3">
      <c r="A143" s="461">
        <v>594</v>
      </c>
      <c r="B143" s="461" t="s">
        <v>662</v>
      </c>
      <c r="C143" s="461"/>
      <c r="D143" s="171">
        <v>11574644.460000001</v>
      </c>
      <c r="E143" s="171">
        <v>0</v>
      </c>
      <c r="F143" s="468">
        <f t="shared" si="41"/>
        <v>11574644.460000001</v>
      </c>
      <c r="G143" s="171"/>
      <c r="H143" s="171">
        <f t="shared" si="42"/>
        <v>11574644.460000001</v>
      </c>
      <c r="I143" s="468">
        <f t="shared" si="43"/>
        <v>11574644.460000001</v>
      </c>
      <c r="J143" s="467">
        <v>0</v>
      </c>
      <c r="K143" s="467">
        <v>0</v>
      </c>
      <c r="L143" s="171">
        <f>I143</f>
        <v>11574644.460000001</v>
      </c>
      <c r="M143" s="171"/>
      <c r="N143" s="171"/>
      <c r="O143" s="171"/>
      <c r="P143" s="467">
        <v>0</v>
      </c>
      <c r="Q143" s="171"/>
      <c r="R143" s="171"/>
      <c r="S143" s="62">
        <f t="shared" si="45"/>
        <v>11574644.460000001</v>
      </c>
      <c r="T143" s="62">
        <f t="shared" si="46"/>
        <v>0</v>
      </c>
      <c r="U143" s="62"/>
      <c r="V143" s="62"/>
    </row>
    <row r="144" spans="1:22" s="1" customFormat="1" x14ac:dyDescent="0.3">
      <c r="A144" s="461">
        <v>595</v>
      </c>
      <c r="B144" s="461" t="s">
        <v>688</v>
      </c>
      <c r="C144" s="461"/>
      <c r="D144" s="171">
        <v>2262506.91</v>
      </c>
      <c r="E144" s="171"/>
      <c r="F144" s="468">
        <f t="shared" si="41"/>
        <v>2262506.91</v>
      </c>
      <c r="G144" s="171"/>
      <c r="H144" s="171">
        <f t="shared" si="42"/>
        <v>2262506.91</v>
      </c>
      <c r="I144" s="468">
        <f t="shared" si="43"/>
        <v>2262506.91</v>
      </c>
      <c r="J144" s="467">
        <v>0</v>
      </c>
      <c r="K144" s="467">
        <v>0</v>
      </c>
      <c r="L144" s="171">
        <f>I144</f>
        <v>2262506.91</v>
      </c>
      <c r="M144" s="171"/>
      <c r="N144" s="171"/>
      <c r="O144" s="171"/>
      <c r="P144" s="467">
        <v>0</v>
      </c>
      <c r="Q144" s="171"/>
      <c r="R144" s="171"/>
      <c r="S144" s="62">
        <f t="shared" si="45"/>
        <v>2262506.91</v>
      </c>
      <c r="T144" s="62">
        <f t="shared" si="46"/>
        <v>0</v>
      </c>
      <c r="U144" s="62"/>
      <c r="V144" s="62"/>
    </row>
    <row r="145" spans="1:22" s="1" customFormat="1" x14ac:dyDescent="0.3">
      <c r="A145" s="461">
        <v>596</v>
      </c>
      <c r="B145" s="461" t="s">
        <v>690</v>
      </c>
      <c r="C145" s="461"/>
      <c r="D145" s="171">
        <v>127081.46</v>
      </c>
      <c r="E145" s="171">
        <v>0</v>
      </c>
      <c r="F145" s="468">
        <f t="shared" si="41"/>
        <v>127081.46</v>
      </c>
      <c r="G145" s="171"/>
      <c r="H145" s="171">
        <f t="shared" si="42"/>
        <v>127081.46</v>
      </c>
      <c r="I145" s="468">
        <f t="shared" si="43"/>
        <v>127081.46</v>
      </c>
      <c r="J145" s="467">
        <v>0</v>
      </c>
      <c r="K145" s="467">
        <v>0</v>
      </c>
      <c r="L145" s="171">
        <f>I145</f>
        <v>127081.46</v>
      </c>
      <c r="M145" s="171"/>
      <c r="N145" s="171"/>
      <c r="O145" s="171"/>
      <c r="P145" s="467">
        <v>0</v>
      </c>
      <c r="Q145" s="171"/>
      <c r="R145" s="171"/>
      <c r="S145" s="62">
        <f t="shared" si="45"/>
        <v>127081.46</v>
      </c>
      <c r="T145" s="62">
        <f t="shared" si="46"/>
        <v>0</v>
      </c>
      <c r="U145" s="62"/>
      <c r="V145" s="62"/>
    </row>
    <row r="146" spans="1:22" s="1" customFormat="1" x14ac:dyDescent="0.3">
      <c r="A146" s="461">
        <v>597</v>
      </c>
      <c r="B146" s="461" t="s">
        <v>692</v>
      </c>
      <c r="C146" s="461"/>
      <c r="D146" s="171">
        <v>1992574.36</v>
      </c>
      <c r="E146" s="62"/>
      <c r="F146" s="468">
        <f t="shared" si="41"/>
        <v>1992574.36</v>
      </c>
      <c r="G146" s="171"/>
      <c r="H146" s="171">
        <f t="shared" si="42"/>
        <v>1992574.36</v>
      </c>
      <c r="I146" s="468">
        <f t="shared" si="43"/>
        <v>1992574.36</v>
      </c>
      <c r="J146" s="467">
        <v>0</v>
      </c>
      <c r="K146" s="467">
        <v>0</v>
      </c>
      <c r="L146" s="467">
        <v>0</v>
      </c>
      <c r="M146" s="171">
        <f>I146</f>
        <v>1992574.36</v>
      </c>
      <c r="N146" s="171"/>
      <c r="O146" s="171"/>
      <c r="P146" s="467">
        <v>0</v>
      </c>
      <c r="Q146" s="171"/>
      <c r="R146" s="171"/>
      <c r="S146" s="62">
        <f t="shared" si="45"/>
        <v>1992574.36</v>
      </c>
      <c r="T146" s="62">
        <f t="shared" si="46"/>
        <v>0</v>
      </c>
      <c r="U146" s="62"/>
      <c r="V146" s="62"/>
    </row>
    <row r="147" spans="1:22" s="1" customFormat="1" ht="14.5" x14ac:dyDescent="0.45">
      <c r="A147" s="461">
        <v>598</v>
      </c>
      <c r="B147" s="461" t="s">
        <v>694</v>
      </c>
      <c r="C147" s="461" t="s">
        <v>49</v>
      </c>
      <c r="D147" s="472">
        <v>138.28</v>
      </c>
      <c r="E147" s="62"/>
      <c r="F147" s="478">
        <f t="shared" si="41"/>
        <v>138.28</v>
      </c>
      <c r="G147" s="171"/>
      <c r="H147" s="476">
        <f t="shared" si="42"/>
        <v>138.28</v>
      </c>
      <c r="I147" s="478">
        <f t="shared" si="43"/>
        <v>138.28</v>
      </c>
      <c r="J147" s="472">
        <f>J149/$I$149*$I$147</f>
        <v>0</v>
      </c>
      <c r="K147" s="472">
        <v>0</v>
      </c>
      <c r="L147" s="476">
        <f>$I147*L$149/$I$149</f>
        <v>133.16080805810029</v>
      </c>
      <c r="M147" s="476">
        <f>$I147*M$149/$I$149</f>
        <v>5.1191919418997065</v>
      </c>
      <c r="N147" s="171">
        <f>N149/$I$149*$I$147</f>
        <v>0</v>
      </c>
      <c r="O147" s="171">
        <f>O149/$I$149*$I$147</f>
        <v>0</v>
      </c>
      <c r="P147" s="472">
        <f>P149/$I$149*$I$147</f>
        <v>0</v>
      </c>
      <c r="Q147" s="171">
        <f>Q149/$I$149*$I$147</f>
        <v>0</v>
      </c>
      <c r="R147" s="171"/>
      <c r="S147" s="62">
        <f t="shared" si="45"/>
        <v>138.28</v>
      </c>
      <c r="T147" s="62">
        <f t="shared" si="46"/>
        <v>0</v>
      </c>
      <c r="U147" s="62"/>
      <c r="V147" s="62"/>
    </row>
    <row r="148" spans="1:22" s="1" customFormat="1" x14ac:dyDescent="0.3">
      <c r="A148" s="461"/>
      <c r="B148" s="474" t="s">
        <v>524</v>
      </c>
      <c r="C148" s="474"/>
      <c r="D148" s="171">
        <f>SUM(D139:D147)</f>
        <v>55025399.880000003</v>
      </c>
      <c r="E148" s="171">
        <f>SUM(E139:E147)</f>
        <v>0</v>
      </c>
      <c r="F148" s="171">
        <f>SUM(F139:F147)</f>
        <v>55025399.880000003</v>
      </c>
      <c r="G148" s="171"/>
      <c r="H148" s="171">
        <f t="shared" ref="H148:Q148" si="47">SUM(H139:H147)</f>
        <v>55025399.880000003</v>
      </c>
      <c r="I148" s="171">
        <f t="shared" si="47"/>
        <v>55025399.880000003</v>
      </c>
      <c r="J148" s="171">
        <f t="shared" si="47"/>
        <v>0</v>
      </c>
      <c r="K148" s="171">
        <f t="shared" si="47"/>
        <v>0</v>
      </c>
      <c r="L148" s="171">
        <f t="shared" si="47"/>
        <v>52988333.177183218</v>
      </c>
      <c r="M148" s="171">
        <f t="shared" si="47"/>
        <v>2037066.7028167851</v>
      </c>
      <c r="N148" s="171">
        <f t="shared" si="47"/>
        <v>0</v>
      </c>
      <c r="O148" s="171">
        <f t="shared" si="47"/>
        <v>0</v>
      </c>
      <c r="P148" s="171">
        <f t="shared" si="47"/>
        <v>0</v>
      </c>
      <c r="Q148" s="171">
        <f t="shared" si="47"/>
        <v>0</v>
      </c>
      <c r="R148" s="171"/>
      <c r="S148" s="62">
        <f t="shared" si="45"/>
        <v>55025399.880000003</v>
      </c>
      <c r="T148" s="62">
        <f t="shared" si="46"/>
        <v>0</v>
      </c>
      <c r="U148" s="62"/>
      <c r="V148" s="62"/>
    </row>
    <row r="149" spans="1:22" s="1" customFormat="1" x14ac:dyDescent="0.3">
      <c r="A149" s="461" t="s">
        <v>1206</v>
      </c>
      <c r="B149" s="461" t="s">
        <v>825</v>
      </c>
      <c r="C149" s="461"/>
      <c r="D149" s="62">
        <f>SUM(D140:D146)</f>
        <v>53823569.350000001</v>
      </c>
      <c r="E149" s="62"/>
      <c r="F149" s="62">
        <f>SUM(F140:F146)</f>
        <v>53823569.350000001</v>
      </c>
      <c r="G149" s="171"/>
      <c r="H149" s="62">
        <f>SUM(H140:H146)</f>
        <v>53823569.350000001</v>
      </c>
      <c r="I149" s="62">
        <f>SUM(I140:I146)</f>
        <v>53823569.350000001</v>
      </c>
      <c r="J149" s="171">
        <f>SUM(J140:J146)</f>
        <v>0</v>
      </c>
      <c r="K149" s="171">
        <f>SUM(K140:K146)</f>
        <v>0</v>
      </c>
      <c r="L149" s="171">
        <f t="shared" ref="L149:Q149" si="48">SUM(L140:L146)</f>
        <v>51830994.990000002</v>
      </c>
      <c r="M149" s="171">
        <f t="shared" si="48"/>
        <v>1992574.36</v>
      </c>
      <c r="N149" s="171">
        <f t="shared" si="48"/>
        <v>0</v>
      </c>
      <c r="O149" s="171">
        <f t="shared" si="48"/>
        <v>0</v>
      </c>
      <c r="P149" s="171">
        <f t="shared" si="48"/>
        <v>0</v>
      </c>
      <c r="Q149" s="171">
        <f t="shared" si="48"/>
        <v>0</v>
      </c>
      <c r="R149" s="62"/>
      <c r="S149" s="62"/>
      <c r="T149" s="62"/>
      <c r="U149" s="62"/>
      <c r="V149" s="62"/>
    </row>
    <row r="150" spans="1:22" s="1" customFormat="1" x14ac:dyDescent="0.3">
      <c r="A150" s="461"/>
      <c r="B150" s="479" t="s">
        <v>542</v>
      </c>
      <c r="C150" s="479"/>
      <c r="D150" s="171">
        <f>D148+D136</f>
        <v>100047113.56999999</v>
      </c>
      <c r="E150" s="171">
        <f>E148+E136</f>
        <v>0</v>
      </c>
      <c r="F150" s="171">
        <f>F148+F136</f>
        <v>100047113.56999999</v>
      </c>
      <c r="G150" s="171"/>
      <c r="H150" s="171">
        <f t="shared" ref="H150:Q150" si="49">H148+H136</f>
        <v>100047113.56999999</v>
      </c>
      <c r="I150" s="171">
        <f t="shared" si="49"/>
        <v>100047113.56999999</v>
      </c>
      <c r="J150" s="171">
        <f t="shared" si="49"/>
        <v>0</v>
      </c>
      <c r="K150" s="171">
        <f t="shared" si="49"/>
        <v>0</v>
      </c>
      <c r="L150" s="171">
        <f t="shared" si="49"/>
        <v>88810905.387649953</v>
      </c>
      <c r="M150" s="171">
        <f t="shared" si="49"/>
        <v>11236208.182350054</v>
      </c>
      <c r="N150" s="171">
        <f t="shared" si="49"/>
        <v>0</v>
      </c>
      <c r="O150" s="171">
        <f t="shared" si="49"/>
        <v>0</v>
      </c>
      <c r="P150" s="171">
        <f t="shared" si="49"/>
        <v>0</v>
      </c>
      <c r="Q150" s="171">
        <f t="shared" si="49"/>
        <v>0</v>
      </c>
      <c r="R150" s="171"/>
      <c r="S150" s="62">
        <f>SUM(J150:Q150)</f>
        <v>100047113.57000001</v>
      </c>
      <c r="T150" s="62">
        <f>H150-S150</f>
        <v>0</v>
      </c>
      <c r="U150" s="62"/>
      <c r="V150" s="62"/>
    </row>
    <row r="151" spans="1:22" s="1" customFormat="1" x14ac:dyDescent="0.3">
      <c r="A151" s="461"/>
      <c r="B151" s="479"/>
      <c r="C151" s="479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62"/>
      <c r="T151" s="62"/>
      <c r="U151" s="62"/>
      <c r="V151" s="62"/>
    </row>
    <row r="152" spans="1:22" s="1" customFormat="1" x14ac:dyDescent="0.3">
      <c r="A152" s="461"/>
      <c r="B152" s="479" t="s">
        <v>695</v>
      </c>
      <c r="C152" s="479"/>
      <c r="D152" s="171">
        <f>D150+D122+D99</f>
        <v>1025521103.1899999</v>
      </c>
      <c r="E152" s="171">
        <f>E150+E122+E99</f>
        <v>0</v>
      </c>
      <c r="F152" s="171">
        <f>F150+F122+F99</f>
        <v>1025521103.1899999</v>
      </c>
      <c r="G152" s="171"/>
      <c r="H152" s="171">
        <f t="shared" ref="H152:Q152" si="50">H150+H122+H99</f>
        <v>1025521103.1899999</v>
      </c>
      <c r="I152" s="171">
        <f t="shared" si="50"/>
        <v>1025521103.1899999</v>
      </c>
      <c r="J152" s="171">
        <f t="shared" si="50"/>
        <v>906097319.02999997</v>
      </c>
      <c r="K152" s="171">
        <f t="shared" si="50"/>
        <v>19376670.590000004</v>
      </c>
      <c r="L152" s="171">
        <f t="shared" si="50"/>
        <v>88810905.387649953</v>
      </c>
      <c r="M152" s="171">
        <f t="shared" si="50"/>
        <v>11236208.182350054</v>
      </c>
      <c r="N152" s="171">
        <f t="shared" si="50"/>
        <v>0</v>
      </c>
      <c r="O152" s="171">
        <f t="shared" si="50"/>
        <v>0</v>
      </c>
      <c r="P152" s="171">
        <f t="shared" si="50"/>
        <v>0</v>
      </c>
      <c r="Q152" s="171">
        <f t="shared" si="50"/>
        <v>0</v>
      </c>
      <c r="R152" s="171"/>
      <c r="S152" s="62">
        <f>SUM(J152:Q152)</f>
        <v>1025521103.1899999</v>
      </c>
      <c r="T152" s="62">
        <f>H152-S152</f>
        <v>0</v>
      </c>
      <c r="U152" s="62"/>
      <c r="V152" s="62"/>
    </row>
    <row r="153" spans="1:22" s="1" customFormat="1" x14ac:dyDescent="0.3">
      <c r="A153" s="461"/>
      <c r="B153" s="461"/>
      <c r="C153" s="479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62"/>
      <c r="T153" s="62"/>
      <c r="U153" s="62"/>
      <c r="V153" s="62"/>
    </row>
    <row r="154" spans="1:22" s="1" customFormat="1" x14ac:dyDescent="0.3">
      <c r="A154" s="461"/>
      <c r="B154" s="461"/>
      <c r="C154" s="461"/>
      <c r="D154" s="171"/>
      <c r="E154" s="62"/>
      <c r="F154" s="62"/>
      <c r="G154" s="171"/>
      <c r="H154" s="171"/>
      <c r="I154" s="62"/>
      <c r="J154" s="171"/>
      <c r="K154" s="171"/>
      <c r="L154" s="171"/>
      <c r="M154" s="171"/>
      <c r="N154" s="171"/>
      <c r="O154" s="171"/>
      <c r="P154" s="171"/>
      <c r="Q154" s="171"/>
      <c r="R154" s="171"/>
      <c r="S154" s="62"/>
      <c r="T154" s="62"/>
      <c r="U154" s="62"/>
      <c r="V154" s="62"/>
    </row>
    <row r="155" spans="1:22" s="1" customFormat="1" x14ac:dyDescent="0.3">
      <c r="A155" s="479" t="s">
        <v>840</v>
      </c>
      <c r="B155" s="461"/>
      <c r="C155" s="461"/>
      <c r="D155" s="171"/>
      <c r="E155" s="62"/>
      <c r="F155" s="62"/>
      <c r="G155" s="171"/>
      <c r="H155" s="171"/>
      <c r="I155" s="62"/>
      <c r="J155" s="171"/>
      <c r="K155" s="171"/>
      <c r="L155" s="171"/>
      <c r="M155" s="171"/>
      <c r="N155" s="171"/>
      <c r="O155" s="171"/>
      <c r="P155" s="171"/>
      <c r="Q155" s="171"/>
      <c r="R155" s="171"/>
      <c r="S155" s="62"/>
      <c r="T155" s="62"/>
      <c r="U155" s="62"/>
      <c r="V155" s="62"/>
    </row>
    <row r="156" spans="1:22" s="1" customFormat="1" x14ac:dyDescent="0.3">
      <c r="A156" s="461"/>
      <c r="B156" s="461"/>
      <c r="C156" s="461"/>
      <c r="D156" s="171"/>
      <c r="E156" s="62"/>
      <c r="F156" s="62"/>
      <c r="G156" s="171"/>
      <c r="H156" s="171"/>
      <c r="I156" s="62"/>
      <c r="J156" s="171"/>
      <c r="K156" s="171"/>
      <c r="L156" s="171"/>
      <c r="M156" s="171"/>
      <c r="N156" s="171"/>
      <c r="O156" s="171"/>
      <c r="P156" s="171"/>
      <c r="Q156" s="171"/>
      <c r="R156" s="171"/>
      <c r="S156" s="62"/>
      <c r="T156" s="62"/>
      <c r="U156" s="62"/>
      <c r="V156" s="62"/>
    </row>
    <row r="157" spans="1:22" s="1" customFormat="1" x14ac:dyDescent="0.3">
      <c r="A157" s="479" t="s">
        <v>839</v>
      </c>
      <c r="B157" s="461"/>
      <c r="C157" s="461"/>
      <c r="D157" s="171"/>
      <c r="E157" s="62"/>
      <c r="F157" s="62"/>
      <c r="G157" s="171"/>
      <c r="H157" s="171"/>
      <c r="I157" s="62"/>
      <c r="J157" s="171"/>
      <c r="K157" s="171"/>
      <c r="L157" s="171"/>
      <c r="M157" s="171"/>
      <c r="N157" s="171"/>
      <c r="O157" s="171"/>
      <c r="P157" s="171"/>
      <c r="Q157" s="171"/>
      <c r="R157" s="171"/>
      <c r="S157" s="62"/>
      <c r="T157" s="62"/>
      <c r="U157" s="62"/>
      <c r="V157" s="62"/>
    </row>
    <row r="158" spans="1:22" s="1" customFormat="1" x14ac:dyDescent="0.3">
      <c r="A158" s="461"/>
      <c r="B158" s="461"/>
      <c r="C158" s="461"/>
      <c r="D158" s="171"/>
      <c r="E158" s="62"/>
      <c r="F158" s="62"/>
      <c r="G158" s="171"/>
      <c r="H158" s="171"/>
      <c r="I158" s="62"/>
      <c r="J158" s="171"/>
      <c r="K158" s="171"/>
      <c r="L158" s="171"/>
      <c r="M158" s="171"/>
      <c r="N158" s="171"/>
      <c r="O158" s="171"/>
      <c r="P158" s="171"/>
      <c r="Q158" s="171"/>
      <c r="R158" s="171"/>
      <c r="S158" s="62"/>
      <c r="T158" s="62"/>
      <c r="U158" s="62"/>
      <c r="V158" s="62"/>
    </row>
    <row r="159" spans="1:22" s="1" customFormat="1" x14ac:dyDescent="0.3">
      <c r="A159" s="461"/>
      <c r="B159" s="464" t="s">
        <v>810</v>
      </c>
      <c r="C159" s="461"/>
      <c r="D159" s="171"/>
      <c r="E159" s="62"/>
      <c r="F159" s="62"/>
      <c r="G159" s="171"/>
      <c r="H159" s="171"/>
      <c r="I159" s="62"/>
      <c r="J159" s="171"/>
      <c r="K159" s="171"/>
      <c r="L159" s="171"/>
      <c r="M159" s="171"/>
      <c r="N159" s="171"/>
      <c r="O159" s="171"/>
      <c r="P159" s="171"/>
      <c r="Q159" s="171"/>
      <c r="R159" s="171"/>
      <c r="S159" s="62"/>
      <c r="T159" s="62"/>
      <c r="U159" s="62"/>
      <c r="V159" s="62"/>
    </row>
    <row r="160" spans="1:22" x14ac:dyDescent="0.3">
      <c r="A160" s="461">
        <v>803</v>
      </c>
      <c r="B160" s="461" t="s">
        <v>1183</v>
      </c>
      <c r="C160" s="461"/>
      <c r="D160" s="171">
        <v>69880396.560000002</v>
      </c>
      <c r="E160" s="62"/>
      <c r="F160" s="62">
        <f>SUM(D160:E160)</f>
        <v>69880396.560000002</v>
      </c>
      <c r="G160" s="171">
        <f>F160</f>
        <v>69880396.560000002</v>
      </c>
      <c r="H160" s="171">
        <f>F160-G160</f>
        <v>0</v>
      </c>
      <c r="I160" s="171">
        <f>H160</f>
        <v>0</v>
      </c>
      <c r="J160" s="467">
        <v>0</v>
      </c>
      <c r="K160" s="467">
        <v>0</v>
      </c>
      <c r="L160" s="467">
        <v>0</v>
      </c>
      <c r="M160" s="171"/>
      <c r="N160" s="171"/>
      <c r="O160" s="171"/>
      <c r="P160" s="467">
        <v>0</v>
      </c>
      <c r="Q160" s="171"/>
      <c r="R160" s="171"/>
      <c r="S160" s="62">
        <f>SUM(J160:Q160)</f>
        <v>0</v>
      </c>
      <c r="T160" s="62">
        <f>H160-S160</f>
        <v>0</v>
      </c>
      <c r="U160" s="62"/>
      <c r="V160" s="62"/>
    </row>
    <row r="161" spans="1:22" x14ac:dyDescent="0.3">
      <c r="A161" s="461">
        <v>804</v>
      </c>
      <c r="B161" s="461" t="s">
        <v>839</v>
      </c>
      <c r="C161" s="461"/>
      <c r="D161" s="171">
        <v>0</v>
      </c>
      <c r="E161" s="62"/>
      <c r="F161" s="62">
        <f>SUM(D161:E161)</f>
        <v>0</v>
      </c>
      <c r="G161" s="171">
        <f>F161</f>
        <v>0</v>
      </c>
      <c r="H161" s="171">
        <f>F161-G161</f>
        <v>0</v>
      </c>
      <c r="I161" s="171">
        <f>H161</f>
        <v>0</v>
      </c>
      <c r="J161" s="467">
        <v>0</v>
      </c>
      <c r="K161" s="467">
        <v>0</v>
      </c>
      <c r="L161" s="467">
        <v>0</v>
      </c>
      <c r="M161" s="171"/>
      <c r="N161" s="171"/>
      <c r="O161" s="171"/>
      <c r="P161" s="467">
        <v>0</v>
      </c>
      <c r="Q161" s="171"/>
      <c r="R161" s="171"/>
      <c r="S161" s="62">
        <f>SUM(J161:Q161)</f>
        <v>0</v>
      </c>
      <c r="T161" s="62">
        <f>H161-S161</f>
        <v>0</v>
      </c>
      <c r="U161" s="62"/>
      <c r="V161" s="62"/>
    </row>
    <row r="162" spans="1:22" x14ac:dyDescent="0.3">
      <c r="A162" s="461">
        <v>807</v>
      </c>
      <c r="B162" s="461" t="s">
        <v>842</v>
      </c>
      <c r="C162" s="461"/>
      <c r="D162" s="171">
        <v>2869337.66</v>
      </c>
      <c r="E162" s="62"/>
      <c r="F162" s="62">
        <f>SUM(D162:E162)</f>
        <v>2869337.66</v>
      </c>
      <c r="G162" s="171">
        <f>F162</f>
        <v>2869337.66</v>
      </c>
      <c r="H162" s="171">
        <f>F162-G162</f>
        <v>0</v>
      </c>
      <c r="I162" s="171">
        <f>H162</f>
        <v>0</v>
      </c>
      <c r="J162" s="467">
        <v>0</v>
      </c>
      <c r="K162" s="467">
        <v>0</v>
      </c>
      <c r="L162" s="467">
        <v>0</v>
      </c>
      <c r="M162" s="171"/>
      <c r="N162" s="171"/>
      <c r="O162" s="171"/>
      <c r="P162" s="467">
        <v>0</v>
      </c>
      <c r="Q162" s="171"/>
      <c r="R162" s="171"/>
      <c r="S162" s="62">
        <f>SUM(J162:Q162)</f>
        <v>0</v>
      </c>
      <c r="T162" s="62">
        <f>H162-S162</f>
        <v>0</v>
      </c>
      <c r="U162" s="62"/>
      <c r="V162" s="62"/>
    </row>
    <row r="163" spans="1:22" x14ac:dyDescent="0.3">
      <c r="A163" s="480">
        <v>810</v>
      </c>
      <c r="B163" s="465" t="s">
        <v>1185</v>
      </c>
      <c r="C163" s="461"/>
      <c r="D163" s="171">
        <v>0</v>
      </c>
      <c r="E163" s="62"/>
      <c r="F163" s="62"/>
      <c r="G163" s="171"/>
      <c r="H163" s="171"/>
      <c r="I163" s="171"/>
      <c r="J163" s="467">
        <v>0</v>
      </c>
      <c r="K163" s="467">
        <v>0</v>
      </c>
      <c r="L163" s="467">
        <v>0</v>
      </c>
      <c r="M163" s="171"/>
      <c r="N163" s="171"/>
      <c r="O163" s="171"/>
      <c r="P163" s="467">
        <v>0</v>
      </c>
      <c r="Q163" s="171"/>
      <c r="R163" s="171"/>
      <c r="S163" s="62"/>
      <c r="T163" s="62"/>
      <c r="U163" s="62"/>
      <c r="V163" s="62"/>
    </row>
    <row r="164" spans="1:22" s="1" customFormat="1" ht="14.5" x14ac:dyDescent="0.45">
      <c r="A164" s="461">
        <v>812</v>
      </c>
      <c r="B164" s="461" t="s">
        <v>843</v>
      </c>
      <c r="C164" s="461"/>
      <c r="D164" s="472">
        <v>-3350004</v>
      </c>
      <c r="E164" s="539">
        <f>-D164</f>
        <v>3350004</v>
      </c>
      <c r="F164" s="539">
        <f>SUM(D164:E164)</f>
        <v>0</v>
      </c>
      <c r="G164" s="476">
        <f>F164</f>
        <v>0</v>
      </c>
      <c r="H164" s="171">
        <f>F164-G164</f>
        <v>0</v>
      </c>
      <c r="I164" s="171">
        <f>H164</f>
        <v>0</v>
      </c>
      <c r="J164" s="471">
        <v>0</v>
      </c>
      <c r="K164" s="471">
        <v>0</v>
      </c>
      <c r="L164" s="471">
        <v>0</v>
      </c>
      <c r="M164" s="171"/>
      <c r="N164" s="171"/>
      <c r="O164" s="171"/>
      <c r="P164" s="471">
        <v>0</v>
      </c>
      <c r="Q164" s="171"/>
      <c r="R164" s="171"/>
      <c r="S164" s="62">
        <f>SUM(J164:Q164)</f>
        <v>0</v>
      </c>
      <c r="T164" s="62">
        <f>H164-S164</f>
        <v>0</v>
      </c>
      <c r="U164" s="62"/>
      <c r="V164" s="62"/>
    </row>
    <row r="165" spans="1:22" s="1" customFormat="1" x14ac:dyDescent="0.3">
      <c r="A165" s="461"/>
      <c r="B165" s="479" t="s">
        <v>861</v>
      </c>
      <c r="C165" s="461"/>
      <c r="D165" s="171">
        <f>SUM(D160:D164)</f>
        <v>69399730.219999999</v>
      </c>
      <c r="E165" s="171">
        <f>SUM(E160:E164)</f>
        <v>3350004</v>
      </c>
      <c r="F165" s="62">
        <f t="shared" ref="F165:Q165" si="51">SUM(F160:F164)</f>
        <v>72749734.219999999</v>
      </c>
      <c r="G165" s="62">
        <f t="shared" si="51"/>
        <v>72749734.219999999</v>
      </c>
      <c r="H165" s="171">
        <f t="shared" si="51"/>
        <v>0</v>
      </c>
      <c r="I165" s="171">
        <f t="shared" si="51"/>
        <v>0</v>
      </c>
      <c r="J165" s="171">
        <f t="shared" si="51"/>
        <v>0</v>
      </c>
      <c r="K165" s="171">
        <f t="shared" si="51"/>
        <v>0</v>
      </c>
      <c r="L165" s="171">
        <f t="shared" si="51"/>
        <v>0</v>
      </c>
      <c r="M165" s="171">
        <f t="shared" si="51"/>
        <v>0</v>
      </c>
      <c r="N165" s="171">
        <f t="shared" si="51"/>
        <v>0</v>
      </c>
      <c r="O165" s="171">
        <f t="shared" si="51"/>
        <v>0</v>
      </c>
      <c r="P165" s="171">
        <f t="shared" si="51"/>
        <v>0</v>
      </c>
      <c r="Q165" s="171">
        <f t="shared" si="51"/>
        <v>0</v>
      </c>
      <c r="R165" s="171"/>
      <c r="S165" s="62">
        <f>SUM(J165:Q165)</f>
        <v>0</v>
      </c>
      <c r="T165" s="62">
        <f>H165-S165</f>
        <v>0</v>
      </c>
      <c r="U165" s="62"/>
      <c r="V165" s="62"/>
    </row>
    <row r="166" spans="1:22" s="1" customFormat="1" x14ac:dyDescent="0.3">
      <c r="A166" s="461"/>
      <c r="B166" s="461"/>
      <c r="C166" s="461"/>
      <c r="D166" s="171"/>
      <c r="E166" s="62"/>
      <c r="F166" s="171"/>
      <c r="G166" s="171"/>
      <c r="H166" s="171"/>
      <c r="I166" s="62"/>
      <c r="J166" s="171"/>
      <c r="K166" s="171"/>
      <c r="L166" s="171"/>
      <c r="M166" s="171"/>
      <c r="N166" s="171"/>
      <c r="O166" s="171"/>
      <c r="P166" s="171"/>
      <c r="Q166" s="171"/>
      <c r="R166" s="171"/>
      <c r="S166" s="62"/>
      <c r="T166" s="62"/>
      <c r="U166" s="62"/>
      <c r="V166" s="62"/>
    </row>
    <row r="167" spans="1:22" s="1" customFormat="1" x14ac:dyDescent="0.3">
      <c r="A167" s="461"/>
      <c r="B167" s="464" t="s">
        <v>366</v>
      </c>
      <c r="C167" s="461"/>
      <c r="D167" s="171"/>
      <c r="E167" s="62"/>
      <c r="F167" s="171"/>
      <c r="G167" s="171"/>
      <c r="H167" s="171"/>
      <c r="I167" s="62"/>
      <c r="J167" s="171"/>
      <c r="K167" s="171"/>
      <c r="L167" s="171"/>
      <c r="M167" s="171"/>
      <c r="N167" s="171"/>
      <c r="O167" s="171"/>
      <c r="P167" s="171"/>
      <c r="Q167" s="171"/>
      <c r="R167" s="171"/>
      <c r="S167" s="62"/>
      <c r="T167" s="62"/>
      <c r="U167" s="62"/>
      <c r="V167" s="62"/>
    </row>
    <row r="168" spans="1:22" s="1" customFormat="1" x14ac:dyDescent="0.3">
      <c r="A168" s="461">
        <v>823</v>
      </c>
      <c r="B168" s="461" t="s">
        <v>1187</v>
      </c>
      <c r="C168" s="461"/>
      <c r="D168" s="171">
        <v>0</v>
      </c>
      <c r="E168" s="62"/>
      <c r="F168" s="171"/>
      <c r="G168" s="171"/>
      <c r="H168" s="171"/>
      <c r="I168" s="62"/>
      <c r="J168" s="467">
        <v>0</v>
      </c>
      <c r="K168" s="467">
        <v>0</v>
      </c>
      <c r="L168" s="467">
        <v>0</v>
      </c>
      <c r="M168" s="171"/>
      <c r="N168" s="171"/>
      <c r="O168" s="171"/>
      <c r="P168" s="467">
        <v>0</v>
      </c>
      <c r="Q168" s="171"/>
      <c r="R168" s="171"/>
      <c r="S168" s="62"/>
      <c r="T168" s="62"/>
      <c r="U168" s="62"/>
      <c r="V168" s="62"/>
    </row>
    <row r="169" spans="1:22" s="1" customFormat="1" x14ac:dyDescent="0.3">
      <c r="A169" s="461">
        <v>850</v>
      </c>
      <c r="B169" s="461" t="s">
        <v>1065</v>
      </c>
      <c r="C169" s="461"/>
      <c r="D169" s="171">
        <v>121165.55</v>
      </c>
      <c r="E169" s="62"/>
      <c r="F169" s="62">
        <f t="shared" ref="F169:F176" si="52">SUM(D169:E169)</f>
        <v>121165.55</v>
      </c>
      <c r="G169" s="171">
        <f t="shared" ref="G169:G176" si="53">F169</f>
        <v>121165.55</v>
      </c>
      <c r="H169" s="171">
        <f t="shared" ref="H169:H176" si="54">F169-G169</f>
        <v>0</v>
      </c>
      <c r="I169" s="171">
        <f t="shared" ref="I169:I176" si="55">H169</f>
        <v>0</v>
      </c>
      <c r="J169" s="467">
        <v>0</v>
      </c>
      <c r="K169" s="467">
        <v>0</v>
      </c>
      <c r="L169" s="467">
        <v>0</v>
      </c>
      <c r="M169" s="171"/>
      <c r="N169" s="171"/>
      <c r="O169" s="171"/>
      <c r="P169" s="467">
        <v>0</v>
      </c>
      <c r="Q169" s="171"/>
      <c r="R169" s="171"/>
      <c r="S169" s="62"/>
      <c r="T169" s="62"/>
      <c r="U169" s="62"/>
      <c r="V169" s="62"/>
    </row>
    <row r="170" spans="1:22" s="1" customFormat="1" x14ac:dyDescent="0.3">
      <c r="A170" s="461">
        <v>851</v>
      </c>
      <c r="B170" s="461" t="s">
        <v>1189</v>
      </c>
      <c r="C170" s="461"/>
      <c r="D170" s="171">
        <v>0</v>
      </c>
      <c r="E170" s="62"/>
      <c r="F170" s="62"/>
      <c r="G170" s="171"/>
      <c r="H170" s="171"/>
      <c r="I170" s="171"/>
      <c r="J170" s="467">
        <v>0</v>
      </c>
      <c r="K170" s="467">
        <v>0</v>
      </c>
      <c r="L170" s="467">
        <v>0</v>
      </c>
      <c r="M170" s="171"/>
      <c r="N170" s="171"/>
      <c r="O170" s="171"/>
      <c r="P170" s="467">
        <v>0</v>
      </c>
      <c r="Q170" s="171"/>
      <c r="R170" s="171"/>
      <c r="S170" s="62"/>
      <c r="T170" s="62"/>
      <c r="U170" s="62"/>
      <c r="V170" s="62"/>
    </row>
    <row r="171" spans="1:22" s="1" customFormat="1" x14ac:dyDescent="0.3">
      <c r="A171" s="461">
        <v>853</v>
      </c>
      <c r="B171" s="461" t="s">
        <v>1061</v>
      </c>
      <c r="C171" s="461"/>
      <c r="D171" s="171">
        <v>0</v>
      </c>
      <c r="E171" s="62"/>
      <c r="F171" s="62">
        <f t="shared" si="52"/>
        <v>0</v>
      </c>
      <c r="G171" s="171">
        <f t="shared" si="53"/>
        <v>0</v>
      </c>
      <c r="H171" s="171">
        <f t="shared" si="54"/>
        <v>0</v>
      </c>
      <c r="I171" s="171">
        <f t="shared" si="55"/>
        <v>0</v>
      </c>
      <c r="J171" s="467">
        <v>0</v>
      </c>
      <c r="K171" s="467">
        <v>0</v>
      </c>
      <c r="L171" s="467">
        <v>0</v>
      </c>
      <c r="M171" s="171"/>
      <c r="N171" s="171"/>
      <c r="O171" s="171"/>
      <c r="P171" s="467">
        <v>0</v>
      </c>
      <c r="Q171" s="171"/>
      <c r="R171" s="171"/>
      <c r="S171" s="62"/>
      <c r="T171" s="62"/>
      <c r="U171" s="62"/>
      <c r="V171" s="62"/>
    </row>
    <row r="172" spans="1:22" s="1" customFormat="1" x14ac:dyDescent="0.3">
      <c r="A172" s="461">
        <v>856</v>
      </c>
      <c r="B172" s="480" t="s">
        <v>1191</v>
      </c>
      <c r="C172" s="461"/>
      <c r="D172" s="171">
        <v>105.57</v>
      </c>
      <c r="E172" s="62"/>
      <c r="F172" s="62">
        <f t="shared" ref="F172" si="56">SUM(D172:E172)</f>
        <v>105.57</v>
      </c>
      <c r="G172" s="171">
        <f t="shared" ref="G172" si="57">F172</f>
        <v>105.57</v>
      </c>
      <c r="H172" s="171">
        <f t="shared" ref="H172" si="58">F172-G172</f>
        <v>0</v>
      </c>
      <c r="I172" s="171">
        <f t="shared" ref="I172" si="59">H172</f>
        <v>0</v>
      </c>
      <c r="J172" s="467">
        <v>0</v>
      </c>
      <c r="K172" s="467">
        <v>0</v>
      </c>
      <c r="L172" s="467">
        <v>0</v>
      </c>
      <c r="M172" s="171"/>
      <c r="N172" s="171"/>
      <c r="O172" s="171"/>
      <c r="P172" s="467">
        <v>0</v>
      </c>
      <c r="Q172" s="171"/>
      <c r="R172" s="171"/>
      <c r="S172" s="62"/>
      <c r="T172" s="62"/>
      <c r="U172" s="62"/>
      <c r="V172" s="62"/>
    </row>
    <row r="173" spans="1:22" s="1" customFormat="1" x14ac:dyDescent="0.3">
      <c r="A173" s="461">
        <v>857</v>
      </c>
      <c r="B173" s="461" t="s">
        <v>1062</v>
      </c>
      <c r="C173" s="461"/>
      <c r="D173" s="171">
        <v>62736.59</v>
      </c>
      <c r="E173" s="62"/>
      <c r="F173" s="62">
        <f t="shared" si="52"/>
        <v>62736.59</v>
      </c>
      <c r="G173" s="171">
        <f t="shared" si="53"/>
        <v>62736.59</v>
      </c>
      <c r="H173" s="171">
        <f t="shared" si="54"/>
        <v>0</v>
      </c>
      <c r="I173" s="171">
        <f t="shared" si="55"/>
        <v>0</v>
      </c>
      <c r="J173" s="467">
        <v>0</v>
      </c>
      <c r="K173" s="467">
        <v>0</v>
      </c>
      <c r="L173" s="467">
        <v>0</v>
      </c>
      <c r="M173" s="171"/>
      <c r="N173" s="171"/>
      <c r="O173" s="171"/>
      <c r="P173" s="467">
        <v>0</v>
      </c>
      <c r="Q173" s="171"/>
      <c r="R173" s="171"/>
      <c r="S173" s="62"/>
      <c r="T173" s="62"/>
      <c r="U173" s="62"/>
      <c r="V173" s="62"/>
    </row>
    <row r="174" spans="1:22" s="1" customFormat="1" x14ac:dyDescent="0.3">
      <c r="A174" s="461">
        <v>859</v>
      </c>
      <c r="B174" s="461" t="s">
        <v>1240</v>
      </c>
      <c r="C174" s="461"/>
      <c r="D174" s="171">
        <v>30637.46</v>
      </c>
      <c r="E174" s="62"/>
      <c r="F174" s="62">
        <f t="shared" ref="F174" si="60">SUM(D174:E174)</f>
        <v>30637.46</v>
      </c>
      <c r="G174" s="171">
        <f t="shared" ref="G174" si="61">F174</f>
        <v>30637.46</v>
      </c>
      <c r="H174" s="171">
        <f t="shared" ref="H174" si="62">F174-G174</f>
        <v>0</v>
      </c>
      <c r="I174" s="171">
        <f t="shared" ref="I174" si="63">H174</f>
        <v>0</v>
      </c>
      <c r="J174" s="467">
        <v>0</v>
      </c>
      <c r="K174" s="467">
        <v>0</v>
      </c>
      <c r="L174" s="467">
        <v>0</v>
      </c>
      <c r="M174" s="171"/>
      <c r="N174" s="171"/>
      <c r="O174" s="171"/>
      <c r="P174" s="467">
        <v>0</v>
      </c>
      <c r="Q174" s="171"/>
      <c r="R174" s="171"/>
      <c r="S174" s="62"/>
      <c r="T174" s="62"/>
      <c r="U174" s="62"/>
      <c r="V174" s="62"/>
    </row>
    <row r="175" spans="1:22" s="1" customFormat="1" x14ac:dyDescent="0.3">
      <c r="A175" s="461">
        <v>862</v>
      </c>
      <c r="B175" s="461" t="s">
        <v>1241</v>
      </c>
      <c r="C175" s="461"/>
      <c r="D175" s="171">
        <v>2893.84</v>
      </c>
      <c r="E175" s="62"/>
      <c r="F175" s="62">
        <f t="shared" ref="F175" si="64">SUM(D175:E175)</f>
        <v>2893.84</v>
      </c>
      <c r="G175" s="171">
        <f t="shared" ref="G175" si="65">F175</f>
        <v>2893.84</v>
      </c>
      <c r="H175" s="171">
        <f t="shared" ref="H175" si="66">F175-G175</f>
        <v>0</v>
      </c>
      <c r="I175" s="171">
        <f t="shared" ref="I175" si="67">H175</f>
        <v>0</v>
      </c>
      <c r="J175" s="467">
        <v>0</v>
      </c>
      <c r="K175" s="467">
        <v>0</v>
      </c>
      <c r="L175" s="467">
        <v>0</v>
      </c>
      <c r="M175" s="171"/>
      <c r="N175" s="171"/>
      <c r="O175" s="171"/>
      <c r="P175" s="467">
        <v>0</v>
      </c>
      <c r="Q175" s="171"/>
      <c r="R175" s="171"/>
      <c r="S175" s="62"/>
      <c r="T175" s="62"/>
      <c r="U175" s="62"/>
      <c r="V175" s="62"/>
    </row>
    <row r="176" spans="1:22" s="1" customFormat="1" x14ac:dyDescent="0.3">
      <c r="A176" s="461">
        <v>863</v>
      </c>
      <c r="B176" s="461" t="s">
        <v>1063</v>
      </c>
      <c r="C176" s="461"/>
      <c r="D176" s="171">
        <v>9029.56</v>
      </c>
      <c r="E176" s="62"/>
      <c r="F176" s="62">
        <f t="shared" si="52"/>
        <v>9029.56</v>
      </c>
      <c r="G176" s="171">
        <f t="shared" si="53"/>
        <v>9029.56</v>
      </c>
      <c r="H176" s="171">
        <f t="shared" si="54"/>
        <v>0</v>
      </c>
      <c r="I176" s="171">
        <f t="shared" si="55"/>
        <v>0</v>
      </c>
      <c r="J176" s="467">
        <v>0</v>
      </c>
      <c r="K176" s="467">
        <v>0</v>
      </c>
      <c r="L176" s="467">
        <v>0</v>
      </c>
      <c r="M176" s="171"/>
      <c r="N176" s="171"/>
      <c r="O176" s="171"/>
      <c r="P176" s="467">
        <v>0</v>
      </c>
      <c r="Q176" s="171"/>
      <c r="R176" s="171"/>
      <c r="S176" s="62"/>
      <c r="T176" s="62"/>
      <c r="U176" s="62"/>
      <c r="V176" s="62"/>
    </row>
    <row r="177" spans="1:22" s="1" customFormat="1" x14ac:dyDescent="0.3">
      <c r="A177" s="461">
        <v>865</v>
      </c>
      <c r="B177" s="461" t="s">
        <v>1064</v>
      </c>
      <c r="C177" s="461"/>
      <c r="D177" s="171">
        <v>135878.5</v>
      </c>
      <c r="E177" s="62"/>
      <c r="F177" s="62">
        <f t="shared" ref="F177:F178" si="68">SUM(D177:E177)</f>
        <v>135878.5</v>
      </c>
      <c r="G177" s="171">
        <f t="shared" ref="G177:G178" si="69">F177</f>
        <v>135878.5</v>
      </c>
      <c r="H177" s="171">
        <f t="shared" ref="H177:H178" si="70">F177-G177</f>
        <v>0</v>
      </c>
      <c r="I177" s="171">
        <f t="shared" ref="I177:I178" si="71">H177</f>
        <v>0</v>
      </c>
      <c r="J177" s="467">
        <v>0</v>
      </c>
      <c r="K177" s="467">
        <v>0</v>
      </c>
      <c r="L177" s="467">
        <v>0</v>
      </c>
      <c r="M177" s="171"/>
      <c r="N177" s="171"/>
      <c r="O177" s="171"/>
      <c r="P177" s="467">
        <v>0</v>
      </c>
      <c r="Q177" s="171"/>
      <c r="R177" s="171"/>
      <c r="S177" s="62"/>
      <c r="T177" s="62"/>
      <c r="U177" s="62"/>
      <c r="V177" s="62"/>
    </row>
    <row r="178" spans="1:22" s="1" customFormat="1" ht="14.5" x14ac:dyDescent="0.45">
      <c r="A178" s="461">
        <v>867</v>
      </c>
      <c r="B178" s="461" t="s">
        <v>1193</v>
      </c>
      <c r="C178" s="461"/>
      <c r="D178" s="472">
        <v>21649.03</v>
      </c>
      <c r="E178" s="62"/>
      <c r="F178" s="539">
        <f t="shared" si="68"/>
        <v>21649.03</v>
      </c>
      <c r="G178" s="476">
        <f t="shared" si="69"/>
        <v>21649.03</v>
      </c>
      <c r="H178" s="476">
        <f t="shared" si="70"/>
        <v>0</v>
      </c>
      <c r="I178" s="476">
        <f t="shared" si="71"/>
        <v>0</v>
      </c>
      <c r="J178" s="471">
        <v>0</v>
      </c>
      <c r="K178" s="471">
        <v>0</v>
      </c>
      <c r="L178" s="471">
        <v>0</v>
      </c>
      <c r="M178" s="171"/>
      <c r="N178" s="171"/>
      <c r="O178" s="171"/>
      <c r="P178" s="471">
        <v>0</v>
      </c>
      <c r="Q178" s="171"/>
      <c r="R178" s="171"/>
      <c r="S178" s="62"/>
      <c r="T178" s="62"/>
      <c r="U178" s="62"/>
      <c r="V178" s="62"/>
    </row>
    <row r="179" spans="1:22" s="1" customFormat="1" x14ac:dyDescent="0.3">
      <c r="A179" s="461"/>
      <c r="B179" s="479" t="s">
        <v>1066</v>
      </c>
      <c r="C179" s="461"/>
      <c r="D179" s="171">
        <f>SUM(D169:D178)</f>
        <v>384096.1</v>
      </c>
      <c r="E179" s="171">
        <f>SUM(E169:E178)</f>
        <v>0</v>
      </c>
      <c r="F179" s="171">
        <f t="shared" ref="F179:I179" si="72">SUM(F169:F178)</f>
        <v>384096.1</v>
      </c>
      <c r="G179" s="171">
        <f t="shared" si="72"/>
        <v>384096.1</v>
      </c>
      <c r="H179" s="171">
        <f t="shared" si="72"/>
        <v>0</v>
      </c>
      <c r="I179" s="171">
        <f t="shared" si="72"/>
        <v>0</v>
      </c>
      <c r="J179" s="171">
        <f>SUM(J168:J178)</f>
        <v>0</v>
      </c>
      <c r="K179" s="171">
        <f>SUM(K168:K178)</f>
        <v>0</v>
      </c>
      <c r="L179" s="171">
        <f>SUM(L168:L178)</f>
        <v>0</v>
      </c>
      <c r="M179" s="171"/>
      <c r="N179" s="171"/>
      <c r="O179" s="171"/>
      <c r="P179" s="171">
        <f>SUM(P168:P178)</f>
        <v>0</v>
      </c>
      <c r="Q179" s="171"/>
      <c r="R179" s="171"/>
      <c r="S179" s="62"/>
      <c r="T179" s="62"/>
      <c r="U179" s="62"/>
      <c r="V179" s="62"/>
    </row>
    <row r="180" spans="1:22" s="1" customFormat="1" x14ac:dyDescent="0.3">
      <c r="A180" s="461"/>
      <c r="B180" s="461"/>
      <c r="C180" s="461"/>
      <c r="D180" s="171"/>
      <c r="E180" s="62"/>
      <c r="F180" s="171"/>
      <c r="G180" s="171"/>
      <c r="H180" s="171"/>
      <c r="I180" s="62"/>
      <c r="J180" s="171"/>
      <c r="K180" s="171"/>
      <c r="L180" s="171"/>
      <c r="M180" s="171"/>
      <c r="N180" s="171"/>
      <c r="O180" s="171"/>
      <c r="P180" s="171"/>
      <c r="Q180" s="171"/>
      <c r="R180" s="171"/>
      <c r="S180" s="62"/>
      <c r="T180" s="62"/>
      <c r="U180" s="62"/>
      <c r="V180" s="62"/>
    </row>
    <row r="181" spans="1:22" s="1" customFormat="1" x14ac:dyDescent="0.3">
      <c r="A181" s="479" t="s">
        <v>846</v>
      </c>
      <c r="B181" s="464"/>
      <c r="C181" s="461"/>
      <c r="D181" s="171"/>
      <c r="E181" s="62"/>
      <c r="F181" s="62"/>
      <c r="G181" s="171"/>
      <c r="H181" s="171"/>
      <c r="I181" s="62"/>
      <c r="J181" s="171"/>
      <c r="K181" s="171"/>
      <c r="L181" s="171"/>
      <c r="M181" s="171"/>
      <c r="N181" s="171"/>
      <c r="O181" s="171"/>
      <c r="P181" s="171"/>
      <c r="Q181" s="171"/>
      <c r="R181" s="171"/>
      <c r="S181" s="62"/>
      <c r="T181" s="62"/>
      <c r="U181" s="62"/>
      <c r="V181" s="62"/>
    </row>
    <row r="182" spans="1:22" s="1" customFormat="1" x14ac:dyDescent="0.3">
      <c r="A182" s="479"/>
      <c r="B182" s="464" t="s">
        <v>549</v>
      </c>
      <c r="C182" s="461"/>
      <c r="D182" s="171"/>
      <c r="E182" s="62"/>
      <c r="F182" s="62"/>
      <c r="G182" s="171"/>
      <c r="H182" s="171"/>
      <c r="I182" s="62"/>
      <c r="J182" s="171"/>
      <c r="K182" s="171"/>
      <c r="L182" s="171"/>
      <c r="M182" s="171"/>
      <c r="N182" s="171"/>
      <c r="O182" s="171"/>
      <c r="P182" s="171"/>
      <c r="Q182" s="171"/>
      <c r="R182" s="171"/>
      <c r="S182" s="62"/>
      <c r="T182" s="62"/>
      <c r="U182" s="62"/>
      <c r="V182" s="62"/>
    </row>
    <row r="183" spans="1:22" s="1" customFormat="1" x14ac:dyDescent="0.3">
      <c r="A183" s="461">
        <v>870</v>
      </c>
      <c r="B183" s="461" t="s">
        <v>847</v>
      </c>
      <c r="C183" s="461"/>
      <c r="D183" s="171">
        <v>3008229.81</v>
      </c>
      <c r="E183" s="62"/>
      <c r="F183" s="62">
        <f>SUM(D183:E183)</f>
        <v>3008229.81</v>
      </c>
      <c r="G183" s="171">
        <f t="shared" ref="G183:G193" si="73">F183</f>
        <v>3008229.81</v>
      </c>
      <c r="H183" s="171">
        <f t="shared" ref="H183:H194" si="74">F183-G183</f>
        <v>0</v>
      </c>
      <c r="I183" s="171">
        <f t="shared" ref="I183:I193" si="75">H183</f>
        <v>0</v>
      </c>
      <c r="J183" s="467">
        <v>0</v>
      </c>
      <c r="K183" s="467">
        <v>0</v>
      </c>
      <c r="L183" s="467">
        <v>0</v>
      </c>
      <c r="M183" s="171"/>
      <c r="N183" s="171"/>
      <c r="O183" s="171"/>
      <c r="P183" s="467">
        <v>0</v>
      </c>
      <c r="Q183" s="171"/>
      <c r="R183" s="171"/>
      <c r="S183" s="62">
        <f t="shared" ref="S183:S194" si="76">SUM(J183:Q183)</f>
        <v>0</v>
      </c>
      <c r="T183" s="62">
        <f t="shared" ref="T183:T194" si="77">H183-S183</f>
        <v>0</v>
      </c>
      <c r="U183" s="62"/>
      <c r="V183" s="62"/>
    </row>
    <row r="184" spans="1:22" s="1" customFormat="1" x14ac:dyDescent="0.3">
      <c r="A184" s="461">
        <v>871</v>
      </c>
      <c r="B184" s="461" t="s">
        <v>644</v>
      </c>
      <c r="C184" s="461"/>
      <c r="D184" s="171">
        <v>938405.04</v>
      </c>
      <c r="E184" s="62"/>
      <c r="F184" s="62">
        <f t="shared" ref="F184:F193" si="78">SUM(D184:E184)</f>
        <v>938405.04</v>
      </c>
      <c r="G184" s="171">
        <f t="shared" si="73"/>
        <v>938405.04</v>
      </c>
      <c r="H184" s="171">
        <f t="shared" si="74"/>
        <v>0</v>
      </c>
      <c r="I184" s="171">
        <f t="shared" si="75"/>
        <v>0</v>
      </c>
      <c r="J184" s="467">
        <v>0</v>
      </c>
      <c r="K184" s="467">
        <v>0</v>
      </c>
      <c r="L184" s="467">
        <v>0</v>
      </c>
      <c r="M184" s="171"/>
      <c r="N184" s="171"/>
      <c r="O184" s="171"/>
      <c r="P184" s="467">
        <v>0</v>
      </c>
      <c r="Q184" s="171"/>
      <c r="R184" s="171"/>
      <c r="S184" s="62">
        <f t="shared" si="76"/>
        <v>0</v>
      </c>
      <c r="T184" s="62">
        <f t="shared" si="77"/>
        <v>0</v>
      </c>
      <c r="U184" s="62"/>
      <c r="V184" s="62"/>
    </row>
    <row r="185" spans="1:22" s="1" customFormat="1" x14ac:dyDescent="0.3">
      <c r="A185" s="461">
        <v>872</v>
      </c>
      <c r="B185" s="461" t="s">
        <v>848</v>
      </c>
      <c r="C185" s="461"/>
      <c r="D185" s="171">
        <v>0</v>
      </c>
      <c r="E185" s="62"/>
      <c r="F185" s="62">
        <f t="shared" si="78"/>
        <v>0</v>
      </c>
      <c r="G185" s="171">
        <f t="shared" si="73"/>
        <v>0</v>
      </c>
      <c r="H185" s="171">
        <f t="shared" si="74"/>
        <v>0</v>
      </c>
      <c r="I185" s="171">
        <f t="shared" si="75"/>
        <v>0</v>
      </c>
      <c r="J185" s="467">
        <v>0</v>
      </c>
      <c r="K185" s="467">
        <v>0</v>
      </c>
      <c r="L185" s="467">
        <v>0</v>
      </c>
      <c r="M185" s="171"/>
      <c r="N185" s="171"/>
      <c r="O185" s="171"/>
      <c r="P185" s="467">
        <v>0</v>
      </c>
      <c r="Q185" s="171"/>
      <c r="R185" s="171"/>
      <c r="S185" s="62">
        <f t="shared" si="76"/>
        <v>0</v>
      </c>
      <c r="T185" s="62">
        <f t="shared" si="77"/>
        <v>0</v>
      </c>
      <c r="U185" s="62"/>
      <c r="V185" s="62"/>
    </row>
    <row r="186" spans="1:22" s="1" customFormat="1" x14ac:dyDescent="0.3">
      <c r="A186" s="461">
        <v>873</v>
      </c>
      <c r="B186" s="461" t="s">
        <v>849</v>
      </c>
      <c r="C186" s="461"/>
      <c r="D186" s="171">
        <v>0</v>
      </c>
      <c r="E186" s="62"/>
      <c r="F186" s="62">
        <f t="shared" si="78"/>
        <v>0</v>
      </c>
      <c r="G186" s="171">
        <f t="shared" si="73"/>
        <v>0</v>
      </c>
      <c r="H186" s="171">
        <f t="shared" si="74"/>
        <v>0</v>
      </c>
      <c r="I186" s="171">
        <f t="shared" si="75"/>
        <v>0</v>
      </c>
      <c r="J186" s="467">
        <v>0</v>
      </c>
      <c r="K186" s="467">
        <v>0</v>
      </c>
      <c r="L186" s="467">
        <v>0</v>
      </c>
      <c r="M186" s="171"/>
      <c r="N186" s="171"/>
      <c r="O186" s="171"/>
      <c r="P186" s="467">
        <v>0</v>
      </c>
      <c r="Q186" s="171"/>
      <c r="R186" s="171"/>
      <c r="S186" s="62">
        <f t="shared" si="76"/>
        <v>0</v>
      </c>
      <c r="T186" s="62">
        <f t="shared" si="77"/>
        <v>0</v>
      </c>
      <c r="U186" s="62"/>
      <c r="V186" s="62"/>
    </row>
    <row r="187" spans="1:22" s="1" customFormat="1" x14ac:dyDescent="0.3">
      <c r="A187" s="461">
        <v>874</v>
      </c>
      <c r="B187" s="461" t="s">
        <v>850</v>
      </c>
      <c r="C187" s="461"/>
      <c r="D187" s="171">
        <v>4596834.0999999996</v>
      </c>
      <c r="E187" s="62"/>
      <c r="F187" s="62">
        <f t="shared" si="78"/>
        <v>4596834.0999999996</v>
      </c>
      <c r="G187" s="171">
        <f t="shared" si="73"/>
        <v>4596834.0999999996</v>
      </c>
      <c r="H187" s="171">
        <f t="shared" si="74"/>
        <v>0</v>
      </c>
      <c r="I187" s="171">
        <f t="shared" si="75"/>
        <v>0</v>
      </c>
      <c r="J187" s="467">
        <v>0</v>
      </c>
      <c r="K187" s="467">
        <v>0</v>
      </c>
      <c r="L187" s="467">
        <v>0</v>
      </c>
      <c r="M187" s="171"/>
      <c r="N187" s="171"/>
      <c r="O187" s="171"/>
      <c r="P187" s="467">
        <v>0</v>
      </c>
      <c r="Q187" s="171"/>
      <c r="R187" s="171"/>
      <c r="S187" s="62">
        <f t="shared" si="76"/>
        <v>0</v>
      </c>
      <c r="T187" s="62">
        <f t="shared" si="77"/>
        <v>0</v>
      </c>
      <c r="U187" s="62"/>
      <c r="V187" s="62"/>
    </row>
    <row r="188" spans="1:22" s="1" customFormat="1" x14ac:dyDescent="0.3">
      <c r="A188" s="461">
        <v>875</v>
      </c>
      <c r="B188" s="461" t="s">
        <v>851</v>
      </c>
      <c r="C188" s="461"/>
      <c r="D188" s="171">
        <v>293396.09999999998</v>
      </c>
      <c r="E188" s="62"/>
      <c r="F188" s="62">
        <f t="shared" si="78"/>
        <v>293396.09999999998</v>
      </c>
      <c r="G188" s="171">
        <f t="shared" si="73"/>
        <v>293396.09999999998</v>
      </c>
      <c r="H188" s="171">
        <f t="shared" si="74"/>
        <v>0</v>
      </c>
      <c r="I188" s="171">
        <f t="shared" si="75"/>
        <v>0</v>
      </c>
      <c r="J188" s="467">
        <v>0</v>
      </c>
      <c r="K188" s="467">
        <v>0</v>
      </c>
      <c r="L188" s="467">
        <v>0</v>
      </c>
      <c r="M188" s="171"/>
      <c r="N188" s="171"/>
      <c r="O188" s="171"/>
      <c r="P188" s="467">
        <v>0</v>
      </c>
      <c r="Q188" s="171"/>
      <c r="R188" s="171"/>
      <c r="S188" s="62">
        <f t="shared" si="76"/>
        <v>0</v>
      </c>
      <c r="T188" s="62">
        <f t="shared" si="77"/>
        <v>0</v>
      </c>
      <c r="U188" s="62"/>
      <c r="V188" s="62"/>
    </row>
    <row r="189" spans="1:22" s="1" customFormat="1" x14ac:dyDescent="0.3">
      <c r="A189" s="461">
        <v>876</v>
      </c>
      <c r="B189" s="461" t="s">
        <v>852</v>
      </c>
      <c r="C189" s="461"/>
      <c r="D189" s="171">
        <v>295738.42</v>
      </c>
      <c r="E189" s="62"/>
      <c r="F189" s="62">
        <f t="shared" si="78"/>
        <v>295738.42</v>
      </c>
      <c r="G189" s="171">
        <f t="shared" si="73"/>
        <v>295738.42</v>
      </c>
      <c r="H189" s="171">
        <f t="shared" si="74"/>
        <v>0</v>
      </c>
      <c r="I189" s="171">
        <f t="shared" si="75"/>
        <v>0</v>
      </c>
      <c r="J189" s="467">
        <v>0</v>
      </c>
      <c r="K189" s="467">
        <v>0</v>
      </c>
      <c r="L189" s="467">
        <v>0</v>
      </c>
      <c r="M189" s="171"/>
      <c r="N189" s="171"/>
      <c r="O189" s="171"/>
      <c r="P189" s="467">
        <v>0</v>
      </c>
      <c r="Q189" s="171"/>
      <c r="R189" s="171"/>
      <c r="S189" s="62">
        <f t="shared" si="76"/>
        <v>0</v>
      </c>
      <c r="T189" s="62">
        <f t="shared" si="77"/>
        <v>0</v>
      </c>
      <c r="U189" s="62"/>
      <c r="V189" s="62"/>
    </row>
    <row r="190" spans="1:22" s="1" customFormat="1" x14ac:dyDescent="0.3">
      <c r="A190" s="461">
        <v>877</v>
      </c>
      <c r="B190" s="461" t="s">
        <v>853</v>
      </c>
      <c r="C190" s="461"/>
      <c r="D190" s="171">
        <v>125541.71</v>
      </c>
      <c r="E190" s="62"/>
      <c r="F190" s="62">
        <f t="shared" si="78"/>
        <v>125541.71</v>
      </c>
      <c r="G190" s="171">
        <f t="shared" si="73"/>
        <v>125541.71</v>
      </c>
      <c r="H190" s="171">
        <f t="shared" si="74"/>
        <v>0</v>
      </c>
      <c r="I190" s="171">
        <f t="shared" si="75"/>
        <v>0</v>
      </c>
      <c r="J190" s="467">
        <v>0</v>
      </c>
      <c r="K190" s="467">
        <v>0</v>
      </c>
      <c r="L190" s="467">
        <v>0</v>
      </c>
      <c r="M190" s="171"/>
      <c r="N190" s="171"/>
      <c r="O190" s="171"/>
      <c r="P190" s="467">
        <v>0</v>
      </c>
      <c r="Q190" s="171"/>
      <c r="R190" s="171"/>
      <c r="S190" s="62">
        <f t="shared" si="76"/>
        <v>0</v>
      </c>
      <c r="T190" s="62">
        <f t="shared" si="77"/>
        <v>0</v>
      </c>
      <c r="U190" s="62"/>
      <c r="V190" s="62"/>
    </row>
    <row r="191" spans="1:22" s="1" customFormat="1" x14ac:dyDescent="0.3">
      <c r="A191" s="461">
        <v>878</v>
      </c>
      <c r="B191" s="461" t="s">
        <v>854</v>
      </c>
      <c r="C191" s="461"/>
      <c r="D191" s="171">
        <v>1404464.17</v>
      </c>
      <c r="E191" s="62"/>
      <c r="F191" s="62">
        <f t="shared" si="78"/>
        <v>1404464.17</v>
      </c>
      <c r="G191" s="171">
        <f t="shared" si="73"/>
        <v>1404464.17</v>
      </c>
      <c r="H191" s="171">
        <f t="shared" si="74"/>
        <v>0</v>
      </c>
      <c r="I191" s="171">
        <f t="shared" si="75"/>
        <v>0</v>
      </c>
      <c r="J191" s="467">
        <v>0</v>
      </c>
      <c r="K191" s="467">
        <v>0</v>
      </c>
      <c r="L191" s="467">
        <v>0</v>
      </c>
      <c r="M191" s="171"/>
      <c r="N191" s="171"/>
      <c r="O191" s="171"/>
      <c r="P191" s="467">
        <v>0</v>
      </c>
      <c r="Q191" s="171"/>
      <c r="R191" s="171"/>
      <c r="S191" s="62">
        <f t="shared" si="76"/>
        <v>0</v>
      </c>
      <c r="T191" s="62">
        <f t="shared" si="77"/>
        <v>0</v>
      </c>
      <c r="U191" s="62"/>
      <c r="V191" s="62"/>
    </row>
    <row r="192" spans="1:22" s="1" customFormat="1" x14ac:dyDescent="0.3">
      <c r="A192" s="461">
        <v>879</v>
      </c>
      <c r="B192" s="461" t="s">
        <v>855</v>
      </c>
      <c r="C192" s="461"/>
      <c r="D192" s="171">
        <v>103282.61</v>
      </c>
      <c r="E192" s="62"/>
      <c r="F192" s="62">
        <f t="shared" si="78"/>
        <v>103282.61</v>
      </c>
      <c r="G192" s="171">
        <f t="shared" si="73"/>
        <v>103282.61</v>
      </c>
      <c r="H192" s="171">
        <f t="shared" si="74"/>
        <v>0</v>
      </c>
      <c r="I192" s="171">
        <f t="shared" si="75"/>
        <v>0</v>
      </c>
      <c r="J192" s="467">
        <v>0</v>
      </c>
      <c r="K192" s="467">
        <v>0</v>
      </c>
      <c r="L192" s="467">
        <v>0</v>
      </c>
      <c r="M192" s="171"/>
      <c r="N192" s="171"/>
      <c r="O192" s="171"/>
      <c r="P192" s="467">
        <v>0</v>
      </c>
      <c r="Q192" s="171"/>
      <c r="R192" s="171"/>
      <c r="S192" s="62">
        <f t="shared" si="76"/>
        <v>0</v>
      </c>
      <c r="T192" s="62">
        <f t="shared" si="77"/>
        <v>0</v>
      </c>
      <c r="U192" s="62"/>
      <c r="V192" s="62"/>
    </row>
    <row r="193" spans="1:22" s="1" customFormat="1" ht="14.5" x14ac:dyDescent="0.45">
      <c r="A193" s="461">
        <v>880</v>
      </c>
      <c r="B193" s="461" t="s">
        <v>856</v>
      </c>
      <c r="C193" s="461"/>
      <c r="D193" s="472">
        <v>5284859.08</v>
      </c>
      <c r="E193" s="62"/>
      <c r="F193" s="539">
        <f t="shared" si="78"/>
        <v>5284859.08</v>
      </c>
      <c r="G193" s="476">
        <f t="shared" si="73"/>
        <v>5284859.08</v>
      </c>
      <c r="H193" s="171">
        <f t="shared" si="74"/>
        <v>0</v>
      </c>
      <c r="I193" s="171">
        <f t="shared" si="75"/>
        <v>0</v>
      </c>
      <c r="J193" s="471">
        <v>0</v>
      </c>
      <c r="K193" s="471">
        <v>0</v>
      </c>
      <c r="L193" s="471">
        <v>0</v>
      </c>
      <c r="M193" s="171"/>
      <c r="N193" s="171"/>
      <c r="O193" s="171"/>
      <c r="P193" s="471">
        <v>0</v>
      </c>
      <c r="Q193" s="171"/>
      <c r="R193" s="171"/>
      <c r="S193" s="62">
        <f t="shared" si="76"/>
        <v>0</v>
      </c>
      <c r="T193" s="62">
        <f t="shared" si="77"/>
        <v>0</v>
      </c>
      <c r="U193" s="62"/>
      <c r="V193" s="62"/>
    </row>
    <row r="194" spans="1:22" s="1" customFormat="1" x14ac:dyDescent="0.3">
      <c r="A194" s="461"/>
      <c r="B194" s="474" t="s">
        <v>524</v>
      </c>
      <c r="C194" s="461"/>
      <c r="D194" s="171">
        <f>SUM(D183:D193)</f>
        <v>16050751.039999999</v>
      </c>
      <c r="E194" s="171">
        <f>SUM(E183:E193)</f>
        <v>0</v>
      </c>
      <c r="F194" s="62">
        <f>SUM(F183:F193)</f>
        <v>16050751.039999999</v>
      </c>
      <c r="G194" s="62">
        <f>SUM(G183:G193)</f>
        <v>16050751.039999999</v>
      </c>
      <c r="H194" s="171">
        <f t="shared" si="74"/>
        <v>0</v>
      </c>
      <c r="I194" s="171">
        <f>SUM(I183:I193)</f>
        <v>0</v>
      </c>
      <c r="J194" s="171">
        <f t="shared" ref="J194:Q194" si="79">SUM(J183:J193)</f>
        <v>0</v>
      </c>
      <c r="K194" s="171">
        <f t="shared" si="79"/>
        <v>0</v>
      </c>
      <c r="L194" s="171">
        <f t="shared" si="79"/>
        <v>0</v>
      </c>
      <c r="M194" s="171">
        <f t="shared" si="79"/>
        <v>0</v>
      </c>
      <c r="N194" s="171">
        <f t="shared" si="79"/>
        <v>0</v>
      </c>
      <c r="O194" s="171">
        <f t="shared" si="79"/>
        <v>0</v>
      </c>
      <c r="P194" s="171">
        <f t="shared" si="79"/>
        <v>0</v>
      </c>
      <c r="Q194" s="171">
        <f t="shared" si="79"/>
        <v>0</v>
      </c>
      <c r="R194" s="171"/>
      <c r="S194" s="62">
        <f t="shared" si="76"/>
        <v>0</v>
      </c>
      <c r="T194" s="62">
        <f t="shared" si="77"/>
        <v>0</v>
      </c>
      <c r="U194" s="62"/>
      <c r="V194" s="62"/>
    </row>
    <row r="195" spans="1:22" s="1" customFormat="1" x14ac:dyDescent="0.3">
      <c r="A195" s="461"/>
      <c r="B195" s="461"/>
      <c r="C195" s="461"/>
      <c r="D195" s="171"/>
      <c r="E195" s="62"/>
      <c r="F195" s="62"/>
      <c r="G195" s="171"/>
      <c r="H195" s="171"/>
      <c r="I195" s="62"/>
      <c r="J195" s="171"/>
      <c r="K195" s="171"/>
      <c r="L195" s="171"/>
      <c r="M195" s="171"/>
      <c r="N195" s="171"/>
      <c r="O195" s="171"/>
      <c r="P195" s="171"/>
      <c r="Q195" s="171"/>
      <c r="R195" s="171"/>
      <c r="S195" s="62"/>
      <c r="T195" s="62"/>
      <c r="U195" s="62"/>
      <c r="V195" s="62"/>
    </row>
    <row r="196" spans="1:22" s="1" customFormat="1" x14ac:dyDescent="0.3">
      <c r="A196" s="461"/>
      <c r="B196" s="464" t="s">
        <v>565</v>
      </c>
      <c r="C196" s="461"/>
      <c r="D196" s="171"/>
      <c r="E196" s="62"/>
      <c r="F196" s="62"/>
      <c r="G196" s="171"/>
      <c r="H196" s="171"/>
      <c r="I196" s="62"/>
      <c r="J196" s="171"/>
      <c r="K196" s="171"/>
      <c r="L196" s="171"/>
      <c r="M196" s="171"/>
      <c r="N196" s="171"/>
      <c r="O196" s="171"/>
      <c r="P196" s="171"/>
      <c r="Q196" s="171"/>
      <c r="R196" s="171"/>
      <c r="S196" s="62"/>
      <c r="T196" s="62"/>
      <c r="U196" s="62"/>
      <c r="V196" s="62"/>
    </row>
    <row r="197" spans="1:22" s="1" customFormat="1" x14ac:dyDescent="0.3">
      <c r="A197" s="461">
        <v>885</v>
      </c>
      <c r="B197" s="461" t="s">
        <v>847</v>
      </c>
      <c r="C197" s="461"/>
      <c r="D197" s="171">
        <v>1284947.7</v>
      </c>
      <c r="E197" s="62"/>
      <c r="F197" s="62">
        <f>D197+E197</f>
        <v>1284947.7</v>
      </c>
      <c r="G197" s="171">
        <f t="shared" ref="G197:G206" si="80">F197</f>
        <v>1284947.7</v>
      </c>
      <c r="H197" s="171">
        <f>F197-G197</f>
        <v>0</v>
      </c>
      <c r="I197" s="171">
        <f t="shared" ref="I197:I206" si="81">H197</f>
        <v>0</v>
      </c>
      <c r="J197" s="467">
        <v>0</v>
      </c>
      <c r="K197" s="467">
        <v>0</v>
      </c>
      <c r="L197" s="467">
        <v>0</v>
      </c>
      <c r="M197" s="171"/>
      <c r="N197" s="171"/>
      <c r="O197" s="171"/>
      <c r="P197" s="467">
        <v>0</v>
      </c>
      <c r="Q197" s="171"/>
      <c r="R197" s="171"/>
      <c r="S197" s="62">
        <f t="shared" ref="S197:S207" si="82">SUM(J197:Q197)</f>
        <v>0</v>
      </c>
      <c r="T197" s="62">
        <f t="shared" ref="T197:T207" si="83">H197-S197</f>
        <v>0</v>
      </c>
      <c r="U197" s="62"/>
      <c r="V197" s="62"/>
    </row>
    <row r="198" spans="1:22" s="1" customFormat="1" x14ac:dyDescent="0.3">
      <c r="A198" s="461">
        <v>886</v>
      </c>
      <c r="B198" s="461" t="s">
        <v>857</v>
      </c>
      <c r="C198" s="461"/>
      <c r="D198" s="171">
        <v>0</v>
      </c>
      <c r="E198" s="62"/>
      <c r="F198" s="62">
        <f t="shared" ref="F198:F206" si="84">D198+E198</f>
        <v>0</v>
      </c>
      <c r="G198" s="171">
        <f t="shared" si="80"/>
        <v>0</v>
      </c>
      <c r="H198" s="171">
        <f t="shared" ref="H198:H207" si="85">F198-G198</f>
        <v>0</v>
      </c>
      <c r="I198" s="171">
        <f t="shared" si="81"/>
        <v>0</v>
      </c>
      <c r="J198" s="467">
        <v>0</v>
      </c>
      <c r="K198" s="467">
        <v>0</v>
      </c>
      <c r="L198" s="467">
        <v>0</v>
      </c>
      <c r="M198" s="171"/>
      <c r="N198" s="171"/>
      <c r="O198" s="171"/>
      <c r="P198" s="467">
        <v>0</v>
      </c>
      <c r="Q198" s="171"/>
      <c r="R198" s="171"/>
      <c r="S198" s="62">
        <f t="shared" si="82"/>
        <v>0</v>
      </c>
      <c r="T198" s="62">
        <f t="shared" si="83"/>
        <v>0</v>
      </c>
      <c r="U198" s="62"/>
      <c r="V198" s="62"/>
    </row>
    <row r="199" spans="1:22" s="1" customFormat="1" x14ac:dyDescent="0.3">
      <c r="A199" s="461">
        <v>887</v>
      </c>
      <c r="B199" s="461" t="s">
        <v>858</v>
      </c>
      <c r="C199" s="461"/>
      <c r="D199" s="171">
        <v>4207692.03</v>
      </c>
      <c r="E199" s="62"/>
      <c r="F199" s="62">
        <f t="shared" si="84"/>
        <v>4207692.03</v>
      </c>
      <c r="G199" s="171">
        <f t="shared" si="80"/>
        <v>4207692.03</v>
      </c>
      <c r="H199" s="171">
        <f t="shared" si="85"/>
        <v>0</v>
      </c>
      <c r="I199" s="171">
        <f t="shared" si="81"/>
        <v>0</v>
      </c>
      <c r="J199" s="467">
        <v>0</v>
      </c>
      <c r="K199" s="467">
        <v>0</v>
      </c>
      <c r="L199" s="467">
        <v>0</v>
      </c>
      <c r="M199" s="171"/>
      <c r="N199" s="171"/>
      <c r="O199" s="171"/>
      <c r="P199" s="467">
        <v>0</v>
      </c>
      <c r="Q199" s="171"/>
      <c r="R199" s="171"/>
      <c r="S199" s="62">
        <f t="shared" si="82"/>
        <v>0</v>
      </c>
      <c r="T199" s="62">
        <f t="shared" si="83"/>
        <v>0</v>
      </c>
      <c r="U199" s="62"/>
      <c r="V199" s="62"/>
    </row>
    <row r="200" spans="1:22" s="1" customFormat="1" x14ac:dyDescent="0.3">
      <c r="A200" s="461">
        <v>888</v>
      </c>
      <c r="B200" s="461" t="s">
        <v>859</v>
      </c>
      <c r="C200" s="461"/>
      <c r="D200" s="171">
        <v>0</v>
      </c>
      <c r="E200" s="62"/>
      <c r="F200" s="62">
        <f t="shared" si="84"/>
        <v>0</v>
      </c>
      <c r="G200" s="171">
        <f t="shared" si="80"/>
        <v>0</v>
      </c>
      <c r="H200" s="171">
        <f t="shared" si="85"/>
        <v>0</v>
      </c>
      <c r="I200" s="171">
        <f t="shared" si="81"/>
        <v>0</v>
      </c>
      <c r="J200" s="467">
        <v>0</v>
      </c>
      <c r="K200" s="467">
        <v>0</v>
      </c>
      <c r="L200" s="467">
        <v>0</v>
      </c>
      <c r="M200" s="171"/>
      <c r="N200" s="171"/>
      <c r="O200" s="171"/>
      <c r="P200" s="467">
        <v>0</v>
      </c>
      <c r="Q200" s="171"/>
      <c r="R200" s="171"/>
      <c r="S200" s="62">
        <f t="shared" si="82"/>
        <v>0</v>
      </c>
      <c r="T200" s="62">
        <f t="shared" si="83"/>
        <v>0</v>
      </c>
      <c r="U200" s="62"/>
      <c r="V200" s="62"/>
    </row>
    <row r="201" spans="1:22" s="1" customFormat="1" x14ac:dyDescent="0.3">
      <c r="A201" s="461">
        <v>889</v>
      </c>
      <c r="B201" s="461" t="s">
        <v>851</v>
      </c>
      <c r="C201" s="461"/>
      <c r="D201" s="171">
        <v>1725.66</v>
      </c>
      <c r="E201" s="62"/>
      <c r="F201" s="62">
        <f t="shared" si="84"/>
        <v>1725.66</v>
      </c>
      <c r="G201" s="171">
        <f t="shared" si="80"/>
        <v>1725.66</v>
      </c>
      <c r="H201" s="171">
        <f t="shared" si="85"/>
        <v>0</v>
      </c>
      <c r="I201" s="171">
        <f t="shared" si="81"/>
        <v>0</v>
      </c>
      <c r="J201" s="467">
        <v>0</v>
      </c>
      <c r="K201" s="467">
        <v>0</v>
      </c>
      <c r="L201" s="467">
        <v>0</v>
      </c>
      <c r="M201" s="171"/>
      <c r="N201" s="171"/>
      <c r="O201" s="171"/>
      <c r="P201" s="467">
        <v>0</v>
      </c>
      <c r="Q201" s="171"/>
      <c r="R201" s="171"/>
      <c r="S201" s="62">
        <f t="shared" si="82"/>
        <v>0</v>
      </c>
      <c r="T201" s="62">
        <f t="shared" si="83"/>
        <v>0</v>
      </c>
      <c r="U201" s="62"/>
      <c r="V201" s="62"/>
    </row>
    <row r="202" spans="1:22" s="1" customFormat="1" x14ac:dyDescent="0.3">
      <c r="A202" s="461">
        <v>890</v>
      </c>
      <c r="B202" s="461" t="s">
        <v>852</v>
      </c>
      <c r="C202" s="461"/>
      <c r="D202" s="171">
        <v>1097.02</v>
      </c>
      <c r="E202" s="62"/>
      <c r="F202" s="62">
        <f t="shared" si="84"/>
        <v>1097.02</v>
      </c>
      <c r="G202" s="171">
        <f t="shared" si="80"/>
        <v>1097.02</v>
      </c>
      <c r="H202" s="171">
        <f t="shared" si="85"/>
        <v>0</v>
      </c>
      <c r="I202" s="171">
        <f t="shared" si="81"/>
        <v>0</v>
      </c>
      <c r="J202" s="467">
        <v>0</v>
      </c>
      <c r="K202" s="467">
        <v>0</v>
      </c>
      <c r="L202" s="467">
        <v>0</v>
      </c>
      <c r="M202" s="171"/>
      <c r="N202" s="171"/>
      <c r="O202" s="171"/>
      <c r="P202" s="467">
        <v>0</v>
      </c>
      <c r="Q202" s="171"/>
      <c r="R202" s="171"/>
      <c r="S202" s="62">
        <f t="shared" si="82"/>
        <v>0</v>
      </c>
      <c r="T202" s="62">
        <f t="shared" si="83"/>
        <v>0</v>
      </c>
      <c r="U202" s="62"/>
      <c r="V202" s="62"/>
    </row>
    <row r="203" spans="1:22" s="1" customFormat="1" x14ac:dyDescent="0.3">
      <c r="A203" s="461">
        <v>891</v>
      </c>
      <c r="B203" s="461" t="s">
        <v>853</v>
      </c>
      <c r="C203" s="461"/>
      <c r="D203" s="171">
        <v>60182.559999999998</v>
      </c>
      <c r="E203" s="62"/>
      <c r="F203" s="62">
        <f t="shared" si="84"/>
        <v>60182.559999999998</v>
      </c>
      <c r="G203" s="171">
        <f t="shared" si="80"/>
        <v>60182.559999999998</v>
      </c>
      <c r="H203" s="171">
        <f t="shared" si="85"/>
        <v>0</v>
      </c>
      <c r="I203" s="171">
        <f t="shared" si="81"/>
        <v>0</v>
      </c>
      <c r="J203" s="467">
        <v>0</v>
      </c>
      <c r="K203" s="467">
        <v>0</v>
      </c>
      <c r="L203" s="467">
        <v>0</v>
      </c>
      <c r="M203" s="171"/>
      <c r="N203" s="171"/>
      <c r="O203" s="171"/>
      <c r="P203" s="467">
        <v>0</v>
      </c>
      <c r="Q203" s="171"/>
      <c r="R203" s="171"/>
      <c r="S203" s="62">
        <f t="shared" si="82"/>
        <v>0</v>
      </c>
      <c r="T203" s="62">
        <f t="shared" si="83"/>
        <v>0</v>
      </c>
      <c r="U203" s="62"/>
      <c r="V203" s="62"/>
    </row>
    <row r="204" spans="1:22" s="1" customFormat="1" x14ac:dyDescent="0.3">
      <c r="A204" s="461">
        <v>892</v>
      </c>
      <c r="B204" s="461" t="s">
        <v>456</v>
      </c>
      <c r="C204" s="461"/>
      <c r="D204" s="171">
        <v>1921704.81</v>
      </c>
      <c r="E204" s="62"/>
      <c r="F204" s="62">
        <f t="shared" si="84"/>
        <v>1921704.81</v>
      </c>
      <c r="G204" s="171">
        <f t="shared" si="80"/>
        <v>1921704.81</v>
      </c>
      <c r="H204" s="171">
        <f t="shared" si="85"/>
        <v>0</v>
      </c>
      <c r="I204" s="171">
        <f t="shared" si="81"/>
        <v>0</v>
      </c>
      <c r="J204" s="467">
        <v>0</v>
      </c>
      <c r="K204" s="467">
        <v>0</v>
      </c>
      <c r="L204" s="467">
        <v>0</v>
      </c>
      <c r="M204" s="171"/>
      <c r="N204" s="171"/>
      <c r="O204" s="171"/>
      <c r="P204" s="467">
        <v>0</v>
      </c>
      <c r="Q204" s="171"/>
      <c r="R204" s="171"/>
      <c r="S204" s="62">
        <f t="shared" si="82"/>
        <v>0</v>
      </c>
      <c r="T204" s="62">
        <f t="shared" si="83"/>
        <v>0</v>
      </c>
      <c r="U204" s="62"/>
      <c r="V204" s="62"/>
    </row>
    <row r="205" spans="1:22" s="1" customFormat="1" x14ac:dyDescent="0.3">
      <c r="A205" s="461">
        <v>893</v>
      </c>
      <c r="B205" s="461" t="s">
        <v>854</v>
      </c>
      <c r="C205" s="461"/>
      <c r="D205" s="171">
        <v>887512.18</v>
      </c>
      <c r="E205" s="62"/>
      <c r="F205" s="62">
        <f t="shared" si="84"/>
        <v>887512.18</v>
      </c>
      <c r="G205" s="171">
        <f t="shared" si="80"/>
        <v>887512.18</v>
      </c>
      <c r="H205" s="171">
        <f t="shared" si="85"/>
        <v>0</v>
      </c>
      <c r="I205" s="171">
        <f t="shared" si="81"/>
        <v>0</v>
      </c>
      <c r="J205" s="467">
        <v>0</v>
      </c>
      <c r="K205" s="467">
        <v>0</v>
      </c>
      <c r="L205" s="467">
        <v>0</v>
      </c>
      <c r="M205" s="171"/>
      <c r="N205" s="171"/>
      <c r="O205" s="171"/>
      <c r="P205" s="467">
        <v>0</v>
      </c>
      <c r="Q205" s="171"/>
      <c r="R205" s="171"/>
      <c r="S205" s="62">
        <f t="shared" si="82"/>
        <v>0</v>
      </c>
      <c r="T205" s="62">
        <f t="shared" si="83"/>
        <v>0</v>
      </c>
      <c r="U205" s="62"/>
      <c r="V205" s="62"/>
    </row>
    <row r="206" spans="1:22" s="1" customFormat="1" ht="14.5" x14ac:dyDescent="0.45">
      <c r="A206" s="461">
        <v>894</v>
      </c>
      <c r="B206" s="461" t="s">
        <v>860</v>
      </c>
      <c r="C206" s="461"/>
      <c r="D206" s="472">
        <v>0</v>
      </c>
      <c r="E206" s="62"/>
      <c r="F206" s="539">
        <f t="shared" si="84"/>
        <v>0</v>
      </c>
      <c r="G206" s="476">
        <f t="shared" si="80"/>
        <v>0</v>
      </c>
      <c r="H206" s="171">
        <f t="shared" si="85"/>
        <v>0</v>
      </c>
      <c r="I206" s="171">
        <f t="shared" si="81"/>
        <v>0</v>
      </c>
      <c r="J206" s="471">
        <v>0</v>
      </c>
      <c r="K206" s="471">
        <v>0</v>
      </c>
      <c r="L206" s="471">
        <v>0</v>
      </c>
      <c r="M206" s="171"/>
      <c r="N206" s="171"/>
      <c r="O206" s="171"/>
      <c r="P206" s="471">
        <v>0</v>
      </c>
      <c r="Q206" s="171"/>
      <c r="R206" s="171"/>
      <c r="S206" s="62">
        <f t="shared" si="82"/>
        <v>0</v>
      </c>
      <c r="T206" s="62">
        <f t="shared" si="83"/>
        <v>0</v>
      </c>
      <c r="U206" s="62"/>
      <c r="V206" s="62"/>
    </row>
    <row r="207" spans="1:22" s="1" customFormat="1" x14ac:dyDescent="0.3">
      <c r="A207" s="461"/>
      <c r="B207" s="474" t="s">
        <v>524</v>
      </c>
      <c r="C207" s="461"/>
      <c r="D207" s="171">
        <f>SUM(D197:D206)</f>
        <v>8364861.959999999</v>
      </c>
      <c r="E207" s="171">
        <f>SUM(E197:E206)</f>
        <v>0</v>
      </c>
      <c r="F207" s="62">
        <f>SUM(F197:F206)</f>
        <v>8364861.959999999</v>
      </c>
      <c r="G207" s="62">
        <f>SUM(G197:G206)</f>
        <v>8364861.959999999</v>
      </c>
      <c r="H207" s="171">
        <f t="shared" si="85"/>
        <v>0</v>
      </c>
      <c r="I207" s="171">
        <f>SUM(I197:I206)</f>
        <v>0</v>
      </c>
      <c r="J207" s="171">
        <f t="shared" ref="J207:Q207" si="86">SUM(J197:J206)</f>
        <v>0</v>
      </c>
      <c r="K207" s="171">
        <f t="shared" si="86"/>
        <v>0</v>
      </c>
      <c r="L207" s="171">
        <f t="shared" si="86"/>
        <v>0</v>
      </c>
      <c r="M207" s="171">
        <f t="shared" si="86"/>
        <v>0</v>
      </c>
      <c r="N207" s="171">
        <f t="shared" si="86"/>
        <v>0</v>
      </c>
      <c r="O207" s="171">
        <f t="shared" si="86"/>
        <v>0</v>
      </c>
      <c r="P207" s="171">
        <f t="shared" si="86"/>
        <v>0</v>
      </c>
      <c r="Q207" s="171">
        <f t="shared" si="86"/>
        <v>0</v>
      </c>
      <c r="R207" s="171"/>
      <c r="S207" s="62">
        <f t="shared" si="82"/>
        <v>0</v>
      </c>
      <c r="T207" s="62">
        <f t="shared" si="83"/>
        <v>0</v>
      </c>
      <c r="U207" s="62"/>
      <c r="V207" s="62"/>
    </row>
    <row r="208" spans="1:22" s="1" customFormat="1" x14ac:dyDescent="0.3">
      <c r="A208" s="461"/>
      <c r="B208" s="461"/>
      <c r="C208" s="461"/>
      <c r="D208" s="171"/>
      <c r="E208" s="62"/>
      <c r="F208" s="62"/>
      <c r="G208" s="171"/>
      <c r="H208" s="171"/>
      <c r="I208" s="62"/>
      <c r="J208" s="171"/>
      <c r="K208" s="171"/>
      <c r="L208" s="171"/>
      <c r="M208" s="171"/>
      <c r="N208" s="171"/>
      <c r="O208" s="171"/>
      <c r="P208" s="171"/>
      <c r="Q208" s="171"/>
      <c r="R208" s="171"/>
      <c r="S208" s="62"/>
      <c r="T208" s="62"/>
      <c r="U208" s="62"/>
      <c r="V208" s="62"/>
    </row>
    <row r="209" spans="1:22" s="1" customFormat="1" x14ac:dyDescent="0.3">
      <c r="A209" s="461"/>
      <c r="B209" s="479" t="s">
        <v>543</v>
      </c>
      <c r="C209" s="461"/>
      <c r="D209" s="171">
        <f>D207+D194</f>
        <v>24415613</v>
      </c>
      <c r="E209" s="171">
        <f>E207+E194</f>
        <v>0</v>
      </c>
      <c r="F209" s="62">
        <f>F207+F194</f>
        <v>24415613</v>
      </c>
      <c r="G209" s="62">
        <f>G207+G194</f>
        <v>24415613</v>
      </c>
      <c r="H209" s="171">
        <f>F209-G209</f>
        <v>0</v>
      </c>
      <c r="I209" s="171">
        <f>I207+I194</f>
        <v>0</v>
      </c>
      <c r="J209" s="171">
        <f t="shared" ref="J209:Q209" si="87">J207+J194</f>
        <v>0</v>
      </c>
      <c r="K209" s="171">
        <f t="shared" si="87"/>
        <v>0</v>
      </c>
      <c r="L209" s="171">
        <f t="shared" si="87"/>
        <v>0</v>
      </c>
      <c r="M209" s="171">
        <f t="shared" si="87"/>
        <v>0</v>
      </c>
      <c r="N209" s="171">
        <f t="shared" si="87"/>
        <v>0</v>
      </c>
      <c r="O209" s="171">
        <f t="shared" si="87"/>
        <v>0</v>
      </c>
      <c r="P209" s="171">
        <f t="shared" si="87"/>
        <v>0</v>
      </c>
      <c r="Q209" s="171">
        <f t="shared" si="87"/>
        <v>0</v>
      </c>
      <c r="R209" s="171"/>
      <c r="S209" s="62">
        <f>SUM(J209:Q209)</f>
        <v>0</v>
      </c>
      <c r="T209" s="62">
        <f>H209-S209</f>
        <v>0</v>
      </c>
      <c r="U209" s="62"/>
      <c r="V209" s="62"/>
    </row>
    <row r="210" spans="1:22" s="1" customFormat="1" x14ac:dyDescent="0.3">
      <c r="A210" s="461"/>
      <c r="B210" s="461"/>
      <c r="C210" s="461"/>
      <c r="D210" s="171"/>
      <c r="E210" s="62"/>
      <c r="F210" s="62"/>
      <c r="G210" s="171"/>
      <c r="H210" s="171"/>
      <c r="I210" s="62"/>
      <c r="J210" s="171"/>
      <c r="K210" s="171"/>
      <c r="L210" s="171"/>
      <c r="M210" s="171"/>
      <c r="N210" s="171"/>
      <c r="O210" s="171"/>
      <c r="P210" s="171"/>
      <c r="Q210" s="171"/>
      <c r="R210" s="171"/>
      <c r="S210" s="62"/>
      <c r="T210" s="62"/>
      <c r="U210" s="62"/>
      <c r="V210" s="62"/>
    </row>
    <row r="211" spans="1:22" s="1" customFormat="1" x14ac:dyDescent="0.3">
      <c r="A211" s="461"/>
      <c r="B211" s="479" t="s">
        <v>862</v>
      </c>
      <c r="C211" s="461"/>
      <c r="D211" s="171">
        <f>D209+D165+D179</f>
        <v>94199439.319999993</v>
      </c>
      <c r="E211" s="171">
        <f>E209+E165+E179</f>
        <v>3350004</v>
      </c>
      <c r="F211" s="171">
        <f t="shared" ref="F211:Q211" si="88">F209+F165+F179</f>
        <v>97549443.319999993</v>
      </c>
      <c r="G211" s="171">
        <f t="shared" si="88"/>
        <v>97549443.319999993</v>
      </c>
      <c r="H211" s="171">
        <f t="shared" si="88"/>
        <v>0</v>
      </c>
      <c r="I211" s="171">
        <f t="shared" si="88"/>
        <v>0</v>
      </c>
      <c r="J211" s="171">
        <f t="shared" si="88"/>
        <v>0</v>
      </c>
      <c r="K211" s="171">
        <f t="shared" si="88"/>
        <v>0</v>
      </c>
      <c r="L211" s="171">
        <f t="shared" si="88"/>
        <v>0</v>
      </c>
      <c r="M211" s="171">
        <f t="shared" si="88"/>
        <v>0</v>
      </c>
      <c r="N211" s="171">
        <f t="shared" si="88"/>
        <v>0</v>
      </c>
      <c r="O211" s="171">
        <f t="shared" si="88"/>
        <v>0</v>
      </c>
      <c r="P211" s="171">
        <f t="shared" si="88"/>
        <v>0</v>
      </c>
      <c r="Q211" s="171">
        <f t="shared" si="88"/>
        <v>0</v>
      </c>
      <c r="R211" s="171"/>
      <c r="S211" s="62">
        <f>SUM(J211:Q211)</f>
        <v>0</v>
      </c>
      <c r="T211" s="62">
        <f>H211-S211</f>
        <v>0</v>
      </c>
      <c r="U211" s="62"/>
      <c r="V211" s="62"/>
    </row>
    <row r="212" spans="1:22" s="1" customFormat="1" x14ac:dyDescent="0.3">
      <c r="A212" s="461"/>
      <c r="B212" s="461"/>
      <c r="C212" s="461"/>
      <c r="D212" s="171"/>
      <c r="E212" s="62"/>
      <c r="F212" s="62"/>
      <c r="G212" s="171"/>
      <c r="H212" s="171"/>
      <c r="I212" s="62"/>
      <c r="J212" s="171"/>
      <c r="K212" s="171"/>
      <c r="L212" s="171"/>
      <c r="M212" s="171"/>
      <c r="N212" s="171"/>
      <c r="O212" s="171"/>
      <c r="P212" s="171"/>
      <c r="Q212" s="171"/>
      <c r="R212" s="171"/>
      <c r="S212" s="62"/>
      <c r="T212" s="62"/>
      <c r="U212" s="62"/>
      <c r="V212" s="62"/>
    </row>
    <row r="213" spans="1:22" s="1" customFormat="1" x14ac:dyDescent="0.3">
      <c r="A213" s="461"/>
      <c r="B213" s="461"/>
      <c r="C213" s="461"/>
      <c r="D213" s="171"/>
      <c r="E213" s="62"/>
      <c r="F213" s="62"/>
      <c r="G213" s="171"/>
      <c r="H213" s="171"/>
      <c r="I213" s="62"/>
      <c r="J213" s="171"/>
      <c r="K213" s="171"/>
      <c r="L213" s="171"/>
      <c r="M213" s="171"/>
      <c r="N213" s="171"/>
      <c r="O213" s="171"/>
      <c r="P213" s="171"/>
      <c r="Q213" s="171"/>
      <c r="R213" s="171"/>
      <c r="S213" s="62"/>
      <c r="T213" s="62"/>
      <c r="U213" s="62"/>
      <c r="V213" s="62"/>
    </row>
    <row r="214" spans="1:22" s="1" customFormat="1" x14ac:dyDescent="0.3">
      <c r="A214" s="479" t="s">
        <v>696</v>
      </c>
      <c r="B214" s="461"/>
      <c r="C214" s="461"/>
      <c r="D214" s="171"/>
      <c r="E214" s="62"/>
      <c r="F214" s="62"/>
      <c r="G214" s="171"/>
      <c r="H214" s="171"/>
      <c r="I214" s="62"/>
      <c r="J214" s="171"/>
      <c r="K214" s="171"/>
      <c r="L214" s="171"/>
      <c r="M214" s="171"/>
      <c r="N214" s="171"/>
      <c r="O214" s="171"/>
      <c r="P214" s="171"/>
      <c r="Q214" s="171"/>
      <c r="R214" s="171"/>
      <c r="S214" s="62"/>
      <c r="T214" s="62"/>
      <c r="U214" s="62"/>
      <c r="V214" s="62"/>
    </row>
    <row r="215" spans="1:22" s="1" customFormat="1" x14ac:dyDescent="0.3">
      <c r="A215" s="461"/>
      <c r="B215" s="461"/>
      <c r="C215" s="461"/>
      <c r="D215" s="171"/>
      <c r="E215" s="62"/>
      <c r="F215" s="62"/>
      <c r="G215" s="171"/>
      <c r="H215" s="171"/>
      <c r="I215" s="62"/>
      <c r="J215" s="171"/>
      <c r="K215" s="171"/>
      <c r="L215" s="171"/>
      <c r="M215" s="171"/>
      <c r="N215" s="171"/>
      <c r="O215" s="171"/>
      <c r="P215" s="171"/>
      <c r="Q215" s="171"/>
      <c r="R215" s="171"/>
      <c r="S215" s="62"/>
      <c r="T215" s="62"/>
      <c r="U215" s="62"/>
      <c r="V215" s="62"/>
    </row>
    <row r="216" spans="1:22" s="1" customFormat="1" x14ac:dyDescent="0.3">
      <c r="A216" s="461"/>
      <c r="B216" s="464" t="s">
        <v>697</v>
      </c>
      <c r="C216" s="464"/>
      <c r="D216" s="171"/>
      <c r="E216" s="62"/>
      <c r="F216" s="62"/>
      <c r="G216" s="171"/>
      <c r="H216" s="171"/>
      <c r="I216" s="62"/>
      <c r="J216" s="171"/>
      <c r="K216" s="171"/>
      <c r="L216" s="171"/>
      <c r="M216" s="171"/>
      <c r="N216" s="171"/>
      <c r="O216" s="171"/>
      <c r="P216" s="171"/>
      <c r="Q216" s="171"/>
      <c r="R216" s="171"/>
      <c r="S216" s="62"/>
      <c r="T216" s="62"/>
      <c r="U216" s="62"/>
      <c r="V216" s="62"/>
    </row>
    <row r="217" spans="1:22" s="1" customFormat="1" x14ac:dyDescent="0.3">
      <c r="A217" s="461">
        <v>901</v>
      </c>
      <c r="B217" s="461" t="s">
        <v>699</v>
      </c>
      <c r="C217" s="461" t="s">
        <v>830</v>
      </c>
      <c r="D217" s="171">
        <v>329338.92000000004</v>
      </c>
      <c r="E217" s="62"/>
      <c r="F217" s="468">
        <f>D217+E217</f>
        <v>329338.92000000004</v>
      </c>
      <c r="G217" s="171">
        <v>13553.83</v>
      </c>
      <c r="H217" s="171">
        <f>F217-G217</f>
        <v>315785.09000000003</v>
      </c>
      <c r="I217" s="468">
        <f>H217</f>
        <v>315785.09000000003</v>
      </c>
      <c r="J217" s="171">
        <f>J223/$I$223*$I$217</f>
        <v>0</v>
      </c>
      <c r="K217" s="171">
        <f t="shared" ref="K217:Q217" si="89">K223/$I$223*$I$217</f>
        <v>0</v>
      </c>
      <c r="L217" s="171">
        <f t="shared" si="89"/>
        <v>0</v>
      </c>
      <c r="M217" s="171">
        <f t="shared" si="89"/>
        <v>91364.334867009733</v>
      </c>
      <c r="N217" s="171">
        <f t="shared" si="89"/>
        <v>53316.107125022834</v>
      </c>
      <c r="O217" s="171">
        <f t="shared" si="89"/>
        <v>171104.64800796742</v>
      </c>
      <c r="P217" s="171">
        <f t="shared" si="89"/>
        <v>0</v>
      </c>
      <c r="Q217" s="171">
        <f t="shared" si="89"/>
        <v>0</v>
      </c>
      <c r="R217" s="171"/>
      <c r="S217" s="62">
        <f t="shared" ref="S217:S222" si="90">SUM(J217:Q217)</f>
        <v>315785.08999999997</v>
      </c>
      <c r="T217" s="62">
        <f t="shared" ref="T217:T222" si="91">H217-S217</f>
        <v>0</v>
      </c>
      <c r="U217" s="62"/>
      <c r="V217" s="62"/>
    </row>
    <row r="218" spans="1:22" x14ac:dyDescent="0.3">
      <c r="A218" s="461">
        <v>902</v>
      </c>
      <c r="B218" s="461" t="s">
        <v>701</v>
      </c>
      <c r="C218" s="461"/>
      <c r="D218" s="171">
        <v>11204298.140000001</v>
      </c>
      <c r="E218" s="62"/>
      <c r="F218" s="468">
        <f>D218+E218</f>
        <v>11204298.140000001</v>
      </c>
      <c r="G218" s="171">
        <v>2285390.04</v>
      </c>
      <c r="H218" s="171">
        <f t="shared" ref="H218:H221" si="92">F218-G218</f>
        <v>8918908.1000000015</v>
      </c>
      <c r="I218" s="468">
        <f>H218</f>
        <v>8918908.1000000015</v>
      </c>
      <c r="J218" s="467">
        <v>0</v>
      </c>
      <c r="K218" s="467">
        <v>0</v>
      </c>
      <c r="L218" s="467">
        <v>0</v>
      </c>
      <c r="M218" s="171">
        <f>I218</f>
        <v>8918908.1000000015</v>
      </c>
      <c r="N218" s="171"/>
      <c r="O218" s="171"/>
      <c r="P218" s="467">
        <v>0</v>
      </c>
      <c r="Q218" s="171"/>
      <c r="R218" s="171"/>
      <c r="S218" s="62">
        <f t="shared" si="90"/>
        <v>8918908.1000000015</v>
      </c>
      <c r="T218" s="62">
        <f t="shared" si="91"/>
        <v>0</v>
      </c>
      <c r="U218" s="62"/>
      <c r="V218" s="62"/>
    </row>
    <row r="219" spans="1:22" x14ac:dyDescent="0.3">
      <c r="A219" s="461">
        <v>903</v>
      </c>
      <c r="B219" s="461" t="s">
        <v>703</v>
      </c>
      <c r="C219" s="62" t="s">
        <v>1232</v>
      </c>
      <c r="D219" s="171">
        <v>27207160.68</v>
      </c>
      <c r="E219" s="62"/>
      <c r="F219" s="468">
        <f>D219+E219</f>
        <v>27207160.68</v>
      </c>
      <c r="G219" s="171">
        <v>5299398.82</v>
      </c>
      <c r="H219" s="171">
        <f t="shared" si="92"/>
        <v>21907761.859999999</v>
      </c>
      <c r="I219" s="468">
        <f>H219</f>
        <v>21907761.859999999</v>
      </c>
      <c r="J219" s="171">
        <f>$I219*'1a. Funct Factors'!K14/'1a. Funct Factors'!$J14</f>
        <v>0</v>
      </c>
      <c r="K219" s="171">
        <f>$I219*'1a. Funct Factors'!L14/'1a. Funct Factors'!$J14</f>
        <v>0</v>
      </c>
      <c r="L219" s="171">
        <f>$I219*'1a. Funct Factors'!M14/'1a. Funct Factors'!$J14</f>
        <v>0</v>
      </c>
      <c r="M219" s="171">
        <f>$I219*'1a. Funct Factors'!N14/'1a. Funct Factors'!$J14</f>
        <v>0</v>
      </c>
      <c r="N219" s="171">
        <f>$I219*'1a. Funct Factors'!O14/'1a. Funct Factors'!$J14</f>
        <v>5204672.7028660011</v>
      </c>
      <c r="O219" s="171">
        <f>$I219*'1a. Funct Factors'!P14/'1a. Funct Factors'!$J14</f>
        <v>16703089.157133996</v>
      </c>
      <c r="P219" s="171">
        <f>$I219*'1a. Funct Factors'!Q14/'1a. Funct Factors'!$J14</f>
        <v>0</v>
      </c>
      <c r="Q219" s="171">
        <f>$I219*'1a. Funct Factors'!R14/'1a. Funct Factors'!$J14</f>
        <v>0</v>
      </c>
      <c r="R219" s="171"/>
      <c r="S219" s="62">
        <f t="shared" si="90"/>
        <v>21907761.859999999</v>
      </c>
      <c r="T219" s="62">
        <f t="shared" si="91"/>
        <v>0</v>
      </c>
      <c r="U219" s="62"/>
      <c r="V219" s="62"/>
    </row>
    <row r="220" spans="1:22" x14ac:dyDescent="0.3">
      <c r="A220" s="461">
        <v>904</v>
      </c>
      <c r="B220" s="461" t="s">
        <v>705</v>
      </c>
      <c r="C220" s="461"/>
      <c r="D220" s="171">
        <v>0</v>
      </c>
      <c r="E220" s="62"/>
      <c r="F220" s="468">
        <f>D220+E220</f>
        <v>0</v>
      </c>
      <c r="G220" s="171">
        <v>0</v>
      </c>
      <c r="H220" s="171">
        <f t="shared" si="92"/>
        <v>0</v>
      </c>
      <c r="I220" s="468">
        <f>H220</f>
        <v>0</v>
      </c>
      <c r="J220" s="467">
        <v>0</v>
      </c>
      <c r="K220" s="467">
        <v>0</v>
      </c>
      <c r="L220" s="171">
        <f>I220</f>
        <v>0</v>
      </c>
      <c r="M220" s="171"/>
      <c r="N220" s="171"/>
      <c r="O220" s="171"/>
      <c r="P220" s="467">
        <v>0</v>
      </c>
      <c r="Q220" s="171"/>
      <c r="R220" s="171"/>
      <c r="S220" s="62">
        <f t="shared" si="90"/>
        <v>0</v>
      </c>
      <c r="T220" s="62">
        <f t="shared" si="91"/>
        <v>0</v>
      </c>
      <c r="U220" s="62"/>
      <c r="V220" s="62"/>
    </row>
    <row r="221" spans="1:22" s="1" customFormat="1" ht="14.5" x14ac:dyDescent="0.45">
      <c r="A221" s="461">
        <v>905</v>
      </c>
      <c r="B221" s="466" t="s">
        <v>707</v>
      </c>
      <c r="C221" s="461" t="s">
        <v>830</v>
      </c>
      <c r="D221" s="472">
        <v>-637505.75</v>
      </c>
      <c r="E221" s="62"/>
      <c r="F221" s="478">
        <f>D221+E221</f>
        <v>-637505.75</v>
      </c>
      <c r="G221" s="476">
        <f>G223/F223*F221</f>
        <v>-125882.91773673243</v>
      </c>
      <c r="H221" s="171">
        <f t="shared" si="92"/>
        <v>-511622.8322632676</v>
      </c>
      <c r="I221" s="478">
        <f>H221</f>
        <v>-511622.8322632676</v>
      </c>
      <c r="J221" s="171">
        <f>J223/$I$223*$I$221</f>
        <v>0</v>
      </c>
      <c r="K221" s="171">
        <f t="shared" ref="K221:Q221" si="93">K223/$I$223*$I$221</f>
        <v>0</v>
      </c>
      <c r="L221" s="171">
        <f t="shared" si="93"/>
        <v>0</v>
      </c>
      <c r="M221" s="476">
        <f t="shared" si="93"/>
        <v>-148024.97411296121</v>
      </c>
      <c r="N221" s="476">
        <f>N223/$I$223*$I$221</f>
        <v>-86380.701927871138</v>
      </c>
      <c r="O221" s="476">
        <f t="shared" si="93"/>
        <v>-277217.15622243518</v>
      </c>
      <c r="P221" s="171">
        <f t="shared" si="93"/>
        <v>0</v>
      </c>
      <c r="Q221" s="171">
        <f t="shared" si="93"/>
        <v>0</v>
      </c>
      <c r="R221" s="171"/>
      <c r="S221" s="62">
        <f t="shared" si="90"/>
        <v>-511622.83226326754</v>
      </c>
      <c r="T221" s="62">
        <f t="shared" si="91"/>
        <v>0</v>
      </c>
      <c r="U221" s="62"/>
      <c r="V221" s="62"/>
    </row>
    <row r="222" spans="1:22" s="1" customFormat="1" ht="14.5" x14ac:dyDescent="0.45">
      <c r="A222" s="461"/>
      <c r="B222" s="474" t="s">
        <v>524</v>
      </c>
      <c r="C222" s="474"/>
      <c r="D222" s="171">
        <f t="shared" ref="D222:L222" si="94">SUM(D217:D221)</f>
        <v>38103291.990000002</v>
      </c>
      <c r="E222" s="171">
        <f t="shared" si="94"/>
        <v>0</v>
      </c>
      <c r="F222" s="171">
        <f t="shared" si="94"/>
        <v>38103291.990000002</v>
      </c>
      <c r="G222" s="171">
        <f t="shared" si="94"/>
        <v>7472459.772263268</v>
      </c>
      <c r="H222" s="171">
        <f t="shared" si="94"/>
        <v>30630832.217736732</v>
      </c>
      <c r="I222" s="171">
        <f t="shared" si="94"/>
        <v>30630832.217736732</v>
      </c>
      <c r="J222" s="171">
        <f t="shared" si="94"/>
        <v>0</v>
      </c>
      <c r="K222" s="472">
        <f t="shared" si="94"/>
        <v>0</v>
      </c>
      <c r="L222" s="171">
        <f t="shared" si="94"/>
        <v>0</v>
      </c>
      <c r="M222" s="171">
        <f>SUM(M217:M221)</f>
        <v>8862247.4607540499</v>
      </c>
      <c r="N222" s="171">
        <f>SUM(N217:N221)</f>
        <v>5171608.1080631521</v>
      </c>
      <c r="O222" s="171">
        <f>SUM(O217:O221)</f>
        <v>16596976.648919528</v>
      </c>
      <c r="P222" s="171">
        <f>SUM(P217:P221)</f>
        <v>0</v>
      </c>
      <c r="Q222" s="171">
        <f>SUM(Q217:Q221)</f>
        <v>0</v>
      </c>
      <c r="R222" s="171"/>
      <c r="S222" s="62">
        <f t="shared" si="90"/>
        <v>30630832.217736728</v>
      </c>
      <c r="T222" s="62">
        <f t="shared" si="91"/>
        <v>0</v>
      </c>
      <c r="U222" s="62"/>
      <c r="V222" s="62"/>
    </row>
    <row r="223" spans="1:22" s="1" customFormat="1" x14ac:dyDescent="0.3">
      <c r="A223" s="461" t="s">
        <v>1207</v>
      </c>
      <c r="B223" s="461" t="s">
        <v>830</v>
      </c>
      <c r="C223" s="461"/>
      <c r="D223" s="171">
        <f>+D218+D219</f>
        <v>38411458.82</v>
      </c>
      <c r="E223" s="171">
        <f>+E218+E219</f>
        <v>0</v>
      </c>
      <c r="F223" s="171">
        <f>+F218+F219</f>
        <v>38411458.82</v>
      </c>
      <c r="G223" s="171">
        <f>+G218+G219</f>
        <v>7584788.8600000003</v>
      </c>
      <c r="H223" s="171">
        <f t="shared" ref="H223:Q223" si="95">SUM(H218:H219)</f>
        <v>30826669.960000001</v>
      </c>
      <c r="I223" s="171">
        <f t="shared" si="95"/>
        <v>30826669.960000001</v>
      </c>
      <c r="J223" s="171">
        <f t="shared" si="95"/>
        <v>0</v>
      </c>
      <c r="K223" s="171">
        <f t="shared" si="95"/>
        <v>0</v>
      </c>
      <c r="L223" s="171">
        <f t="shared" si="95"/>
        <v>0</v>
      </c>
      <c r="M223" s="171">
        <f>SUM(M218:M219)</f>
        <v>8918908.1000000015</v>
      </c>
      <c r="N223" s="171">
        <f t="shared" si="95"/>
        <v>5204672.7028660011</v>
      </c>
      <c r="O223" s="171">
        <f t="shared" si="95"/>
        <v>16703089.157133996</v>
      </c>
      <c r="P223" s="171">
        <f t="shared" si="95"/>
        <v>0</v>
      </c>
      <c r="Q223" s="171">
        <f t="shared" si="95"/>
        <v>0</v>
      </c>
      <c r="R223" s="171"/>
      <c r="S223" s="62"/>
      <c r="T223" s="62"/>
      <c r="U223" s="62"/>
      <c r="V223" s="62"/>
    </row>
    <row r="224" spans="1:22" s="1" customFormat="1" x14ac:dyDescent="0.3">
      <c r="A224" s="461"/>
      <c r="B224" s="464" t="s">
        <v>708</v>
      </c>
      <c r="C224" s="464"/>
      <c r="D224" s="171"/>
      <c r="E224" s="62"/>
      <c r="F224" s="62"/>
      <c r="G224" s="171"/>
      <c r="H224" s="171"/>
      <c r="I224" s="62"/>
      <c r="J224" s="171"/>
      <c r="K224" s="171"/>
      <c r="L224" s="467">
        <v>0</v>
      </c>
      <c r="M224" s="171"/>
      <c r="N224" s="171"/>
      <c r="O224" s="171"/>
      <c r="P224" s="171"/>
      <c r="Q224" s="171"/>
      <c r="R224" s="171"/>
      <c r="S224" s="62"/>
      <c r="T224" s="62"/>
      <c r="U224" s="62"/>
      <c r="V224" s="62"/>
    </row>
    <row r="225" spans="1:22" s="1" customFormat="1" x14ac:dyDescent="0.3">
      <c r="A225" s="461">
        <v>906</v>
      </c>
      <c r="B225" s="461" t="s">
        <v>710</v>
      </c>
      <c r="C225" s="461"/>
      <c r="D225" s="171">
        <v>0</v>
      </c>
      <c r="E225" s="62"/>
      <c r="F225" s="171">
        <v>0</v>
      </c>
      <c r="G225" s="171">
        <v>0</v>
      </c>
      <c r="H225" s="171">
        <v>0</v>
      </c>
      <c r="I225" s="468">
        <f>H225</f>
        <v>0</v>
      </c>
      <c r="J225" s="467">
        <v>0</v>
      </c>
      <c r="K225" s="467">
        <v>0</v>
      </c>
      <c r="L225" s="171">
        <f>I225</f>
        <v>0</v>
      </c>
      <c r="M225" s="171"/>
      <c r="N225" s="171"/>
      <c r="O225" s="171"/>
      <c r="P225" s="467">
        <v>0</v>
      </c>
      <c r="Q225" s="171"/>
      <c r="R225" s="171"/>
      <c r="S225" s="62">
        <f t="shared" ref="S225:S230" si="96">SUM(J225:Q225)</f>
        <v>0</v>
      </c>
      <c r="T225" s="62">
        <f t="shared" ref="T225:T230" si="97">H225-S225</f>
        <v>0</v>
      </c>
      <c r="U225" s="62"/>
      <c r="V225" s="62"/>
    </row>
    <row r="226" spans="1:22" s="1" customFormat="1" x14ac:dyDescent="0.3">
      <c r="A226" s="461">
        <v>907</v>
      </c>
      <c r="B226" s="461" t="s">
        <v>699</v>
      </c>
      <c r="C226" s="461"/>
      <c r="D226" s="171">
        <v>0</v>
      </c>
      <c r="E226" s="62"/>
      <c r="F226" s="468">
        <f>D226+E226</f>
        <v>0</v>
      </c>
      <c r="G226" s="171">
        <v>0</v>
      </c>
      <c r="H226" s="171">
        <f>F226-G226</f>
        <v>0</v>
      </c>
      <c r="I226" s="468">
        <f>H226</f>
        <v>0</v>
      </c>
      <c r="J226" s="467">
        <v>0</v>
      </c>
      <c r="K226" s="467">
        <v>0</v>
      </c>
      <c r="L226" s="171">
        <v>0</v>
      </c>
      <c r="M226" s="171">
        <v>0</v>
      </c>
      <c r="N226" s="171">
        <v>0</v>
      </c>
      <c r="O226" s="171">
        <f>I226</f>
        <v>0</v>
      </c>
      <c r="P226" s="467">
        <v>0</v>
      </c>
      <c r="Q226" s="171">
        <v>0</v>
      </c>
      <c r="R226" s="62"/>
      <c r="S226" s="62">
        <f t="shared" si="96"/>
        <v>0</v>
      </c>
      <c r="T226" s="62">
        <f t="shared" si="97"/>
        <v>0</v>
      </c>
      <c r="U226" s="62"/>
      <c r="V226" s="62"/>
    </row>
    <row r="227" spans="1:22" s="1" customFormat="1" x14ac:dyDescent="0.3">
      <c r="A227" s="461">
        <v>908</v>
      </c>
      <c r="B227" s="466" t="s">
        <v>713</v>
      </c>
      <c r="C227" s="466"/>
      <c r="D227" s="171">
        <v>0</v>
      </c>
      <c r="E227" s="62"/>
      <c r="F227" s="468">
        <f>D227+E227</f>
        <v>0</v>
      </c>
      <c r="G227" s="171">
        <v>0</v>
      </c>
      <c r="H227" s="171">
        <f>F227-G227</f>
        <v>0</v>
      </c>
      <c r="I227" s="468">
        <f>H227</f>
        <v>0</v>
      </c>
      <c r="J227" s="467">
        <v>0</v>
      </c>
      <c r="K227" s="467">
        <v>0</v>
      </c>
      <c r="L227" s="467">
        <v>0</v>
      </c>
      <c r="M227" s="62"/>
      <c r="N227" s="62"/>
      <c r="O227" s="171">
        <f t="shared" ref="O227:O228" si="98">I227</f>
        <v>0</v>
      </c>
      <c r="P227" s="467">
        <v>0</v>
      </c>
      <c r="Q227" s="62"/>
      <c r="R227" s="62"/>
      <c r="S227" s="62">
        <f t="shared" si="96"/>
        <v>0</v>
      </c>
      <c r="T227" s="62">
        <f t="shared" si="97"/>
        <v>0</v>
      </c>
      <c r="U227" s="62"/>
      <c r="V227" s="62"/>
    </row>
    <row r="228" spans="1:22" s="1" customFormat="1" x14ac:dyDescent="0.3">
      <c r="A228" s="461">
        <v>909</v>
      </c>
      <c r="B228" s="461" t="s">
        <v>715</v>
      </c>
      <c r="C228" s="461"/>
      <c r="D228" s="171">
        <v>0</v>
      </c>
      <c r="E228" s="62"/>
      <c r="F228" s="468">
        <f>D228+E228</f>
        <v>0</v>
      </c>
      <c r="G228" s="171">
        <v>0</v>
      </c>
      <c r="H228" s="171">
        <f>F228-G228</f>
        <v>0</v>
      </c>
      <c r="I228" s="468">
        <f>H228</f>
        <v>0</v>
      </c>
      <c r="J228" s="467">
        <v>0</v>
      </c>
      <c r="K228" s="467">
        <v>0</v>
      </c>
      <c r="L228" s="467">
        <v>0</v>
      </c>
      <c r="M228" s="62"/>
      <c r="N228" s="62"/>
      <c r="O228" s="171">
        <f t="shared" si="98"/>
        <v>0</v>
      </c>
      <c r="P228" s="467">
        <v>0</v>
      </c>
      <c r="Q228" s="62"/>
      <c r="R228" s="62"/>
      <c r="S228" s="62">
        <f t="shared" si="96"/>
        <v>0</v>
      </c>
      <c r="T228" s="62">
        <f t="shared" si="97"/>
        <v>0</v>
      </c>
      <c r="U228" s="62"/>
      <c r="V228" s="62"/>
    </row>
    <row r="229" spans="1:22" ht="14.5" x14ac:dyDescent="0.45">
      <c r="A229" s="461">
        <v>910</v>
      </c>
      <c r="B229" s="461" t="s">
        <v>717</v>
      </c>
      <c r="C229" s="461" t="s">
        <v>829</v>
      </c>
      <c r="D229" s="472">
        <v>2763667.1100000003</v>
      </c>
      <c r="E229" s="62"/>
      <c r="F229" s="473">
        <f>D229+E229</f>
        <v>2763667.1100000003</v>
      </c>
      <c r="G229" s="476">
        <f>IF(F231=0,(G223/$F223)*$F229,G231/$F231*$F229)</f>
        <v>545718.18287104554</v>
      </c>
      <c r="H229" s="476">
        <f>F229-G229</f>
        <v>2217948.9271289548</v>
      </c>
      <c r="I229" s="473">
        <f>H229</f>
        <v>2217948.9271289548</v>
      </c>
      <c r="J229" s="471">
        <v>0</v>
      </c>
      <c r="K229" s="476">
        <f t="shared" ref="K229:M229" si="99">IF(J231=0,0,K231/$I231*$I229)</f>
        <v>0</v>
      </c>
      <c r="L229" s="472">
        <f t="shared" si="99"/>
        <v>0</v>
      </c>
      <c r="M229" s="472">
        <f t="shared" si="99"/>
        <v>0</v>
      </c>
      <c r="N229" s="476">
        <f>IF(M231=0,(N223/($I223-$M223))*$I229,N231/$I231*$I229)</f>
        <v>526922.75510151114</v>
      </c>
      <c r="O229" s="476">
        <f>IF(N231=0,(O223/($I223-$M223))*$I229,O231/$I231*$I229)</f>
        <v>1691026.1720274435</v>
      </c>
      <c r="P229" s="472">
        <f t="shared" ref="P229:Q229" si="100">IF(O231=0,0,P231/$I231*$I229)</f>
        <v>0</v>
      </c>
      <c r="Q229" s="476">
        <f t="shared" si="100"/>
        <v>0</v>
      </c>
      <c r="R229" s="62"/>
      <c r="S229" s="62">
        <f t="shared" si="96"/>
        <v>2217948.9271289548</v>
      </c>
      <c r="T229" s="62">
        <f t="shared" si="97"/>
        <v>0</v>
      </c>
      <c r="U229" s="62"/>
      <c r="V229" s="62"/>
    </row>
    <row r="230" spans="1:22" s="1" customFormat="1" x14ac:dyDescent="0.3">
      <c r="A230" s="461"/>
      <c r="B230" s="474" t="s">
        <v>524</v>
      </c>
      <c r="C230" s="474"/>
      <c r="D230" s="171">
        <f>SUM(D225:D229)</f>
        <v>2763667.1100000003</v>
      </c>
      <c r="E230" s="171">
        <f>SUM(E225:E229)</f>
        <v>0</v>
      </c>
      <c r="F230" s="171">
        <f>SUM(F226:F229)</f>
        <v>2763667.1100000003</v>
      </c>
      <c r="G230" s="171">
        <f>SUM(G226:G229)</f>
        <v>545718.18287104554</v>
      </c>
      <c r="H230" s="171">
        <f>SUM(H225:H229)</f>
        <v>2217948.9271289548</v>
      </c>
      <c r="I230" s="171">
        <f>SUM(I225:I229)</f>
        <v>2217948.9271289548</v>
      </c>
      <c r="J230" s="171">
        <f t="shared" ref="J230:Q230" si="101">SUM(J225:J229)</f>
        <v>0</v>
      </c>
      <c r="K230" s="171">
        <f t="shared" si="101"/>
        <v>0</v>
      </c>
      <c r="L230" s="171">
        <f t="shared" si="101"/>
        <v>0</v>
      </c>
      <c r="M230" s="171">
        <f t="shared" si="101"/>
        <v>0</v>
      </c>
      <c r="N230" s="171">
        <f t="shared" si="101"/>
        <v>526922.75510151114</v>
      </c>
      <c r="O230" s="171">
        <f t="shared" si="101"/>
        <v>1691026.1720274435</v>
      </c>
      <c r="P230" s="171">
        <f t="shared" si="101"/>
        <v>0</v>
      </c>
      <c r="Q230" s="171">
        <f t="shared" si="101"/>
        <v>0</v>
      </c>
      <c r="R230" s="171"/>
      <c r="S230" s="62">
        <f t="shared" si="96"/>
        <v>2217948.9271289548</v>
      </c>
      <c r="T230" s="62">
        <f t="shared" si="97"/>
        <v>0</v>
      </c>
      <c r="U230" s="62"/>
      <c r="V230" s="62"/>
    </row>
    <row r="231" spans="1:22" s="1" customFormat="1" x14ac:dyDescent="0.3">
      <c r="A231" s="461" t="s">
        <v>1208</v>
      </c>
      <c r="B231" s="461" t="s">
        <v>829</v>
      </c>
      <c r="C231" s="474"/>
      <c r="D231" s="171">
        <f t="shared" ref="D231:I231" si="102">SUM(D225:D225,D227:D228)</f>
        <v>0</v>
      </c>
      <c r="E231" s="171">
        <f t="shared" si="102"/>
        <v>0</v>
      </c>
      <c r="F231" s="171">
        <f t="shared" si="102"/>
        <v>0</v>
      </c>
      <c r="G231" s="171">
        <f t="shared" si="102"/>
        <v>0</v>
      </c>
      <c r="H231" s="171">
        <f t="shared" si="102"/>
        <v>0</v>
      </c>
      <c r="I231" s="171">
        <f t="shared" si="102"/>
        <v>0</v>
      </c>
      <c r="J231" s="171">
        <f t="shared" ref="J231:Q231" si="103">SUM(J225:J225,J227:J228)</f>
        <v>0</v>
      </c>
      <c r="K231" s="171">
        <f t="shared" si="103"/>
        <v>0</v>
      </c>
      <c r="L231" s="171">
        <f t="shared" si="103"/>
        <v>0</v>
      </c>
      <c r="M231" s="171">
        <f t="shared" si="103"/>
        <v>0</v>
      </c>
      <c r="N231" s="171">
        <f t="shared" si="103"/>
        <v>0</v>
      </c>
      <c r="O231" s="171">
        <f t="shared" si="103"/>
        <v>0</v>
      </c>
      <c r="P231" s="171">
        <f t="shared" si="103"/>
        <v>0</v>
      </c>
      <c r="Q231" s="171">
        <f t="shared" si="103"/>
        <v>0</v>
      </c>
      <c r="R231" s="171"/>
      <c r="S231" s="62"/>
      <c r="T231" s="62"/>
      <c r="U231" s="62"/>
      <c r="V231" s="62"/>
    </row>
    <row r="232" spans="1:22" s="1" customFormat="1" x14ac:dyDescent="0.3">
      <c r="A232" s="461"/>
      <c r="B232" s="483" t="s">
        <v>718</v>
      </c>
      <c r="C232" s="483"/>
      <c r="D232" s="171"/>
      <c r="E232" s="62"/>
      <c r="F232" s="62"/>
      <c r="G232" s="171"/>
      <c r="H232" s="171"/>
      <c r="I232" s="62"/>
      <c r="J232" s="171"/>
      <c r="K232" s="171"/>
      <c r="L232" s="171"/>
      <c r="M232" s="171"/>
      <c r="N232" s="171"/>
      <c r="O232" s="171"/>
      <c r="P232" s="171"/>
      <c r="Q232" s="171"/>
      <c r="R232" s="171"/>
      <c r="S232" s="62"/>
      <c r="T232" s="62"/>
      <c r="U232" s="62"/>
      <c r="V232" s="62"/>
    </row>
    <row r="233" spans="1:22" s="1" customFormat="1" x14ac:dyDescent="0.3">
      <c r="A233" s="461">
        <v>911</v>
      </c>
      <c r="B233" s="484" t="s">
        <v>1068</v>
      </c>
      <c r="C233" s="483"/>
      <c r="D233" s="171">
        <v>0</v>
      </c>
      <c r="E233" s="62"/>
      <c r="F233" s="468">
        <f t="shared" ref="F233:F239" si="104">D233+E233</f>
        <v>0</v>
      </c>
      <c r="G233" s="171">
        <v>0</v>
      </c>
      <c r="H233" s="171">
        <f t="shared" ref="H233:H239" si="105">F233-G233</f>
        <v>0</v>
      </c>
      <c r="I233" s="468">
        <f t="shared" ref="I233:I239" si="106">H233</f>
        <v>0</v>
      </c>
      <c r="J233" s="467">
        <v>0</v>
      </c>
      <c r="K233" s="467">
        <v>0</v>
      </c>
      <c r="L233" s="467">
        <v>0</v>
      </c>
      <c r="M233" s="171"/>
      <c r="N233" s="171"/>
      <c r="O233" s="62">
        <v>0</v>
      </c>
      <c r="P233" s="171">
        <f t="shared" ref="P233:P238" si="107">I233</f>
        <v>0</v>
      </c>
      <c r="Q233" s="171"/>
      <c r="R233" s="171"/>
      <c r="S233" s="62">
        <f t="shared" ref="S233" si="108">SUM(J233:Q233)</f>
        <v>0</v>
      </c>
      <c r="T233" s="62">
        <f t="shared" ref="T233" si="109">H233-S233</f>
        <v>0</v>
      </c>
      <c r="U233" s="62"/>
      <c r="V233" s="62"/>
    </row>
    <row r="234" spans="1:22" s="1" customFormat="1" x14ac:dyDescent="0.3">
      <c r="A234" s="465">
        <v>912</v>
      </c>
      <c r="B234" s="485" t="s">
        <v>719</v>
      </c>
      <c r="C234" s="483"/>
      <c r="D234" s="171">
        <v>0</v>
      </c>
      <c r="E234" s="62"/>
      <c r="F234" s="468"/>
      <c r="G234" s="171">
        <v>0</v>
      </c>
      <c r="H234" s="171">
        <f t="shared" ref="H234" si="110">F234-G234</f>
        <v>0</v>
      </c>
      <c r="I234" s="468">
        <f t="shared" ref="I234" si="111">H234</f>
        <v>0</v>
      </c>
      <c r="J234" s="467">
        <v>0</v>
      </c>
      <c r="K234" s="467">
        <v>0</v>
      </c>
      <c r="L234" s="467">
        <v>0</v>
      </c>
      <c r="M234" s="171"/>
      <c r="N234" s="171"/>
      <c r="O234" s="467">
        <v>0</v>
      </c>
      <c r="P234" s="171">
        <f t="shared" si="107"/>
        <v>0</v>
      </c>
      <c r="Q234" s="171"/>
      <c r="R234" s="171"/>
      <c r="S234" s="62">
        <f t="shared" ref="S234" si="112">SUM(J234:Q234)</f>
        <v>0</v>
      </c>
      <c r="T234" s="62">
        <f t="shared" ref="T234" si="113">H234-S234</f>
        <v>0</v>
      </c>
      <c r="U234" s="62"/>
      <c r="V234" s="62"/>
    </row>
    <row r="235" spans="1:22" s="1" customFormat="1" x14ac:dyDescent="0.3">
      <c r="A235" s="461">
        <v>913</v>
      </c>
      <c r="B235" s="243" t="s">
        <v>1331</v>
      </c>
      <c r="C235" s="243"/>
      <c r="D235" s="171">
        <v>0</v>
      </c>
      <c r="E235" s="62"/>
      <c r="F235" s="468">
        <f t="shared" si="104"/>
        <v>0</v>
      </c>
      <c r="G235" s="171">
        <v>0</v>
      </c>
      <c r="H235" s="171">
        <f t="shared" si="105"/>
        <v>0</v>
      </c>
      <c r="I235" s="468">
        <f t="shared" si="106"/>
        <v>0</v>
      </c>
      <c r="J235" s="467">
        <v>0</v>
      </c>
      <c r="K235" s="467">
        <v>0</v>
      </c>
      <c r="L235" s="467">
        <v>0</v>
      </c>
      <c r="M235" s="171"/>
      <c r="N235" s="171"/>
      <c r="O235" s="467"/>
      <c r="P235" s="171">
        <f t="shared" si="107"/>
        <v>0</v>
      </c>
      <c r="Q235" s="171"/>
      <c r="R235" s="171"/>
      <c r="S235" s="62">
        <f t="shared" ref="S235:S240" si="114">SUM(J235:Q235)</f>
        <v>0</v>
      </c>
      <c r="T235" s="62">
        <f t="shared" ref="T235:T240" si="115">H235-S235</f>
        <v>0</v>
      </c>
      <c r="U235" s="62"/>
      <c r="V235" s="62"/>
    </row>
    <row r="236" spans="1:22" s="1" customFormat="1" x14ac:dyDescent="0.3">
      <c r="A236" s="461">
        <v>915</v>
      </c>
      <c r="B236" s="243" t="s">
        <v>892</v>
      </c>
      <c r="C236" s="243"/>
      <c r="D236" s="171">
        <v>157364.88</v>
      </c>
      <c r="E236" s="62"/>
      <c r="F236" s="468">
        <f t="shared" si="104"/>
        <v>157364.88</v>
      </c>
      <c r="G236" s="171">
        <v>0</v>
      </c>
      <c r="H236" s="171">
        <f t="shared" si="105"/>
        <v>157364.88</v>
      </c>
      <c r="I236" s="468">
        <f t="shared" si="106"/>
        <v>157364.88</v>
      </c>
      <c r="J236" s="467">
        <v>0</v>
      </c>
      <c r="K236" s="467">
        <v>0</v>
      </c>
      <c r="L236" s="467">
        <v>0</v>
      </c>
      <c r="M236" s="171"/>
      <c r="N236" s="171"/>
      <c r="O236" s="467"/>
      <c r="P236" s="171">
        <f t="shared" si="107"/>
        <v>157364.88</v>
      </c>
      <c r="Q236" s="171"/>
      <c r="R236" s="171"/>
      <c r="S236" s="62">
        <f t="shared" si="114"/>
        <v>157364.88</v>
      </c>
      <c r="T236" s="62">
        <f t="shared" si="115"/>
        <v>0</v>
      </c>
      <c r="U236" s="62"/>
      <c r="V236" s="62"/>
    </row>
    <row r="237" spans="1:22" s="1" customFormat="1" x14ac:dyDescent="0.3">
      <c r="A237" s="461">
        <v>916</v>
      </c>
      <c r="B237" s="243" t="s">
        <v>719</v>
      </c>
      <c r="C237" s="243"/>
      <c r="D237" s="171">
        <v>1575571.24</v>
      </c>
      <c r="E237" s="62"/>
      <c r="F237" s="468">
        <f t="shared" si="104"/>
        <v>1575571.24</v>
      </c>
      <c r="G237" s="171">
        <v>45528.08</v>
      </c>
      <c r="H237" s="171">
        <f t="shared" si="105"/>
        <v>1530043.16</v>
      </c>
      <c r="I237" s="468">
        <f t="shared" si="106"/>
        <v>1530043.16</v>
      </c>
      <c r="J237" s="467">
        <v>0</v>
      </c>
      <c r="K237" s="467">
        <v>0</v>
      </c>
      <c r="L237" s="467">
        <v>0</v>
      </c>
      <c r="M237" s="171"/>
      <c r="N237" s="171"/>
      <c r="O237" s="171"/>
      <c r="P237" s="171">
        <f t="shared" si="107"/>
        <v>1530043.16</v>
      </c>
      <c r="Q237" s="171"/>
      <c r="R237" s="171"/>
      <c r="S237" s="62">
        <f t="shared" si="114"/>
        <v>1530043.16</v>
      </c>
      <c r="T237" s="62">
        <f t="shared" si="115"/>
        <v>0</v>
      </c>
      <c r="U237" s="62"/>
      <c r="V237" s="62"/>
    </row>
    <row r="238" spans="1:22" s="1" customFormat="1" x14ac:dyDescent="0.3">
      <c r="A238" s="461">
        <v>917</v>
      </c>
      <c r="B238" s="243" t="s">
        <v>1009</v>
      </c>
      <c r="C238" s="243"/>
      <c r="D238" s="171">
        <v>680576.97</v>
      </c>
      <c r="E238" s="62"/>
      <c r="F238" s="468">
        <f t="shared" si="104"/>
        <v>680576.97</v>
      </c>
      <c r="G238" s="171">
        <v>0</v>
      </c>
      <c r="H238" s="171">
        <f t="shared" si="105"/>
        <v>680576.97</v>
      </c>
      <c r="I238" s="468">
        <f t="shared" si="106"/>
        <v>680576.97</v>
      </c>
      <c r="J238" s="467">
        <v>0</v>
      </c>
      <c r="K238" s="467">
        <v>0</v>
      </c>
      <c r="L238" s="467">
        <v>0</v>
      </c>
      <c r="M238" s="171"/>
      <c r="N238" s="171"/>
      <c r="O238" s="171"/>
      <c r="P238" s="171">
        <f t="shared" si="107"/>
        <v>680576.97</v>
      </c>
      <c r="Q238" s="171"/>
      <c r="R238" s="171"/>
      <c r="S238" s="62">
        <f t="shared" si="114"/>
        <v>680576.97</v>
      </c>
      <c r="T238" s="62">
        <f t="shared" si="115"/>
        <v>0</v>
      </c>
      <c r="U238" s="62"/>
      <c r="V238" s="62"/>
    </row>
    <row r="239" spans="1:22" s="1" customFormat="1" ht="14.5" x14ac:dyDescent="0.45">
      <c r="A239" s="461">
        <v>918</v>
      </c>
      <c r="B239" s="243" t="s">
        <v>722</v>
      </c>
      <c r="C239" s="243"/>
      <c r="D239" s="472">
        <v>8932535.25</v>
      </c>
      <c r="E239" s="472">
        <v>0</v>
      </c>
      <c r="F239" s="473">
        <f t="shared" si="104"/>
        <v>8932535.25</v>
      </c>
      <c r="G239" s="472">
        <v>0</v>
      </c>
      <c r="H239" s="472">
        <f t="shared" si="105"/>
        <v>8932535.25</v>
      </c>
      <c r="I239" s="473">
        <f t="shared" si="106"/>
        <v>8932535.25</v>
      </c>
      <c r="J239" s="471">
        <v>0</v>
      </c>
      <c r="K239" s="471">
        <v>0</v>
      </c>
      <c r="L239" s="471">
        <v>0</v>
      </c>
      <c r="M239" s="472"/>
      <c r="N239" s="472"/>
      <c r="O239" s="472"/>
      <c r="P239" s="472">
        <f>I239-L239</f>
        <v>8932535.25</v>
      </c>
      <c r="Q239" s="472"/>
      <c r="R239" s="171"/>
      <c r="S239" s="62">
        <f t="shared" si="114"/>
        <v>8932535.25</v>
      </c>
      <c r="T239" s="62">
        <f t="shared" si="115"/>
        <v>0</v>
      </c>
      <c r="U239" s="62"/>
      <c r="V239" s="62"/>
    </row>
    <row r="240" spans="1:22" s="1" customFormat="1" x14ac:dyDescent="0.3">
      <c r="A240" s="461"/>
      <c r="B240" s="486" t="s">
        <v>524</v>
      </c>
      <c r="C240" s="486"/>
      <c r="D240" s="171">
        <f>SUM(D233:D239)</f>
        <v>11346048.34</v>
      </c>
      <c r="E240" s="171">
        <f t="shared" ref="E240:Q240" si="116">SUM(E233:E239)</f>
        <v>0</v>
      </c>
      <c r="F240" s="171">
        <f t="shared" si="116"/>
        <v>11346048.34</v>
      </c>
      <c r="G240" s="171">
        <f t="shared" si="116"/>
        <v>45528.08</v>
      </c>
      <c r="H240" s="171">
        <f t="shared" si="116"/>
        <v>11300520.26</v>
      </c>
      <c r="I240" s="171">
        <f t="shared" si="116"/>
        <v>11300520.26</v>
      </c>
      <c r="J240" s="171">
        <f t="shared" si="116"/>
        <v>0</v>
      </c>
      <c r="K240" s="171">
        <f t="shared" si="116"/>
        <v>0</v>
      </c>
      <c r="L240" s="171">
        <f t="shared" si="116"/>
        <v>0</v>
      </c>
      <c r="M240" s="171">
        <f t="shared" si="116"/>
        <v>0</v>
      </c>
      <c r="N240" s="171">
        <f t="shared" si="116"/>
        <v>0</v>
      </c>
      <c r="O240" s="171">
        <f t="shared" si="116"/>
        <v>0</v>
      </c>
      <c r="P240" s="171">
        <f t="shared" si="116"/>
        <v>11300520.26</v>
      </c>
      <c r="Q240" s="171">
        <f t="shared" si="116"/>
        <v>0</v>
      </c>
      <c r="R240" s="171"/>
      <c r="S240" s="62">
        <f t="shared" si="114"/>
        <v>11300520.26</v>
      </c>
      <c r="T240" s="62">
        <f t="shared" si="115"/>
        <v>0</v>
      </c>
      <c r="U240" s="62"/>
      <c r="V240" s="62"/>
    </row>
    <row r="241" spans="1:27" s="1" customFormat="1" x14ac:dyDescent="0.3">
      <c r="A241" s="461">
        <v>912913917</v>
      </c>
      <c r="B241" s="243" t="s">
        <v>831</v>
      </c>
      <c r="C241" s="474"/>
      <c r="D241" s="171"/>
      <c r="E241" s="62"/>
      <c r="F241" s="62"/>
      <c r="G241" s="171"/>
      <c r="H241" s="171"/>
      <c r="I241" s="171">
        <f>SUM(I235,I238)</f>
        <v>680576.97</v>
      </c>
      <c r="J241" s="171">
        <f t="shared" ref="J241:Q241" si="117">SUM(J235:J235,J238)</f>
        <v>0</v>
      </c>
      <c r="K241" s="171">
        <f t="shared" si="117"/>
        <v>0</v>
      </c>
      <c r="L241" s="171">
        <f t="shared" si="117"/>
        <v>0</v>
      </c>
      <c r="M241" s="171">
        <f t="shared" si="117"/>
        <v>0</v>
      </c>
      <c r="N241" s="171">
        <f t="shared" si="117"/>
        <v>0</v>
      </c>
      <c r="O241" s="171">
        <f t="shared" si="117"/>
        <v>0</v>
      </c>
      <c r="P241" s="171">
        <f t="shared" si="117"/>
        <v>680576.97</v>
      </c>
      <c r="Q241" s="171">
        <f t="shared" si="117"/>
        <v>0</v>
      </c>
      <c r="R241" s="171"/>
      <c r="S241" s="62"/>
      <c r="T241" s="62"/>
      <c r="U241" s="62"/>
      <c r="V241" s="62"/>
    </row>
    <row r="242" spans="1:27" s="1" customFormat="1" x14ac:dyDescent="0.3">
      <c r="A242" s="461"/>
      <c r="B242" s="487" t="s">
        <v>834</v>
      </c>
      <c r="C242" s="487"/>
      <c r="D242" s="171">
        <f t="shared" ref="D242:Q242" si="118">D222+D230+D240</f>
        <v>52213007.439999998</v>
      </c>
      <c r="E242" s="171">
        <f t="shared" si="118"/>
        <v>0</v>
      </c>
      <c r="F242" s="171">
        <f t="shared" si="118"/>
        <v>52213007.439999998</v>
      </c>
      <c r="G242" s="171">
        <f t="shared" si="118"/>
        <v>8063706.0351343136</v>
      </c>
      <c r="H242" s="171">
        <f t="shared" si="118"/>
        <v>44149301.40486569</v>
      </c>
      <c r="I242" s="171">
        <f t="shared" si="118"/>
        <v>44149301.40486569</v>
      </c>
      <c r="J242" s="171">
        <f t="shared" si="118"/>
        <v>0</v>
      </c>
      <c r="K242" s="171">
        <f t="shared" si="118"/>
        <v>0</v>
      </c>
      <c r="L242" s="171">
        <f t="shared" si="118"/>
        <v>0</v>
      </c>
      <c r="M242" s="171">
        <f t="shared" si="118"/>
        <v>8862247.4607540499</v>
      </c>
      <c r="N242" s="171">
        <f t="shared" si="118"/>
        <v>5698530.8631646633</v>
      </c>
      <c r="O242" s="171">
        <f t="shared" si="118"/>
        <v>18288002.820946973</v>
      </c>
      <c r="P242" s="171">
        <f t="shared" si="118"/>
        <v>11300520.26</v>
      </c>
      <c r="Q242" s="171">
        <f t="shared" si="118"/>
        <v>0</v>
      </c>
      <c r="R242" s="171"/>
      <c r="S242" s="62">
        <f>SUM(J242:Q242)</f>
        <v>44149301.404865682</v>
      </c>
      <c r="T242" s="62">
        <f>H242-S242</f>
        <v>0</v>
      </c>
      <c r="U242" s="62"/>
      <c r="V242" s="62"/>
    </row>
    <row r="243" spans="1:27" s="1" customFormat="1" x14ac:dyDescent="0.3">
      <c r="A243" s="461" t="s">
        <v>836</v>
      </c>
      <c r="B243" s="479" t="s">
        <v>884</v>
      </c>
      <c r="C243" s="461"/>
      <c r="D243" s="171">
        <f t="shared" ref="D243:Q243" si="119">D152+D211+D242</f>
        <v>1171933549.95</v>
      </c>
      <c r="E243" s="171">
        <f t="shared" si="119"/>
        <v>3350004</v>
      </c>
      <c r="F243" s="171">
        <f t="shared" si="119"/>
        <v>1175283553.95</v>
      </c>
      <c r="G243" s="171">
        <f t="shared" si="119"/>
        <v>105613149.35513431</v>
      </c>
      <c r="H243" s="171">
        <f t="shared" si="119"/>
        <v>1069670404.5948657</v>
      </c>
      <c r="I243" s="171">
        <f t="shared" si="119"/>
        <v>1069670404.5948657</v>
      </c>
      <c r="J243" s="171">
        <f t="shared" si="119"/>
        <v>906097319.02999997</v>
      </c>
      <c r="K243" s="171">
        <f t="shared" si="119"/>
        <v>19376670.590000004</v>
      </c>
      <c r="L243" s="171">
        <f t="shared" si="119"/>
        <v>88810905.387649953</v>
      </c>
      <c r="M243" s="171">
        <f t="shared" si="119"/>
        <v>20098455.643104106</v>
      </c>
      <c r="N243" s="171">
        <f t="shared" si="119"/>
        <v>5698530.8631646633</v>
      </c>
      <c r="O243" s="171">
        <f t="shared" si="119"/>
        <v>18288002.820946973</v>
      </c>
      <c r="P243" s="171">
        <f t="shared" si="119"/>
        <v>11300520.26</v>
      </c>
      <c r="Q243" s="171">
        <f t="shared" si="119"/>
        <v>0</v>
      </c>
      <c r="R243" s="171"/>
      <c r="S243" s="62">
        <f>SUM(J243:Q243)</f>
        <v>1069670404.5948656</v>
      </c>
      <c r="T243" s="62">
        <f>H243-S243</f>
        <v>0</v>
      </c>
      <c r="U243" s="62"/>
      <c r="V243" s="62"/>
    </row>
    <row r="244" spans="1:27" s="1" customFormat="1" x14ac:dyDescent="0.3">
      <c r="A244" s="461" t="s">
        <v>919</v>
      </c>
      <c r="B244" s="479"/>
      <c r="C244" s="461"/>
      <c r="D244" s="680">
        <v>493037897.49000013</v>
      </c>
      <c r="E244" s="680">
        <v>3350004</v>
      </c>
      <c r="F244" s="680">
        <v>496387901.49000013</v>
      </c>
      <c r="G244" s="680">
        <v>105613149.35513431</v>
      </c>
      <c r="H244" s="680">
        <v>390774752.13486576</v>
      </c>
      <c r="I244" s="680">
        <v>390774752.13486576</v>
      </c>
      <c r="J244" s="680">
        <v>227201666.57000002</v>
      </c>
      <c r="K244" s="680">
        <v>19376670.590000004</v>
      </c>
      <c r="L244" s="680">
        <v>88810905.387649953</v>
      </c>
      <c r="M244" s="680">
        <v>20098455.643104106</v>
      </c>
      <c r="N244" s="680">
        <v>5698530.8631646633</v>
      </c>
      <c r="O244" s="680">
        <v>18288002.820946973</v>
      </c>
      <c r="P244" s="680">
        <v>11300520.26</v>
      </c>
      <c r="Q244" s="680">
        <v>0</v>
      </c>
      <c r="R244" s="171"/>
      <c r="S244" s="62">
        <f>SUM(J244:Q244)</f>
        <v>390774752.1348657</v>
      </c>
      <c r="T244" s="62">
        <f>H244-S244</f>
        <v>0</v>
      </c>
      <c r="U244" s="62"/>
      <c r="V244" s="62"/>
    </row>
    <row r="245" spans="1:27" s="1" customFormat="1" x14ac:dyDescent="0.3">
      <c r="A245" s="461"/>
      <c r="B245" s="479"/>
      <c r="C245" s="461"/>
      <c r="D245" s="171"/>
      <c r="E245" s="171"/>
      <c r="F245" s="171"/>
      <c r="G245" s="171"/>
      <c r="H245" s="171"/>
      <c r="I245" s="171"/>
      <c r="J245" s="171"/>
      <c r="K245" s="171"/>
      <c r="L245" s="171"/>
      <c r="M245" s="171"/>
      <c r="N245" s="171"/>
      <c r="O245" s="171"/>
      <c r="P245" s="171"/>
      <c r="Q245" s="171"/>
      <c r="R245" s="171"/>
      <c r="S245" s="62"/>
      <c r="T245" s="62"/>
      <c r="U245" s="62"/>
      <c r="V245" s="62"/>
    </row>
    <row r="246" spans="1:27" s="1" customFormat="1" x14ac:dyDescent="0.3">
      <c r="A246" s="461"/>
      <c r="B246" s="479"/>
      <c r="C246" s="461"/>
      <c r="D246" s="171"/>
      <c r="E246" s="171"/>
      <c r="F246" s="171"/>
      <c r="G246" s="171"/>
      <c r="H246" s="171"/>
      <c r="I246" s="171"/>
      <c r="J246" s="171"/>
      <c r="K246" s="171"/>
      <c r="L246" s="171"/>
      <c r="M246" s="171"/>
      <c r="N246" s="171"/>
      <c r="O246" s="171"/>
      <c r="P246" s="171"/>
      <c r="Q246" s="171"/>
      <c r="R246" s="171"/>
      <c r="S246" s="62"/>
      <c r="T246" s="62"/>
      <c r="U246" s="62"/>
      <c r="V246" s="62"/>
    </row>
    <row r="247" spans="1:27" s="1" customFormat="1" x14ac:dyDescent="0.3">
      <c r="A247" s="461"/>
      <c r="B247" s="479"/>
      <c r="C247" s="461"/>
      <c r="D247" s="171"/>
      <c r="E247" s="171"/>
      <c r="F247" s="171"/>
      <c r="G247" s="171"/>
      <c r="H247" s="171"/>
      <c r="I247" s="171"/>
      <c r="J247" s="171"/>
      <c r="K247" s="171"/>
      <c r="L247" s="171"/>
      <c r="M247" s="171"/>
      <c r="N247" s="171"/>
      <c r="O247" s="171"/>
      <c r="P247" s="171"/>
      <c r="Q247" s="171"/>
      <c r="R247" s="171"/>
      <c r="S247" s="62"/>
      <c r="T247" s="62"/>
      <c r="U247" s="62"/>
      <c r="V247" s="62"/>
    </row>
    <row r="248" spans="1:27" s="1" customFormat="1" x14ac:dyDescent="0.3">
      <c r="A248" s="479" t="s">
        <v>1332</v>
      </c>
      <c r="B248" s="461"/>
      <c r="C248" s="461"/>
      <c r="D248" s="171"/>
      <c r="E248" s="62"/>
      <c r="F248" s="62"/>
      <c r="G248" s="171"/>
      <c r="H248" s="171"/>
      <c r="I248" s="62"/>
      <c r="J248" s="171"/>
      <c r="K248" s="171"/>
      <c r="L248" s="171"/>
      <c r="M248" s="171"/>
      <c r="N248" s="171"/>
      <c r="O248" s="171"/>
      <c r="P248" s="171"/>
      <c r="Q248" s="171"/>
      <c r="R248" s="171"/>
      <c r="S248" s="62"/>
      <c r="T248" s="62"/>
      <c r="U248" s="62"/>
      <c r="V248" s="62"/>
    </row>
    <row r="249" spans="1:27" x14ac:dyDescent="0.3">
      <c r="A249" s="461">
        <v>920</v>
      </c>
      <c r="B249" s="461" t="s">
        <v>725</v>
      </c>
      <c r="C249" s="461" t="s">
        <v>835</v>
      </c>
      <c r="D249" s="171">
        <v>27269156.18</v>
      </c>
      <c r="E249" s="171">
        <v>0</v>
      </c>
      <c r="F249" s="468">
        <f>D249+E249</f>
        <v>27269156.18</v>
      </c>
      <c r="G249" s="171">
        <v>1803744.16</v>
      </c>
      <c r="H249" s="171">
        <f t="shared" ref="H249:H254" si="120">F249-G249</f>
        <v>25465412.02</v>
      </c>
      <c r="I249" s="468">
        <f t="shared" ref="I249:I254" si="121">H249</f>
        <v>25465412.02</v>
      </c>
      <c r="J249" s="481">
        <f>$I249*'7a. LX_AG-i'!J$246</f>
        <v>8138489.4580057412</v>
      </c>
      <c r="K249" s="481">
        <f>$I249*'7a. LX_AG-i'!K$246</f>
        <v>2773208.5374091538</v>
      </c>
      <c r="L249" s="481">
        <f>$I249*'7a. LX_AG-i'!L$246</f>
        <v>11428675.049402852</v>
      </c>
      <c r="M249" s="481">
        <f>$I249*'7a. LX_AG-i'!M$246</f>
        <v>994492.19877997588</v>
      </c>
      <c r="N249" s="481">
        <f>$I249*'7a. LX_AG-i'!N$246</f>
        <v>378008.41403464414</v>
      </c>
      <c r="O249" s="481">
        <f>$I249*'7a. LX_AG-i'!O$246</f>
        <v>1127326.2537090811</v>
      </c>
      <c r="P249" s="481">
        <f>$I249*'7a. LX_AG-i'!P$246</f>
        <v>625212.10865855461</v>
      </c>
      <c r="Q249" s="467">
        <f>$I249*'7a. LX_AG-i'!Q$246</f>
        <v>0</v>
      </c>
      <c r="R249" s="481"/>
      <c r="S249" s="62">
        <f>SUM(J249:Q249)</f>
        <v>25465412.020000003</v>
      </c>
      <c r="T249" s="62">
        <f>H249-S249</f>
        <v>0</v>
      </c>
      <c r="U249" s="62"/>
      <c r="V249" s="62"/>
      <c r="W249" s="1"/>
      <c r="X249" s="26"/>
      <c r="AA249" s="19"/>
    </row>
    <row r="250" spans="1:27" s="1" customFormat="1" x14ac:dyDescent="0.3">
      <c r="A250" s="461" t="s">
        <v>1209</v>
      </c>
      <c r="B250" s="461" t="s">
        <v>58</v>
      </c>
      <c r="C250" s="484" t="s">
        <v>105</v>
      </c>
      <c r="D250" s="678"/>
      <c r="E250" s="678"/>
      <c r="F250" s="669"/>
      <c r="G250" s="678"/>
      <c r="H250" s="678"/>
      <c r="I250" s="669"/>
      <c r="J250" s="687"/>
      <c r="K250" s="696"/>
      <c r="L250" s="687"/>
      <c r="M250" s="687"/>
      <c r="N250" s="687"/>
      <c r="O250" s="687"/>
      <c r="P250" s="687"/>
      <c r="Q250" s="696"/>
      <c r="R250" s="481"/>
      <c r="S250" s="62"/>
      <c r="T250" s="62"/>
      <c r="U250" s="62"/>
      <c r="V250" s="62"/>
      <c r="X250" s="26"/>
    </row>
    <row r="251" spans="1:27" x14ac:dyDescent="0.3">
      <c r="A251" s="461">
        <v>921</v>
      </c>
      <c r="B251" s="461" t="s">
        <v>727</v>
      </c>
      <c r="C251" s="461" t="s">
        <v>835</v>
      </c>
      <c r="D251" s="171">
        <v>2570319.58</v>
      </c>
      <c r="E251" s="171">
        <v>0</v>
      </c>
      <c r="F251" s="468">
        <f t="shared" ref="F251:F254" si="122">D251+E251</f>
        <v>2570319.58</v>
      </c>
      <c r="G251" s="171">
        <v>177850.94</v>
      </c>
      <c r="H251" s="171">
        <f t="shared" si="120"/>
        <v>2392468.64</v>
      </c>
      <c r="I251" s="468">
        <f t="shared" si="121"/>
        <v>2392468.64</v>
      </c>
      <c r="J251" s="481">
        <f>$I251*'7a. LX_AG-i'!J$246</f>
        <v>764608.90520668414</v>
      </c>
      <c r="K251" s="481">
        <f>$I251*'7a. LX_AG-i'!K$246</f>
        <v>260542.19946336714</v>
      </c>
      <c r="L251" s="481">
        <f>$I251*'7a. LX_AG-i'!L$246</f>
        <v>1073720.9604530395</v>
      </c>
      <c r="M251" s="481">
        <f>$I251*'7a. LX_AG-i'!M$246</f>
        <v>93432.275764361999</v>
      </c>
      <c r="N251" s="481">
        <f>$I251*'7a. LX_AG-i'!N$246</f>
        <v>35513.789273220718</v>
      </c>
      <c r="O251" s="481">
        <f>$I251*'7a. LX_AG-i'!O$246</f>
        <v>105911.99965386071</v>
      </c>
      <c r="P251" s="481">
        <f>$I251*'7a. LX_AG-i'!P$246</f>
        <v>58738.510185466243</v>
      </c>
      <c r="Q251" s="467">
        <f>$I251*'7a. LX_AG-i'!Q$246</f>
        <v>0</v>
      </c>
      <c r="R251" s="481"/>
      <c r="S251" s="62">
        <f t="shared" ref="S251:S256" si="123">SUM(J251:Q251)</f>
        <v>2392468.64</v>
      </c>
      <c r="T251" s="62">
        <f t="shared" ref="T251:T256" si="124">H251-S251</f>
        <v>0</v>
      </c>
      <c r="U251" s="62"/>
      <c r="V251" s="62"/>
      <c r="X251" s="54"/>
    </row>
    <row r="252" spans="1:27" s="1" customFormat="1" x14ac:dyDescent="0.3">
      <c r="A252" s="461" t="s">
        <v>1210</v>
      </c>
      <c r="B252" s="461" t="s">
        <v>60</v>
      </c>
      <c r="C252" s="484" t="s">
        <v>105</v>
      </c>
      <c r="D252" s="678"/>
      <c r="E252" s="678"/>
      <c r="F252" s="669"/>
      <c r="G252" s="678"/>
      <c r="H252" s="678"/>
      <c r="I252" s="669"/>
      <c r="J252" s="687"/>
      <c r="K252" s="696"/>
      <c r="L252" s="687"/>
      <c r="M252" s="687"/>
      <c r="N252" s="687"/>
      <c r="O252" s="687"/>
      <c r="P252" s="687"/>
      <c r="Q252" s="696"/>
      <c r="R252" s="481"/>
      <c r="S252" s="62">
        <f t="shared" si="123"/>
        <v>0</v>
      </c>
      <c r="T252" s="62">
        <f t="shared" si="124"/>
        <v>0</v>
      </c>
      <c r="U252" s="62"/>
      <c r="V252" s="62"/>
      <c r="X252" s="26"/>
    </row>
    <row r="253" spans="1:27" s="1" customFormat="1" x14ac:dyDescent="0.3">
      <c r="A253" s="461">
        <v>922</v>
      </c>
      <c r="B253" s="461" t="s">
        <v>729</v>
      </c>
      <c r="C253" s="461" t="s">
        <v>835</v>
      </c>
      <c r="D253" s="171">
        <v>0</v>
      </c>
      <c r="E253" s="171">
        <v>0</v>
      </c>
      <c r="F253" s="468">
        <f t="shared" si="122"/>
        <v>0</v>
      </c>
      <c r="G253" s="171">
        <v>0</v>
      </c>
      <c r="H253" s="171">
        <f t="shared" si="120"/>
        <v>0</v>
      </c>
      <c r="I253" s="468">
        <f t="shared" si="121"/>
        <v>0</v>
      </c>
      <c r="J253" s="467">
        <f>$I253*'7a. LX_AG-i'!J$246</f>
        <v>0</v>
      </c>
      <c r="K253" s="467">
        <f>$I253*'7a. LX_AG-i'!K$246</f>
        <v>0</v>
      </c>
      <c r="L253" s="467">
        <f>$I253*'7a. LX_AG-i'!L$246</f>
        <v>0</v>
      </c>
      <c r="M253" s="467">
        <f>$I253*'7a. LX_AG-i'!M$246</f>
        <v>0</v>
      </c>
      <c r="N253" s="467">
        <f>$I253*'7a. LX_AG-i'!N$246</f>
        <v>0</v>
      </c>
      <c r="O253" s="467">
        <f>$I253*'7a. LX_AG-i'!O$246</f>
        <v>0</v>
      </c>
      <c r="P253" s="467">
        <f>$I253*'7a. LX_AG-i'!P$246</f>
        <v>0</v>
      </c>
      <c r="Q253" s="467">
        <f>$I253*'7a. LX_AG-i'!Q$246</f>
        <v>0</v>
      </c>
      <c r="R253" s="469"/>
      <c r="S253" s="62">
        <f t="shared" si="123"/>
        <v>0</v>
      </c>
      <c r="T253" s="62">
        <f t="shared" si="124"/>
        <v>0</v>
      </c>
      <c r="U253" s="62"/>
      <c r="V253" s="62"/>
      <c r="X253" s="26"/>
    </row>
    <row r="254" spans="1:27" x14ac:dyDescent="0.3">
      <c r="A254" s="461">
        <v>923</v>
      </c>
      <c r="B254" s="466" t="s">
        <v>731</v>
      </c>
      <c r="C254" s="484" t="s">
        <v>919</v>
      </c>
      <c r="D254" s="171">
        <v>42868539.809999995</v>
      </c>
      <c r="E254" s="171">
        <v>0</v>
      </c>
      <c r="F254" s="468">
        <f t="shared" si="122"/>
        <v>42868539.809999995</v>
      </c>
      <c r="G254" s="171">
        <v>2906042.76</v>
      </c>
      <c r="H254" s="171">
        <f t="shared" si="120"/>
        <v>39962497.049999997</v>
      </c>
      <c r="I254" s="468">
        <f t="shared" si="121"/>
        <v>39962497.049999997</v>
      </c>
      <c r="J254" s="481">
        <f t="shared" ref="J254:Q254" si="125">$I254*J$244/$I$244</f>
        <v>23234730.187801741</v>
      </c>
      <c r="K254" s="481">
        <f t="shared" si="125"/>
        <v>1981551.1034460422</v>
      </c>
      <c r="L254" s="481">
        <f t="shared" si="125"/>
        <v>9082228.381369194</v>
      </c>
      <c r="M254" s="481">
        <f t="shared" si="125"/>
        <v>2055364.2986379666</v>
      </c>
      <c r="N254" s="481">
        <f t="shared" si="125"/>
        <v>582759.04869605682</v>
      </c>
      <c r="O254" s="481">
        <f t="shared" si="125"/>
        <v>1870218.7252114399</v>
      </c>
      <c r="P254" s="481">
        <f t="shared" si="125"/>
        <v>1155645.3048375505</v>
      </c>
      <c r="Q254" s="467">
        <f t="shared" si="125"/>
        <v>0</v>
      </c>
      <c r="R254" s="481"/>
      <c r="S254" s="62">
        <f t="shared" si="123"/>
        <v>39962497.04999999</v>
      </c>
      <c r="T254" s="62">
        <f t="shared" si="124"/>
        <v>0</v>
      </c>
      <c r="U254" s="62"/>
      <c r="V254" s="62"/>
      <c r="X254" s="54"/>
    </row>
    <row r="255" spans="1:27" s="1" customFormat="1" x14ac:dyDescent="0.3">
      <c r="A255" s="461" t="s">
        <v>1211</v>
      </c>
      <c r="B255" s="466" t="s">
        <v>62</v>
      </c>
      <c r="C255" s="484" t="s">
        <v>105</v>
      </c>
      <c r="D255" s="678"/>
      <c r="E255" s="678"/>
      <c r="F255" s="669"/>
      <c r="G255" s="678"/>
      <c r="H255" s="678"/>
      <c r="I255" s="669"/>
      <c r="J255" s="687"/>
      <c r="K255" s="696"/>
      <c r="L255" s="696"/>
      <c r="M255" s="687"/>
      <c r="N255" s="687"/>
      <c r="O255" s="687"/>
      <c r="P255" s="687"/>
      <c r="Q255" s="696"/>
      <c r="R255" s="481"/>
      <c r="S255" s="62">
        <f t="shared" si="123"/>
        <v>0</v>
      </c>
      <c r="T255" s="62">
        <f t="shared" si="124"/>
        <v>0</v>
      </c>
      <c r="U255" s="62"/>
      <c r="V255" s="62"/>
      <c r="X255" s="26"/>
    </row>
    <row r="256" spans="1:27" s="1" customFormat="1" x14ac:dyDescent="0.3">
      <c r="A256" s="461">
        <v>924</v>
      </c>
      <c r="B256" s="461" t="s">
        <v>1204</v>
      </c>
      <c r="C256" s="484" t="s">
        <v>105</v>
      </c>
      <c r="D256" s="171"/>
      <c r="E256" s="62"/>
      <c r="F256" s="468"/>
      <c r="G256" s="171"/>
      <c r="H256" s="171"/>
      <c r="I256" s="468"/>
      <c r="J256" s="481"/>
      <c r="K256" s="467"/>
      <c r="L256" s="171"/>
      <c r="M256" s="171"/>
      <c r="N256" s="171"/>
      <c r="O256" s="171"/>
      <c r="P256" s="171"/>
      <c r="Q256" s="171"/>
      <c r="R256" s="481"/>
      <c r="S256" s="62">
        <f t="shared" si="123"/>
        <v>0</v>
      </c>
      <c r="T256" s="62">
        <f t="shared" si="124"/>
        <v>0</v>
      </c>
      <c r="U256" s="62"/>
      <c r="V256" s="62"/>
      <c r="X256" s="26"/>
    </row>
    <row r="257" spans="1:24" s="1" customFormat="1" x14ac:dyDescent="0.3">
      <c r="A257" s="461"/>
      <c r="B257" s="461" t="s">
        <v>1203</v>
      </c>
      <c r="C257" s="484" t="s">
        <v>105</v>
      </c>
      <c r="D257" s="171"/>
      <c r="E257" s="62"/>
      <c r="F257" s="468"/>
      <c r="G257" s="171"/>
      <c r="H257" s="171"/>
      <c r="I257" s="468"/>
      <c r="J257" s="481"/>
      <c r="K257" s="481"/>
      <c r="L257" s="171"/>
      <c r="M257" s="171"/>
      <c r="N257" s="171"/>
      <c r="O257" s="171"/>
      <c r="P257" s="171"/>
      <c r="Q257" s="171"/>
      <c r="R257" s="481"/>
      <c r="S257" s="62">
        <f t="shared" ref="S257:S273" si="126">SUM(J257:Q257)</f>
        <v>0</v>
      </c>
      <c r="T257" s="62">
        <f t="shared" ref="T257:T263" si="127">H257-S257</f>
        <v>0</v>
      </c>
      <c r="U257" s="62"/>
      <c r="V257" s="62"/>
      <c r="X257" s="26"/>
    </row>
    <row r="258" spans="1:24" s="1" customFormat="1" x14ac:dyDescent="0.3">
      <c r="A258" s="461"/>
      <c r="B258" s="461" t="s">
        <v>735</v>
      </c>
      <c r="C258" s="484" t="s">
        <v>105</v>
      </c>
      <c r="D258" s="171"/>
      <c r="E258" s="171"/>
      <c r="F258" s="171"/>
      <c r="G258" s="171"/>
      <c r="H258" s="171"/>
      <c r="I258" s="171"/>
      <c r="J258" s="171"/>
      <c r="K258" s="171"/>
      <c r="L258" s="171"/>
      <c r="M258" s="171"/>
      <c r="N258" s="171"/>
      <c r="O258" s="171"/>
      <c r="P258" s="171"/>
      <c r="Q258" s="171"/>
      <c r="R258" s="481"/>
      <c r="S258" s="62">
        <f t="shared" si="126"/>
        <v>0</v>
      </c>
      <c r="T258" s="62">
        <f t="shared" si="127"/>
        <v>0</v>
      </c>
      <c r="U258" s="62"/>
      <c r="V258" s="62"/>
      <c r="X258" s="26"/>
    </row>
    <row r="259" spans="1:24" s="1" customFormat="1" x14ac:dyDescent="0.3">
      <c r="A259" s="461"/>
      <c r="B259" s="461" t="s">
        <v>736</v>
      </c>
      <c r="C259" s="484" t="s">
        <v>105</v>
      </c>
      <c r="D259" s="171"/>
      <c r="E259" s="171"/>
      <c r="F259" s="171"/>
      <c r="G259" s="171"/>
      <c r="H259" s="171"/>
      <c r="I259" s="171"/>
      <c r="J259" s="171"/>
      <c r="K259" s="171"/>
      <c r="L259" s="171"/>
      <c r="M259" s="171"/>
      <c r="N259" s="171"/>
      <c r="O259" s="171"/>
      <c r="P259" s="171"/>
      <c r="Q259" s="171"/>
      <c r="R259" s="481"/>
      <c r="S259" s="62">
        <f t="shared" si="126"/>
        <v>0</v>
      </c>
      <c r="T259" s="62">
        <f t="shared" si="127"/>
        <v>0</v>
      </c>
      <c r="U259" s="62"/>
      <c r="V259" s="62"/>
      <c r="X259" s="26"/>
    </row>
    <row r="260" spans="1:24" s="1" customFormat="1" x14ac:dyDescent="0.3">
      <c r="A260" s="461"/>
      <c r="B260" s="461" t="s">
        <v>155</v>
      </c>
      <c r="C260" s="484" t="s">
        <v>105</v>
      </c>
      <c r="D260" s="171"/>
      <c r="E260" s="171"/>
      <c r="F260" s="171"/>
      <c r="G260" s="171"/>
      <c r="H260" s="171"/>
      <c r="I260" s="171"/>
      <c r="J260" s="171"/>
      <c r="K260" s="171"/>
      <c r="L260" s="171"/>
      <c r="M260" s="171"/>
      <c r="N260" s="171"/>
      <c r="O260" s="171"/>
      <c r="P260" s="171"/>
      <c r="Q260" s="171"/>
      <c r="R260" s="481"/>
      <c r="S260" s="62">
        <f t="shared" si="126"/>
        <v>0</v>
      </c>
      <c r="T260" s="62">
        <f t="shared" si="127"/>
        <v>0</v>
      </c>
      <c r="U260" s="62"/>
      <c r="V260" s="62"/>
    </row>
    <row r="261" spans="1:24" s="1" customFormat="1" x14ac:dyDescent="0.3">
      <c r="A261" s="461"/>
      <c r="B261" s="461" t="s">
        <v>737</v>
      </c>
      <c r="C261" s="484" t="s">
        <v>105</v>
      </c>
      <c r="D261" s="171"/>
      <c r="E261" s="171"/>
      <c r="F261" s="171"/>
      <c r="G261" s="171"/>
      <c r="H261" s="171"/>
      <c r="I261" s="171"/>
      <c r="J261" s="171"/>
      <c r="K261" s="171"/>
      <c r="L261" s="171"/>
      <c r="M261" s="171"/>
      <c r="N261" s="171"/>
      <c r="O261" s="171"/>
      <c r="P261" s="171"/>
      <c r="Q261" s="171"/>
      <c r="R261" s="481"/>
      <c r="S261" s="62">
        <f t="shared" si="126"/>
        <v>0</v>
      </c>
      <c r="T261" s="62">
        <f t="shared" si="127"/>
        <v>0</v>
      </c>
      <c r="U261" s="62"/>
      <c r="V261" s="62"/>
    </row>
    <row r="262" spans="1:24" s="1" customFormat="1" x14ac:dyDescent="0.3">
      <c r="A262" s="461"/>
      <c r="B262" s="474" t="s">
        <v>738</v>
      </c>
      <c r="C262" s="474"/>
      <c r="D262" s="680">
        <v>4522237.25</v>
      </c>
      <c r="E262" s="680"/>
      <c r="F262" s="680">
        <v>4522237.25</v>
      </c>
      <c r="G262" s="680">
        <v>14121.6</v>
      </c>
      <c r="H262" s="680">
        <v>4508115.6500000004</v>
      </c>
      <c r="I262" s="680">
        <v>4508115.6500000004</v>
      </c>
      <c r="J262" s="680">
        <v>4009443.61</v>
      </c>
      <c r="K262" s="680">
        <v>200970.12</v>
      </c>
      <c r="L262" s="680">
        <v>289559.2</v>
      </c>
      <c r="M262" s="680">
        <v>0</v>
      </c>
      <c r="N262" s="680">
        <v>0</v>
      </c>
      <c r="O262" s="680">
        <v>0</v>
      </c>
      <c r="P262" s="680">
        <v>8142.72</v>
      </c>
      <c r="Q262" s="680">
        <v>0</v>
      </c>
      <c r="R262" s="488"/>
      <c r="S262" s="62">
        <f t="shared" si="126"/>
        <v>4508115.6499999994</v>
      </c>
      <c r="T262" s="62">
        <f t="shared" si="127"/>
        <v>0</v>
      </c>
      <c r="U262" s="62"/>
      <c r="V262" s="62">
        <v>0</v>
      </c>
    </row>
    <row r="263" spans="1:24" s="1" customFormat="1" x14ac:dyDescent="0.3">
      <c r="A263" s="461">
        <v>925</v>
      </c>
      <c r="B263" s="461" t="s">
        <v>740</v>
      </c>
      <c r="C263" s="461" t="s">
        <v>105</v>
      </c>
      <c r="D263" s="171">
        <v>8487872.4699999988</v>
      </c>
      <c r="E263" s="171">
        <v>0</v>
      </c>
      <c r="F263" s="171">
        <f t="shared" ref="F263:F273" si="128">D263+E263</f>
        <v>8487872.4699999988</v>
      </c>
      <c r="G263" s="171">
        <v>2340511.31</v>
      </c>
      <c r="H263" s="171">
        <f t="shared" ref="H263:H273" si="129">F263-G263</f>
        <v>6147361.1599999983</v>
      </c>
      <c r="I263" s="171">
        <f t="shared" ref="I263:I273" si="130">H263</f>
        <v>6147361.1599999983</v>
      </c>
      <c r="J263" s="171">
        <v>1471702.95</v>
      </c>
      <c r="K263" s="171">
        <v>1067641.1599999999</v>
      </c>
      <c r="L263" s="171">
        <v>3399583.25</v>
      </c>
      <c r="M263" s="171">
        <v>0</v>
      </c>
      <c r="N263" s="171">
        <v>0</v>
      </c>
      <c r="O263" s="171">
        <v>0</v>
      </c>
      <c r="P263" s="171">
        <v>208433.8</v>
      </c>
      <c r="Q263" s="171">
        <v>0</v>
      </c>
      <c r="R263" s="481"/>
      <c r="S263" s="62">
        <f t="shared" si="126"/>
        <v>6147361.1599999992</v>
      </c>
      <c r="T263" s="62">
        <f t="shared" si="127"/>
        <v>0</v>
      </c>
      <c r="U263" s="62"/>
      <c r="V263" s="62"/>
    </row>
    <row r="264" spans="1:24" s="1" customFormat="1" x14ac:dyDescent="0.3">
      <c r="A264" s="461" t="s">
        <v>1212</v>
      </c>
      <c r="B264" s="461" t="s">
        <v>64</v>
      </c>
      <c r="C264" s="484" t="s">
        <v>105</v>
      </c>
      <c r="D264" s="678"/>
      <c r="E264" s="678"/>
      <c r="F264" s="678"/>
      <c r="G264" s="678"/>
      <c r="H264" s="678"/>
      <c r="I264" s="678"/>
      <c r="J264" s="678"/>
      <c r="K264" s="678"/>
      <c r="L264" s="678"/>
      <c r="M264" s="678"/>
      <c r="N264" s="678"/>
      <c r="O264" s="678"/>
      <c r="P264" s="678"/>
      <c r="Q264" s="678"/>
      <c r="R264" s="481"/>
      <c r="S264" s="62"/>
      <c r="T264" s="62"/>
      <c r="U264" s="62"/>
      <c r="V264" s="62"/>
    </row>
    <row r="265" spans="1:24" x14ac:dyDescent="0.3">
      <c r="A265" s="461">
        <v>926</v>
      </c>
      <c r="B265" s="461" t="s">
        <v>742</v>
      </c>
      <c r="C265" s="461" t="s">
        <v>105</v>
      </c>
      <c r="D265" s="171">
        <v>24958311.600000001</v>
      </c>
      <c r="E265" s="171">
        <v>0</v>
      </c>
      <c r="F265" s="171">
        <f t="shared" si="128"/>
        <v>24958311.600000001</v>
      </c>
      <c r="G265" s="171">
        <v>2222711.0299999998</v>
      </c>
      <c r="H265" s="171">
        <f t="shared" si="129"/>
        <v>22735600.57</v>
      </c>
      <c r="I265" s="171">
        <f t="shared" si="130"/>
        <v>22735600.57</v>
      </c>
      <c r="J265" s="171">
        <v>9362850.0600000005</v>
      </c>
      <c r="K265" s="171">
        <v>1565138.75</v>
      </c>
      <c r="L265" s="171">
        <v>10868845.789999999</v>
      </c>
      <c r="M265" s="171">
        <v>0</v>
      </c>
      <c r="N265" s="171">
        <v>0</v>
      </c>
      <c r="O265" s="171">
        <v>0</v>
      </c>
      <c r="P265" s="171">
        <v>946252.07</v>
      </c>
      <c r="Q265" s="171">
        <v>-7486.1</v>
      </c>
      <c r="R265" s="481"/>
      <c r="S265" s="62">
        <f t="shared" si="126"/>
        <v>22735600.57</v>
      </c>
      <c r="T265" s="62">
        <f>H265-S265</f>
        <v>0</v>
      </c>
      <c r="U265" s="62"/>
      <c r="V265" s="62"/>
    </row>
    <row r="266" spans="1:24" s="1" customFormat="1" x14ac:dyDescent="0.3">
      <c r="A266" s="461" t="s">
        <v>1213</v>
      </c>
      <c r="B266" s="461" t="s">
        <v>66</v>
      </c>
      <c r="C266" s="484" t="s">
        <v>105</v>
      </c>
      <c r="D266" s="678"/>
      <c r="E266" s="678"/>
      <c r="F266" s="678"/>
      <c r="G266" s="678"/>
      <c r="H266" s="678"/>
      <c r="I266" s="678"/>
      <c r="J266" s="678"/>
      <c r="K266" s="678"/>
      <c r="L266" s="678"/>
      <c r="M266" s="678"/>
      <c r="N266" s="678"/>
      <c r="O266" s="678"/>
      <c r="P266" s="678"/>
      <c r="Q266" s="678"/>
      <c r="R266" s="481"/>
      <c r="S266" s="62"/>
      <c r="T266" s="62"/>
      <c r="U266" s="62"/>
      <c r="V266" s="62"/>
    </row>
    <row r="267" spans="1:24" s="1" customFormat="1" x14ac:dyDescent="0.3">
      <c r="A267" s="461">
        <v>927</v>
      </c>
      <c r="B267" s="461" t="s">
        <v>744</v>
      </c>
      <c r="C267" s="484" t="s">
        <v>105</v>
      </c>
      <c r="D267" s="171">
        <v>9164257.6099999994</v>
      </c>
      <c r="E267" s="171">
        <v>0</v>
      </c>
      <c r="F267" s="171">
        <f t="shared" si="128"/>
        <v>9164257.6099999994</v>
      </c>
      <c r="G267" s="171">
        <v>479425.03</v>
      </c>
      <c r="H267" s="171">
        <f t="shared" si="129"/>
        <v>8684832.5800000001</v>
      </c>
      <c r="I267" s="171">
        <f t="shared" si="130"/>
        <v>8684832.5800000001</v>
      </c>
      <c r="J267" s="171">
        <v>0</v>
      </c>
      <c r="K267" s="171">
        <v>0</v>
      </c>
      <c r="L267" s="171">
        <v>8684832.5800000001</v>
      </c>
      <c r="M267" s="171"/>
      <c r="N267" s="171"/>
      <c r="O267" s="171"/>
      <c r="P267" s="171">
        <v>0</v>
      </c>
      <c r="Q267" s="171"/>
      <c r="R267" s="171"/>
      <c r="S267" s="62">
        <f t="shared" si="126"/>
        <v>8684832.5800000001</v>
      </c>
      <c r="T267" s="62">
        <f>H267-S267</f>
        <v>0</v>
      </c>
      <c r="U267" s="62"/>
      <c r="V267" s="62"/>
    </row>
    <row r="268" spans="1:24" s="1" customFormat="1" x14ac:dyDescent="0.3">
      <c r="A268" s="461">
        <v>928</v>
      </c>
      <c r="B268" s="466" t="s">
        <v>746</v>
      </c>
      <c r="C268" s="466" t="s">
        <v>105</v>
      </c>
      <c r="D268" s="171">
        <v>0</v>
      </c>
      <c r="E268" s="171">
        <v>0</v>
      </c>
      <c r="F268" s="171">
        <f t="shared" si="128"/>
        <v>0</v>
      </c>
      <c r="G268" s="171">
        <v>0</v>
      </c>
      <c r="H268" s="171">
        <f t="shared" si="129"/>
        <v>0</v>
      </c>
      <c r="I268" s="171">
        <f t="shared" si="130"/>
        <v>0</v>
      </c>
      <c r="J268" s="171">
        <v>0</v>
      </c>
      <c r="K268" s="171">
        <v>0</v>
      </c>
      <c r="L268" s="171">
        <v>0</v>
      </c>
      <c r="M268" s="171"/>
      <c r="N268" s="171"/>
      <c r="O268" s="171"/>
      <c r="P268" s="171">
        <v>0</v>
      </c>
      <c r="Q268" s="171"/>
      <c r="R268" s="171"/>
      <c r="S268" s="62">
        <f t="shared" si="126"/>
        <v>0</v>
      </c>
      <c r="T268" s="62">
        <f>H268-S268</f>
        <v>0</v>
      </c>
      <c r="U268" s="62"/>
      <c r="V268" s="62"/>
    </row>
    <row r="269" spans="1:24" s="1" customFormat="1" x14ac:dyDescent="0.3">
      <c r="A269" s="461">
        <v>929</v>
      </c>
      <c r="B269" s="484" t="s">
        <v>748</v>
      </c>
      <c r="C269" s="484" t="s">
        <v>105</v>
      </c>
      <c r="D269" s="171">
        <v>-3389931.1500000004</v>
      </c>
      <c r="E269" s="171">
        <v>0</v>
      </c>
      <c r="F269" s="171">
        <f t="shared" si="128"/>
        <v>-3389931.1500000004</v>
      </c>
      <c r="G269" s="171">
        <v>-248649.7</v>
      </c>
      <c r="H269" s="171">
        <f t="shared" si="129"/>
        <v>-3141281.45</v>
      </c>
      <c r="I269" s="171">
        <f t="shared" si="130"/>
        <v>-3141281.45</v>
      </c>
      <c r="J269" s="171">
        <v>-2456869.41</v>
      </c>
      <c r="K269" s="171">
        <v>0</v>
      </c>
      <c r="L269" s="171">
        <v>-494341.27</v>
      </c>
      <c r="M269" s="171">
        <v>0</v>
      </c>
      <c r="N269" s="171"/>
      <c r="O269" s="171"/>
      <c r="P269" s="171">
        <v>-190070.77</v>
      </c>
      <c r="Q269" s="171"/>
      <c r="R269" s="171"/>
      <c r="S269" s="62">
        <f t="shared" si="126"/>
        <v>-3141281.45</v>
      </c>
      <c r="T269" s="62">
        <f>H269-S269</f>
        <v>0</v>
      </c>
      <c r="U269" s="62"/>
      <c r="V269" s="62"/>
    </row>
    <row r="270" spans="1:24" x14ac:dyDescent="0.3">
      <c r="A270" s="466">
        <v>930</v>
      </c>
      <c r="B270" s="461" t="s">
        <v>750</v>
      </c>
      <c r="C270" s="461" t="s">
        <v>835</v>
      </c>
      <c r="D270" s="171">
        <v>13393427.889999999</v>
      </c>
      <c r="E270" s="171">
        <v>0</v>
      </c>
      <c r="F270" s="171">
        <f t="shared" si="128"/>
        <v>13393427.889999999</v>
      </c>
      <c r="G270" s="171">
        <v>301512.28000000003</v>
      </c>
      <c r="H270" s="171">
        <f t="shared" si="129"/>
        <v>13091915.609999999</v>
      </c>
      <c r="I270" s="171">
        <f t="shared" si="130"/>
        <v>13091915.609999999</v>
      </c>
      <c r="J270" s="171">
        <f>$I270*'7a. LX_AG-i'!J$246</f>
        <v>4184044.5029283217</v>
      </c>
      <c r="K270" s="171">
        <f>$I270*'7a. LX_AG-i'!K$246</f>
        <v>1425722.5491650288</v>
      </c>
      <c r="L270" s="171">
        <f>$I270*'7a. LX_AG-i'!L$246</f>
        <v>5875547.9457149077</v>
      </c>
      <c r="M270" s="171">
        <f>$I270*'7a. LX_AG-i'!M$246</f>
        <v>511274.19148000842</v>
      </c>
      <c r="N270" s="171">
        <f>$I270*'7a. LX_AG-i'!N$246</f>
        <v>194336.3120347228</v>
      </c>
      <c r="O270" s="171">
        <f>$I270*'7a. LX_AG-i'!O$246</f>
        <v>579564.94742380141</v>
      </c>
      <c r="P270" s="171">
        <f>$I270*'7a. LX_AG-i'!P$246</f>
        <v>321425.16125321056</v>
      </c>
      <c r="Q270" s="171">
        <f>$I270*'7a. LX_AG-i'!Q$246</f>
        <v>0</v>
      </c>
      <c r="R270" s="481"/>
      <c r="S270" s="62">
        <f t="shared" si="126"/>
        <v>13091915.610000001</v>
      </c>
      <c r="T270" s="62">
        <f>H270-S270</f>
        <v>0</v>
      </c>
      <c r="U270" s="62"/>
      <c r="V270" s="62"/>
    </row>
    <row r="271" spans="1:24" s="1" customFormat="1" x14ac:dyDescent="0.3">
      <c r="A271" s="484" t="s">
        <v>1214</v>
      </c>
      <c r="B271" s="461" t="s">
        <v>68</v>
      </c>
      <c r="C271" s="461" t="s">
        <v>105</v>
      </c>
      <c r="D271" s="678"/>
      <c r="E271" s="678"/>
      <c r="F271" s="678"/>
      <c r="G271" s="678"/>
      <c r="H271" s="678"/>
      <c r="I271" s="678"/>
      <c r="J271" s="678"/>
      <c r="K271" s="678"/>
      <c r="L271" s="678"/>
      <c r="M271" s="678"/>
      <c r="N271" s="678"/>
      <c r="O271" s="678"/>
      <c r="P271" s="678"/>
      <c r="Q271" s="678"/>
      <c r="R271" s="481"/>
      <c r="S271" s="62"/>
      <c r="T271" s="62"/>
      <c r="U271" s="62"/>
      <c r="V271" s="62"/>
    </row>
    <row r="272" spans="1:24" s="1" customFormat="1" x14ac:dyDescent="0.3">
      <c r="A272" s="461">
        <v>931</v>
      </c>
      <c r="B272" s="461" t="s">
        <v>564</v>
      </c>
      <c r="C272" s="461" t="s">
        <v>835</v>
      </c>
      <c r="D272" s="171">
        <v>0</v>
      </c>
      <c r="E272" s="171">
        <v>0</v>
      </c>
      <c r="F272" s="171">
        <f t="shared" si="128"/>
        <v>0</v>
      </c>
      <c r="G272" s="171">
        <v>0</v>
      </c>
      <c r="H272" s="171">
        <f t="shared" si="129"/>
        <v>0</v>
      </c>
      <c r="I272" s="171">
        <f t="shared" si="130"/>
        <v>0</v>
      </c>
      <c r="J272" s="171">
        <f>$I272*'7a. LX_AG-i'!J$246</f>
        <v>0</v>
      </c>
      <c r="K272" s="171">
        <f>$I272*'7a. LX_AG-i'!K$246</f>
        <v>0</v>
      </c>
      <c r="L272" s="171">
        <f>$I272*'7a. LX_AG-i'!L$246</f>
        <v>0</v>
      </c>
      <c r="M272" s="171">
        <f>$I272*'7a. LX_AG-i'!M$246</f>
        <v>0</v>
      </c>
      <c r="N272" s="171">
        <f>$I272*'7a. LX_AG-i'!N$246</f>
        <v>0</v>
      </c>
      <c r="O272" s="171">
        <f>$I272*'7a. LX_AG-i'!O$246</f>
        <v>0</v>
      </c>
      <c r="P272" s="171">
        <f>$I272*'7a. LX_AG-i'!P$246</f>
        <v>0</v>
      </c>
      <c r="Q272" s="171">
        <f>$I272*'7a. LX_AG-i'!Q$246</f>
        <v>0</v>
      </c>
      <c r="R272" s="481"/>
      <c r="S272" s="62">
        <f t="shared" si="126"/>
        <v>0</v>
      </c>
      <c r="T272" s="62">
        <f>H272-S272</f>
        <v>0</v>
      </c>
      <c r="U272" s="62"/>
      <c r="V272" s="62"/>
    </row>
    <row r="273" spans="1:22" s="1" customFormat="1" x14ac:dyDescent="0.3">
      <c r="A273" s="461">
        <v>932</v>
      </c>
      <c r="B273" s="461" t="s">
        <v>753</v>
      </c>
      <c r="C273" s="461" t="s">
        <v>105</v>
      </c>
      <c r="D273" s="171">
        <v>14173178.57</v>
      </c>
      <c r="E273" s="171">
        <v>0</v>
      </c>
      <c r="F273" s="171">
        <f t="shared" si="128"/>
        <v>14173178.57</v>
      </c>
      <c r="G273" s="171">
        <v>962203.79</v>
      </c>
      <c r="H273" s="171">
        <f t="shared" si="129"/>
        <v>13210974.780000001</v>
      </c>
      <c r="I273" s="171">
        <f t="shared" si="130"/>
        <v>13210974.780000001</v>
      </c>
      <c r="J273" s="171">
        <v>6760382.4699999997</v>
      </c>
      <c r="K273" s="171">
        <v>1163430.52</v>
      </c>
      <c r="L273" s="171">
        <v>4598456.04</v>
      </c>
      <c r="M273" s="171">
        <v>0</v>
      </c>
      <c r="N273" s="171">
        <v>0</v>
      </c>
      <c r="O273" s="171">
        <v>0</v>
      </c>
      <c r="P273" s="171">
        <v>688705.75</v>
      </c>
      <c r="Q273" s="171">
        <v>0</v>
      </c>
      <c r="R273" s="481"/>
      <c r="S273" s="62">
        <f t="shared" si="126"/>
        <v>13210974.780000001</v>
      </c>
      <c r="T273" s="62">
        <f>H273-S273</f>
        <v>0</v>
      </c>
      <c r="U273" s="62"/>
      <c r="V273" s="62"/>
    </row>
    <row r="274" spans="1:22" s="1" customFormat="1" ht="14.5" x14ac:dyDescent="0.45">
      <c r="A274" s="461" t="s">
        <v>1215</v>
      </c>
      <c r="B274" s="461" t="s">
        <v>70</v>
      </c>
      <c r="C274" s="461" t="s">
        <v>105</v>
      </c>
      <c r="D274" s="681"/>
      <c r="E274" s="681"/>
      <c r="F274" s="681"/>
      <c r="G274" s="681"/>
      <c r="H274" s="681"/>
      <c r="I274" s="681"/>
      <c r="J274" s="681"/>
      <c r="K274" s="681"/>
      <c r="L274" s="681"/>
      <c r="M274" s="681"/>
      <c r="N274" s="681"/>
      <c r="O274" s="681"/>
      <c r="P274" s="681"/>
      <c r="Q274" s="681"/>
      <c r="R274" s="481"/>
      <c r="S274" s="62">
        <f t="shared" ref="S274" si="131">SUM(J274:Q274)</f>
        <v>0</v>
      </c>
      <c r="T274" s="62">
        <f>H274-S274</f>
        <v>0</v>
      </c>
      <c r="U274" s="62"/>
      <c r="V274" s="62"/>
    </row>
    <row r="275" spans="1:22" s="1" customFormat="1" x14ac:dyDescent="0.3">
      <c r="A275" s="461"/>
      <c r="B275" s="487" t="s">
        <v>754</v>
      </c>
      <c r="C275" s="487"/>
      <c r="D275" s="680">
        <v>170940125.57999998</v>
      </c>
      <c r="E275" s="680">
        <v>0</v>
      </c>
      <c r="F275" s="680">
        <v>170940125.57999998</v>
      </c>
      <c r="G275" s="680">
        <v>10959473.199999999</v>
      </c>
      <c r="H275" s="680">
        <v>159980652.37999997</v>
      </c>
      <c r="I275" s="680">
        <v>159980652.37999997</v>
      </c>
      <c r="J275" s="680">
        <v>82392138.50394249</v>
      </c>
      <c r="K275" s="680">
        <v>10438204.93948359</v>
      </c>
      <c r="L275" s="680">
        <v>54807107.926939994</v>
      </c>
      <c r="M275" s="680">
        <v>3654562.964662313</v>
      </c>
      <c r="N275" s="680">
        <v>1190617.5640386445</v>
      </c>
      <c r="O275" s="680">
        <v>3683021.925998183</v>
      </c>
      <c r="P275" s="680">
        <v>3822484.6549347816</v>
      </c>
      <c r="Q275" s="680">
        <v>-7486.1</v>
      </c>
      <c r="R275" s="171"/>
      <c r="S275" s="62">
        <f>SUM(J275:Q275)</f>
        <v>159980652.38</v>
      </c>
      <c r="T275" s="62">
        <f>H275-S275</f>
        <v>0</v>
      </c>
      <c r="U275" s="62"/>
      <c r="V275" s="62"/>
    </row>
    <row r="276" spans="1:22" s="1" customFormat="1" x14ac:dyDescent="0.3">
      <c r="A276" s="461"/>
      <c r="B276" s="461"/>
      <c r="C276" s="461"/>
      <c r="D276" s="171"/>
      <c r="E276" s="171"/>
      <c r="F276" s="171"/>
      <c r="G276" s="171"/>
      <c r="H276" s="171"/>
      <c r="I276" s="171"/>
      <c r="J276" s="171"/>
      <c r="K276" s="171"/>
      <c r="L276" s="171"/>
      <c r="M276" s="171"/>
      <c r="N276" s="171"/>
      <c r="O276" s="171"/>
      <c r="P276" s="171"/>
      <c r="Q276" s="171"/>
      <c r="R276" s="171"/>
      <c r="S276" s="62"/>
      <c r="T276" s="62"/>
      <c r="U276" s="62"/>
      <c r="V276" s="62"/>
    </row>
    <row r="277" spans="1:22" s="1" customFormat="1" x14ac:dyDescent="0.3">
      <c r="A277" s="460" t="s">
        <v>755</v>
      </c>
      <c r="B277" s="461"/>
      <c r="C277" s="461"/>
      <c r="D277" s="171">
        <f>D275+D242</f>
        <v>223153133.01999998</v>
      </c>
      <c r="E277" s="171">
        <f t="shared" ref="E277:Q277" si="132">E275+E242</f>
        <v>0</v>
      </c>
      <c r="F277" s="171">
        <f t="shared" si="132"/>
        <v>223153133.01999998</v>
      </c>
      <c r="G277" s="171">
        <f t="shared" si="132"/>
        <v>19023179.235134311</v>
      </c>
      <c r="H277" s="171">
        <f t="shared" si="132"/>
        <v>204129953.78486565</v>
      </c>
      <c r="I277" s="171">
        <f t="shared" si="132"/>
        <v>204129953.78486565</v>
      </c>
      <c r="J277" s="171">
        <f t="shared" si="132"/>
        <v>82392138.50394249</v>
      </c>
      <c r="K277" s="171">
        <f t="shared" si="132"/>
        <v>10438204.93948359</v>
      </c>
      <c r="L277" s="171">
        <f t="shared" si="132"/>
        <v>54807107.926939994</v>
      </c>
      <c r="M277" s="171">
        <f t="shared" si="132"/>
        <v>12516810.425416363</v>
      </c>
      <c r="N277" s="171">
        <f t="shared" si="132"/>
        <v>6889148.4272033079</v>
      </c>
      <c r="O277" s="171">
        <f t="shared" si="132"/>
        <v>21971024.746945158</v>
      </c>
      <c r="P277" s="171">
        <f t="shared" si="132"/>
        <v>15123004.91493478</v>
      </c>
      <c r="Q277" s="171">
        <f t="shared" si="132"/>
        <v>-7486.1</v>
      </c>
      <c r="R277" s="171"/>
      <c r="S277" s="62">
        <f>SUM(J277:Q277)</f>
        <v>204129953.78486568</v>
      </c>
      <c r="T277" s="62">
        <f>H277-S277</f>
        <v>0</v>
      </c>
      <c r="U277" s="62"/>
      <c r="V277" s="62"/>
    </row>
    <row r="278" spans="1:22" s="1" customFormat="1" x14ac:dyDescent="0.3">
      <c r="A278" s="462"/>
      <c r="B278" s="461"/>
      <c r="C278" s="461"/>
      <c r="D278" s="171"/>
      <c r="E278" s="62"/>
      <c r="F278" s="62"/>
      <c r="G278" s="171"/>
      <c r="H278" s="171"/>
      <c r="I278" s="62"/>
      <c r="J278" s="171"/>
      <c r="K278" s="171"/>
      <c r="L278" s="171"/>
      <c r="M278" s="171"/>
      <c r="N278" s="171"/>
      <c r="O278" s="171"/>
      <c r="P278" s="171"/>
      <c r="Q278" s="467"/>
      <c r="R278" s="171"/>
      <c r="S278" s="62"/>
      <c r="T278" s="62"/>
      <c r="U278" s="62"/>
      <c r="V278" s="62"/>
    </row>
    <row r="279" spans="1:22" x14ac:dyDescent="0.3">
      <c r="A279" s="463" t="s">
        <v>756</v>
      </c>
      <c r="B279" s="62"/>
      <c r="C279" s="62"/>
      <c r="D279" s="171">
        <f t="shared" ref="D279:Q279" si="133">D277+D152+D211</f>
        <v>1342873675.53</v>
      </c>
      <c r="E279" s="171">
        <f t="shared" si="133"/>
        <v>3350004</v>
      </c>
      <c r="F279" s="171">
        <f t="shared" si="133"/>
        <v>1346223679.53</v>
      </c>
      <c r="G279" s="171">
        <f t="shared" si="133"/>
        <v>116572622.5551343</v>
      </c>
      <c r="H279" s="171">
        <f t="shared" si="133"/>
        <v>1229651056.9748657</v>
      </c>
      <c r="I279" s="171">
        <f t="shared" si="133"/>
        <v>1229651056.9748657</v>
      </c>
      <c r="J279" s="171">
        <f t="shared" si="133"/>
        <v>988489457.53394246</v>
      </c>
      <c r="K279" s="171">
        <f t="shared" si="133"/>
        <v>29814875.529483594</v>
      </c>
      <c r="L279" s="171">
        <f t="shared" si="133"/>
        <v>143618013.31458995</v>
      </c>
      <c r="M279" s="171">
        <f t="shared" si="133"/>
        <v>23753018.60776642</v>
      </c>
      <c r="N279" s="171">
        <f t="shared" si="133"/>
        <v>6889148.4272033079</v>
      </c>
      <c r="O279" s="171">
        <f t="shared" si="133"/>
        <v>21971024.746945158</v>
      </c>
      <c r="P279" s="171">
        <f t="shared" si="133"/>
        <v>15123004.91493478</v>
      </c>
      <c r="Q279" s="171">
        <f t="shared" si="133"/>
        <v>-7486.1</v>
      </c>
      <c r="R279" s="171"/>
      <c r="S279" s="62">
        <f>SUM(J279:Q279)</f>
        <v>1229651056.9748659</v>
      </c>
      <c r="T279" s="62">
        <f>H279-S279</f>
        <v>0</v>
      </c>
      <c r="U279" s="62"/>
      <c r="V279" s="62"/>
    </row>
    <row r="280" spans="1:22" x14ac:dyDescent="0.3">
      <c r="A280" s="62"/>
      <c r="B280" s="62"/>
      <c r="C280" s="62"/>
      <c r="D280" s="171"/>
      <c r="E280" s="62"/>
      <c r="F280" s="62"/>
      <c r="G280" s="171"/>
      <c r="H280" s="171"/>
      <c r="I280" s="177">
        <f>SUM(J280:Q280)</f>
        <v>1</v>
      </c>
      <c r="J280" s="177">
        <f t="shared" ref="J280:Q280" si="134">J279/$I279</f>
        <v>0.80387802045710555</v>
      </c>
      <c r="K280" s="177">
        <f t="shared" si="134"/>
        <v>2.4246614810247764E-2</v>
      </c>
      <c r="L280" s="177">
        <f t="shared" si="134"/>
        <v>0.11679574664694939</v>
      </c>
      <c r="M280" s="177">
        <f t="shared" si="134"/>
        <v>1.931687731493727E-2</v>
      </c>
      <c r="N280" s="177">
        <f t="shared" si="134"/>
        <v>5.6025230801262371E-3</v>
      </c>
      <c r="O280" s="177">
        <f t="shared" si="134"/>
        <v>1.7867690693486104E-2</v>
      </c>
      <c r="P280" s="177">
        <f t="shared" si="134"/>
        <v>1.2298614984432854E-2</v>
      </c>
      <c r="Q280" s="177">
        <f t="shared" si="134"/>
        <v>-6.0879872851221544E-6</v>
      </c>
      <c r="R280" s="177"/>
      <c r="S280" s="62"/>
      <c r="T280" s="62"/>
      <c r="U280" s="62"/>
      <c r="V280" s="62"/>
    </row>
    <row r="281" spans="1:22" s="1" customFormat="1" x14ac:dyDescent="0.3">
      <c r="A281" s="62" t="s">
        <v>617</v>
      </c>
      <c r="B281" s="62"/>
      <c r="C281" s="62"/>
      <c r="D281" s="680">
        <v>748295382.67999995</v>
      </c>
      <c r="E281" s="680">
        <v>3350004</v>
      </c>
      <c r="F281" s="680">
        <v>751645386.67999995</v>
      </c>
      <c r="G281" s="680">
        <v>72749734.219999999</v>
      </c>
      <c r="H281" s="171"/>
      <c r="I281" s="62"/>
      <c r="J281" s="171"/>
      <c r="K281" s="171"/>
      <c r="L281" s="171"/>
      <c r="M281" s="171"/>
      <c r="N281" s="171"/>
      <c r="O281" s="171"/>
      <c r="P281" s="171"/>
      <c r="Q281" s="171"/>
      <c r="R281" s="171"/>
      <c r="S281" s="62"/>
      <c r="T281" s="62"/>
      <c r="U281" s="62"/>
      <c r="V281" s="62"/>
    </row>
    <row r="282" spans="1:22" s="1" customFormat="1" x14ac:dyDescent="0.3">
      <c r="A282" s="461" t="s">
        <v>1079</v>
      </c>
      <c r="B282" s="62"/>
      <c r="C282" s="62"/>
      <c r="D282" s="171">
        <f>D279-D281</f>
        <v>594578292.85000002</v>
      </c>
      <c r="E282" s="171">
        <f>E279-E281</f>
        <v>0</v>
      </c>
      <c r="F282" s="171">
        <f>F279-F281</f>
        <v>594578292.85000002</v>
      </c>
      <c r="G282" s="171">
        <f>G279-G281</f>
        <v>43822888.335134298</v>
      </c>
      <c r="H282" s="171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</row>
    <row r="283" spans="1:22" s="1" customFormat="1" x14ac:dyDescent="0.3">
      <c r="A283" s="62"/>
      <c r="B283" s="62"/>
      <c r="C283" s="62"/>
      <c r="D283" s="171"/>
      <c r="E283" s="62"/>
      <c r="F283" s="62"/>
      <c r="G283" s="171"/>
      <c r="H283" s="171"/>
      <c r="I283" s="177"/>
      <c r="J283" s="177"/>
      <c r="K283" s="177"/>
      <c r="L283" s="177"/>
      <c r="M283" s="177"/>
      <c r="N283" s="177"/>
      <c r="O283" s="177"/>
      <c r="P283" s="177"/>
      <c r="Q283" s="177"/>
      <c r="R283" s="177"/>
      <c r="S283" s="62"/>
      <c r="T283" s="62"/>
      <c r="U283" s="62"/>
      <c r="V283" s="62"/>
    </row>
    <row r="287" spans="1:22" x14ac:dyDescent="0.3">
      <c r="N287" s="17" t="s">
        <v>546</v>
      </c>
    </row>
  </sheetData>
  <customSheetViews>
    <customSheetView guid="{121E4431-22F3-11D5-8242-00600818425F}" scale="75" hiddenColumns="1" showRuler="0">
      <pane xSplit="1" ySplit="7" topLeftCell="B186" activePane="bottomRight" state="frozen"/>
      <selection pane="bottomRight" activeCell="G186" sqref="G186"/>
      <rowBreaks count="4" manualBreakCount="4">
        <brk id="53" max="16383" man="1"/>
        <brk id="98" max="17" man="1"/>
        <brk id="152" max="17" man="1"/>
        <brk id="195" max="16383" man="1"/>
      </rowBreaks>
      <pageMargins left="0" right="0" top="0.5" bottom="0.4" header="0.2" footer="0.2"/>
      <printOptions horizontalCentered="1" verticalCentered="1" gridLines="1"/>
      <pageSetup scale="60" fitToHeight="0" orientation="landscape" horizont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hiddenColumns="1" showRuler="0" topLeftCell="A211">
      <selection activeCell="A234" sqref="A234"/>
      <rowBreaks count="4" manualBreakCount="4">
        <brk id="53" max="16383" man="1"/>
        <brk id="98" max="17" man="1"/>
        <brk id="152" max="17" man="1"/>
        <brk id="195" max="16383" man="1"/>
      </rowBreaks>
      <pageMargins left="0" right="0" top="0.5" bottom="0.4" header="0.2" footer="0.2"/>
      <printOptions horizontalCentered="1" verticalCentered="1" gridLines="1"/>
      <pageSetup scale="60" fitToHeight="0" orientation="landscape" horizont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hiddenColumns="1" showRuler="0" topLeftCell="A211">
      <selection activeCell="A234" sqref="A234"/>
      <rowBreaks count="4" manualBreakCount="4">
        <brk id="53" max="16383" man="1"/>
        <brk id="98" max="17" man="1"/>
        <brk id="152" max="17" man="1"/>
        <brk id="195" max="16383" man="1"/>
      </rowBreaks>
      <pageMargins left="0" right="0" top="0.5" bottom="0.4" header="0.2" footer="0.2"/>
      <printOptions horizontalCentered="1" verticalCentered="1" gridLines="1"/>
      <pageSetup scale="60" fitToHeight="0" orientation="landscape" horizontalDpi="30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verticalCentered="1" gridLines="1" gridLinesSet="0"/>
  <pageMargins left="0" right="0" top="0.5" bottom="0.4" header="0.2" footer="0.2"/>
  <pageSetup scale="44" fitToHeight="0" orientation="landscape" horizontalDpi="300" r:id="rId4"/>
  <headerFooter alignWithMargins="0">
    <oddFooter>&amp;L&amp;8&amp;F&amp;C&amp;8&amp;A
page &amp;P&amp;R&amp;8&amp;D
&amp;T</oddFooter>
  </headerFooter>
  <rowBreaks count="3" manualBreakCount="3">
    <brk id="53" max="16383" man="1"/>
    <brk id="122" max="16" man="1"/>
    <brk id="211" max="16" man="1"/>
  </rowBreaks>
  <ignoredErrors>
    <ignoredError sqref="J251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316"/>
  <sheetViews>
    <sheetView zoomScale="70" zoomScaleNormal="70" workbookViewId="0">
      <pane xSplit="2" ySplit="7" topLeftCell="C8" activePane="bottomRight" state="frozen"/>
      <selection activeCell="C368" sqref="C368"/>
      <selection pane="topRight" activeCell="C368" sqref="C368"/>
      <selection pane="bottomLeft" activeCell="C368" sqref="C368"/>
      <selection pane="bottomRight" activeCell="D8" sqref="D8"/>
    </sheetView>
  </sheetViews>
  <sheetFormatPr defaultColWidth="9.1796875" defaultRowHeight="13" x14ac:dyDescent="0.3"/>
  <cols>
    <col min="1" max="1" width="11.1796875" style="4" customWidth="1"/>
    <col min="2" max="2" width="33.1796875" style="4" customWidth="1"/>
    <col min="3" max="3" width="15" style="4" customWidth="1"/>
    <col min="4" max="4" width="15.453125" style="3" customWidth="1"/>
    <col min="5" max="9" width="13.54296875" style="20" customWidth="1"/>
    <col min="10" max="10" width="16.54296875" style="20" customWidth="1"/>
    <col min="11" max="11" width="14.453125" style="20" bestFit="1" customWidth="1"/>
    <col min="12" max="12" width="13.453125" style="3" customWidth="1"/>
    <col min="13" max="13" width="12" style="3" customWidth="1"/>
    <col min="14" max="14" width="12.54296875" style="4" customWidth="1"/>
    <col min="15" max="15" width="13.453125" style="4" bestFit="1" customWidth="1"/>
    <col min="16" max="16" width="11.81640625" style="4" bestFit="1" customWidth="1"/>
    <col min="17" max="17" width="12.453125" style="4" bestFit="1" customWidth="1"/>
    <col min="18" max="18" width="12.81640625" style="4" customWidth="1"/>
    <col min="19" max="19" width="11.81640625" style="4" bestFit="1" customWidth="1"/>
    <col min="20" max="20" width="12.453125" style="4" bestFit="1" customWidth="1"/>
    <col min="21" max="21" width="8.1796875" style="4" bestFit="1" customWidth="1"/>
    <col min="22" max="22" width="11.54296875" style="4" bestFit="1" customWidth="1"/>
    <col min="23" max="23" width="11.1796875" style="4" bestFit="1" customWidth="1"/>
    <col min="24" max="24" width="11.54296875" style="4" bestFit="1" customWidth="1"/>
    <col min="25" max="26" width="11.54296875" style="4" customWidth="1"/>
    <col min="27" max="28" width="11.54296875" style="4" bestFit="1" customWidth="1"/>
    <col min="29" max="31" width="11.54296875" style="4" customWidth="1"/>
    <col min="32" max="32" width="12" style="4" bestFit="1" customWidth="1"/>
    <col min="33" max="33" width="12" style="4" customWidth="1"/>
    <col min="34" max="34" width="11.54296875" style="4" bestFit="1" customWidth="1"/>
    <col min="35" max="35" width="9.1796875" style="4"/>
    <col min="36" max="36" width="14.54296875" style="4" customWidth="1"/>
    <col min="37" max="37" width="19.453125" style="4" customWidth="1"/>
    <col min="38" max="38" width="11.54296875" style="4" bestFit="1" customWidth="1"/>
    <col min="39" max="16384" width="9.1796875" style="4"/>
  </cols>
  <sheetData>
    <row r="1" spans="1:38" x14ac:dyDescent="0.3">
      <c r="A1" s="343" t="str">
        <f>'1. RB-i'!A1</f>
        <v>CPS Energy</v>
      </c>
      <c r="B1" s="207"/>
      <c r="C1" s="207"/>
      <c r="D1" s="207"/>
      <c r="E1" s="207"/>
      <c r="F1" s="449"/>
      <c r="G1" s="449"/>
      <c r="H1" s="449"/>
      <c r="I1" s="449"/>
      <c r="J1" s="449"/>
      <c r="K1" s="449"/>
      <c r="L1" s="353"/>
      <c r="M1" s="353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345"/>
    </row>
    <row r="2" spans="1:38" x14ac:dyDescent="0.3">
      <c r="A2" s="346" t="s">
        <v>1306</v>
      </c>
      <c r="B2" s="191"/>
      <c r="C2" s="191"/>
      <c r="D2" s="256"/>
      <c r="E2" s="445"/>
      <c r="F2" s="445"/>
      <c r="G2" s="445"/>
      <c r="H2" s="445"/>
      <c r="I2" s="445"/>
      <c r="J2" s="445"/>
      <c r="K2" s="445"/>
      <c r="L2" s="256"/>
      <c r="M2" s="256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347"/>
    </row>
    <row r="3" spans="1:38" x14ac:dyDescent="0.3">
      <c r="A3" s="346" t="str">
        <f>'1. RB-i'!A3</f>
        <v>FYE 2017</v>
      </c>
      <c r="B3" s="191"/>
      <c r="C3" s="191"/>
      <c r="D3" s="256"/>
      <c r="E3" s="445"/>
      <c r="F3" s="445"/>
      <c r="G3" s="445"/>
      <c r="H3" s="445"/>
      <c r="I3" s="445"/>
      <c r="J3" s="445"/>
      <c r="K3" s="445"/>
      <c r="L3" s="256"/>
      <c r="M3" s="257" t="s">
        <v>367</v>
      </c>
      <c r="N3" s="258"/>
      <c r="O3" s="258"/>
      <c r="P3" s="258"/>
      <c r="Q3" s="258"/>
      <c r="R3" s="258"/>
      <c r="S3" s="258"/>
      <c r="T3" s="258"/>
      <c r="U3" s="258"/>
      <c r="V3" s="259"/>
      <c r="W3" s="259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347"/>
      <c r="AJ3" s="31"/>
    </row>
    <row r="4" spans="1:38" x14ac:dyDescent="0.3">
      <c r="A4" s="261"/>
      <c r="B4" s="262"/>
      <c r="C4" s="262"/>
      <c r="D4" s="257" t="s">
        <v>544</v>
      </c>
      <c r="E4" s="258"/>
      <c r="F4" s="258"/>
      <c r="G4" s="258"/>
      <c r="H4" s="258"/>
      <c r="I4" s="259"/>
      <c r="J4" s="258"/>
      <c r="K4" s="259"/>
      <c r="L4" s="262"/>
      <c r="M4" s="191"/>
      <c r="N4" s="257" t="s">
        <v>922</v>
      </c>
      <c r="O4" s="258"/>
      <c r="P4" s="258"/>
      <c r="Q4" s="259"/>
      <c r="R4" s="257" t="s">
        <v>923</v>
      </c>
      <c r="S4" s="258"/>
      <c r="T4" s="258"/>
      <c r="U4" s="258"/>
      <c r="V4" s="259"/>
      <c r="W4" s="265"/>
      <c r="X4" s="257" t="s">
        <v>907</v>
      </c>
      <c r="Y4" s="258"/>
      <c r="Z4" s="259"/>
      <c r="AA4" s="191"/>
      <c r="AB4" s="257" t="s">
        <v>85</v>
      </c>
      <c r="AC4" s="258"/>
      <c r="AD4" s="258"/>
      <c r="AE4" s="258"/>
      <c r="AF4" s="257" t="s">
        <v>912</v>
      </c>
      <c r="AG4" s="259"/>
      <c r="AH4" s="347"/>
      <c r="AJ4" s="31"/>
    </row>
    <row r="5" spans="1:38" x14ac:dyDescent="0.3">
      <c r="A5" s="268"/>
      <c r="B5" s="194"/>
      <c r="C5" s="194"/>
      <c r="D5" s="195" t="s">
        <v>357</v>
      </c>
      <c r="E5" s="417" t="s">
        <v>924</v>
      </c>
      <c r="F5" s="417"/>
      <c r="G5" s="417"/>
      <c r="H5" s="417"/>
      <c r="I5" s="417" t="s">
        <v>924</v>
      </c>
      <c r="J5" s="269"/>
      <c r="K5" s="197" t="s">
        <v>79</v>
      </c>
      <c r="L5" s="198" t="s">
        <v>357</v>
      </c>
      <c r="M5" s="199" t="s">
        <v>357</v>
      </c>
      <c r="N5" s="270"/>
      <c r="O5" s="271" t="s">
        <v>925</v>
      </c>
      <c r="P5" s="271" t="s">
        <v>926</v>
      </c>
      <c r="Q5" s="216"/>
      <c r="R5" s="270" t="s">
        <v>925</v>
      </c>
      <c r="S5" s="271" t="s">
        <v>926</v>
      </c>
      <c r="T5" s="271"/>
      <c r="U5" s="263"/>
      <c r="V5" s="263"/>
      <c r="W5" s="216" t="s">
        <v>1010</v>
      </c>
      <c r="X5" s="271" t="s">
        <v>357</v>
      </c>
      <c r="Y5" s="270"/>
      <c r="Z5" s="270" t="s">
        <v>994</v>
      </c>
      <c r="AA5" s="215" t="s">
        <v>357</v>
      </c>
      <c r="AB5" s="215" t="s">
        <v>357</v>
      </c>
      <c r="AC5" s="215" t="s">
        <v>86</v>
      </c>
      <c r="AD5" s="215" t="s">
        <v>1003</v>
      </c>
      <c r="AE5" s="272"/>
      <c r="AF5" s="215" t="s">
        <v>911</v>
      </c>
      <c r="AG5" s="215"/>
      <c r="AH5" s="217" t="s">
        <v>357</v>
      </c>
      <c r="AJ5" s="5" t="s">
        <v>357</v>
      </c>
    </row>
    <row r="6" spans="1:38" x14ac:dyDescent="0.3">
      <c r="A6" s="268" t="s">
        <v>539</v>
      </c>
      <c r="B6" s="186" t="s">
        <v>359</v>
      </c>
      <c r="C6" s="194"/>
      <c r="D6" s="200" t="s">
        <v>544</v>
      </c>
      <c r="E6" s="417" t="s">
        <v>928</v>
      </c>
      <c r="F6" s="417" t="s">
        <v>1140</v>
      </c>
      <c r="G6" s="417" t="s">
        <v>1139</v>
      </c>
      <c r="H6" s="417" t="s">
        <v>947</v>
      </c>
      <c r="I6" s="417" t="s">
        <v>927</v>
      </c>
      <c r="J6" s="417" t="s">
        <v>617</v>
      </c>
      <c r="K6" s="187" t="s">
        <v>80</v>
      </c>
      <c r="L6" s="198" t="s">
        <v>366</v>
      </c>
      <c r="M6" s="199" t="s">
        <v>367</v>
      </c>
      <c r="N6" s="200" t="s">
        <v>929</v>
      </c>
      <c r="O6" s="417" t="s">
        <v>930</v>
      </c>
      <c r="P6" s="417" t="s">
        <v>930</v>
      </c>
      <c r="Q6" s="187" t="s">
        <v>931</v>
      </c>
      <c r="R6" s="200" t="s">
        <v>930</v>
      </c>
      <c r="S6" s="417" t="s">
        <v>930</v>
      </c>
      <c r="T6" s="417" t="s">
        <v>931</v>
      </c>
      <c r="U6" s="417" t="s">
        <v>456</v>
      </c>
      <c r="V6" s="417" t="s">
        <v>932</v>
      </c>
      <c r="W6" s="187" t="s">
        <v>1011</v>
      </c>
      <c r="X6" s="417" t="s">
        <v>907</v>
      </c>
      <c r="Y6" s="200" t="s">
        <v>907</v>
      </c>
      <c r="Z6" s="200" t="s">
        <v>995</v>
      </c>
      <c r="AA6" s="186" t="s">
        <v>84</v>
      </c>
      <c r="AB6" s="186" t="s">
        <v>82</v>
      </c>
      <c r="AC6" s="186" t="s">
        <v>87</v>
      </c>
      <c r="AD6" s="186" t="s">
        <v>1004</v>
      </c>
      <c r="AE6" s="186" t="s">
        <v>1005</v>
      </c>
      <c r="AF6" s="186" t="s">
        <v>912</v>
      </c>
      <c r="AG6" s="186" t="s">
        <v>1006</v>
      </c>
      <c r="AH6" s="219" t="s">
        <v>913</v>
      </c>
      <c r="AJ6" s="5" t="s">
        <v>365</v>
      </c>
      <c r="AK6" s="6" t="s">
        <v>933</v>
      </c>
      <c r="AL6" s="6" t="s">
        <v>824</v>
      </c>
    </row>
    <row r="7" spans="1:38" ht="13.5" thickBot="1" x14ac:dyDescent="0.35">
      <c r="A7" s="278" t="s">
        <v>545</v>
      </c>
      <c r="B7" s="279"/>
      <c r="C7" s="279"/>
      <c r="D7" s="281" t="s">
        <v>815</v>
      </c>
      <c r="E7" s="282" t="s">
        <v>816</v>
      </c>
      <c r="F7" s="282"/>
      <c r="G7" s="282"/>
      <c r="H7" s="282"/>
      <c r="I7" s="282" t="s">
        <v>817</v>
      </c>
      <c r="J7" s="282" t="s">
        <v>818</v>
      </c>
      <c r="K7" s="282" t="s">
        <v>819</v>
      </c>
      <c r="L7" s="234" t="s">
        <v>820</v>
      </c>
      <c r="M7" s="282" t="s">
        <v>821</v>
      </c>
      <c r="N7" s="281" t="s">
        <v>822</v>
      </c>
      <c r="O7" s="282" t="s">
        <v>823</v>
      </c>
      <c r="P7" s="282" t="s">
        <v>908</v>
      </c>
      <c r="Q7" s="282" t="s">
        <v>914</v>
      </c>
      <c r="R7" s="281" t="s">
        <v>915</v>
      </c>
      <c r="S7" s="282" t="s">
        <v>916</v>
      </c>
      <c r="T7" s="282" t="s">
        <v>917</v>
      </c>
      <c r="U7" s="282" t="s">
        <v>918</v>
      </c>
      <c r="V7" s="282" t="s">
        <v>934</v>
      </c>
      <c r="W7" s="283" t="s">
        <v>935</v>
      </c>
      <c r="X7" s="282" t="s">
        <v>936</v>
      </c>
      <c r="Y7" s="282" t="s">
        <v>937</v>
      </c>
      <c r="Z7" s="234" t="s">
        <v>938</v>
      </c>
      <c r="AA7" s="234" t="s">
        <v>939</v>
      </c>
      <c r="AB7" s="234" t="s">
        <v>985</v>
      </c>
      <c r="AC7" s="234" t="s">
        <v>986</v>
      </c>
      <c r="AD7" s="234" t="s">
        <v>987</v>
      </c>
      <c r="AE7" s="234" t="s">
        <v>988</v>
      </c>
      <c r="AF7" s="234" t="s">
        <v>989</v>
      </c>
      <c r="AG7" s="234" t="s">
        <v>990</v>
      </c>
      <c r="AH7" s="235" t="s">
        <v>991</v>
      </c>
      <c r="AJ7" s="45"/>
    </row>
    <row r="8" spans="1:38" x14ac:dyDescent="0.3">
      <c r="A8" s="44"/>
      <c r="B8" s="31"/>
      <c r="C8" s="31"/>
      <c r="D8" s="7"/>
      <c r="E8" s="5"/>
      <c r="F8" s="626"/>
      <c r="G8" s="626"/>
      <c r="H8" s="626"/>
      <c r="I8" s="5"/>
      <c r="J8" s="5"/>
      <c r="K8" s="5"/>
      <c r="L8" s="7"/>
      <c r="M8" s="2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J8" s="45"/>
    </row>
    <row r="9" spans="1:38" x14ac:dyDescent="0.3">
      <c r="A9" s="460" t="s">
        <v>547</v>
      </c>
      <c r="B9" s="461"/>
      <c r="C9" s="461"/>
      <c r="D9" s="171"/>
      <c r="E9" s="481"/>
      <c r="F9" s="637"/>
      <c r="G9" s="637"/>
      <c r="H9" s="637"/>
      <c r="I9" s="481"/>
      <c r="J9" s="481"/>
      <c r="K9" s="481"/>
      <c r="L9" s="171"/>
      <c r="M9" s="171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</row>
    <row r="10" spans="1:38" x14ac:dyDescent="0.3">
      <c r="A10" s="462"/>
      <c r="B10" s="461"/>
      <c r="C10" s="461"/>
      <c r="D10" s="171"/>
      <c r="E10" s="481"/>
      <c r="F10" s="637"/>
      <c r="G10" s="637"/>
      <c r="H10" s="637"/>
      <c r="I10" s="481"/>
      <c r="J10" s="481"/>
      <c r="K10" s="481"/>
      <c r="L10" s="171"/>
      <c r="M10" s="171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</row>
    <row r="11" spans="1:38" x14ac:dyDescent="0.3">
      <c r="A11" s="462"/>
      <c r="B11" s="463" t="s">
        <v>548</v>
      </c>
      <c r="C11" s="463"/>
      <c r="D11" s="171"/>
      <c r="E11" s="481"/>
      <c r="F11" s="637"/>
      <c r="G11" s="637"/>
      <c r="H11" s="637"/>
      <c r="I11" s="481"/>
      <c r="J11" s="481"/>
      <c r="K11" s="481"/>
      <c r="L11" s="171"/>
      <c r="M11" s="171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</row>
    <row r="12" spans="1:38" x14ac:dyDescent="0.3">
      <c r="A12" s="462"/>
      <c r="B12" s="464" t="s">
        <v>549</v>
      </c>
      <c r="C12" s="464"/>
      <c r="D12" s="171"/>
      <c r="E12" s="481"/>
      <c r="F12" s="637"/>
      <c r="G12" s="637"/>
      <c r="H12" s="637"/>
      <c r="I12" s="481"/>
      <c r="J12" s="481"/>
      <c r="K12" s="481"/>
      <c r="L12" s="171"/>
      <c r="M12" s="171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</row>
    <row r="13" spans="1:38" x14ac:dyDescent="0.3">
      <c r="A13" s="465">
        <v>500</v>
      </c>
      <c r="B13" s="466" t="s">
        <v>551</v>
      </c>
      <c r="C13" s="466"/>
      <c r="D13" s="669"/>
      <c r="E13" s="669"/>
      <c r="F13" s="669"/>
      <c r="G13" s="669"/>
      <c r="H13" s="669"/>
      <c r="I13" s="669"/>
      <c r="J13" s="669"/>
      <c r="K13" s="669"/>
      <c r="L13" s="669"/>
      <c r="M13" s="669"/>
      <c r="N13" s="669"/>
      <c r="O13" s="669"/>
      <c r="P13" s="669"/>
      <c r="Q13" s="669"/>
      <c r="R13" s="669"/>
      <c r="S13" s="669"/>
      <c r="T13" s="669"/>
      <c r="U13" s="669"/>
      <c r="V13" s="669"/>
      <c r="W13" s="669"/>
      <c r="X13" s="669"/>
      <c r="Y13" s="669"/>
      <c r="Z13" s="669"/>
      <c r="AA13" s="669"/>
      <c r="AB13" s="669"/>
      <c r="AC13" s="669"/>
      <c r="AD13" s="669"/>
      <c r="AE13" s="669"/>
      <c r="AF13" s="669"/>
      <c r="AG13" s="669"/>
      <c r="AH13" s="669"/>
      <c r="AI13" s="62"/>
      <c r="AJ13" s="468">
        <f>'3a. OM_AG-i'!I13</f>
        <v>0</v>
      </c>
      <c r="AK13" s="62">
        <f>SUM(F13:K13,L13,N13:W13,Y13:Z13,AA13:AA13,AC13:AE13,AG13:AH13)</f>
        <v>0</v>
      </c>
      <c r="AL13" s="62">
        <f t="shared" ref="AL13:AL22" si="0">AJ13-AK13</f>
        <v>0</v>
      </c>
    </row>
    <row r="14" spans="1:38" x14ac:dyDescent="0.3">
      <c r="A14" s="465">
        <v>501</v>
      </c>
      <c r="B14" s="461" t="s">
        <v>553</v>
      </c>
      <c r="C14" s="461"/>
      <c r="D14" s="669"/>
      <c r="E14" s="669"/>
      <c r="F14" s="669"/>
      <c r="G14" s="669"/>
      <c r="H14" s="669"/>
      <c r="I14" s="669"/>
      <c r="J14" s="669"/>
      <c r="K14" s="669"/>
      <c r="L14" s="669"/>
      <c r="M14" s="669"/>
      <c r="N14" s="669"/>
      <c r="O14" s="669"/>
      <c r="P14" s="669"/>
      <c r="Q14" s="669"/>
      <c r="R14" s="669"/>
      <c r="S14" s="669"/>
      <c r="T14" s="669"/>
      <c r="U14" s="669"/>
      <c r="V14" s="669"/>
      <c r="W14" s="669"/>
      <c r="X14" s="669"/>
      <c r="Y14" s="669"/>
      <c r="Z14" s="669"/>
      <c r="AA14" s="669"/>
      <c r="AB14" s="669"/>
      <c r="AC14" s="669"/>
      <c r="AD14" s="669"/>
      <c r="AE14" s="669"/>
      <c r="AF14" s="669"/>
      <c r="AG14" s="669"/>
      <c r="AH14" s="669"/>
      <c r="AI14" s="62"/>
      <c r="AJ14" s="468">
        <f>'3a. OM_AG-i'!I14</f>
        <v>0</v>
      </c>
      <c r="AK14" s="62">
        <f t="shared" ref="AK14:AK22" si="1">SUM(F14:K14,L14,N14:W14,Y14:Z14,AA14:AA14,AC14:AE14,AG14:AH14)</f>
        <v>0</v>
      </c>
      <c r="AL14" s="62">
        <f t="shared" si="0"/>
        <v>0</v>
      </c>
    </row>
    <row r="15" spans="1:38" x14ac:dyDescent="0.3">
      <c r="A15" s="465">
        <v>501</v>
      </c>
      <c r="B15" s="466" t="s">
        <v>554</v>
      </c>
      <c r="C15" s="466"/>
      <c r="D15" s="669"/>
      <c r="E15" s="669"/>
      <c r="F15" s="669"/>
      <c r="G15" s="669"/>
      <c r="H15" s="669"/>
      <c r="I15" s="669"/>
      <c r="J15" s="669"/>
      <c r="K15" s="669"/>
      <c r="L15" s="669"/>
      <c r="M15" s="669"/>
      <c r="N15" s="669"/>
      <c r="O15" s="669"/>
      <c r="P15" s="669"/>
      <c r="Q15" s="669"/>
      <c r="R15" s="669"/>
      <c r="S15" s="669"/>
      <c r="T15" s="669"/>
      <c r="U15" s="669"/>
      <c r="V15" s="669"/>
      <c r="W15" s="669"/>
      <c r="X15" s="669"/>
      <c r="Y15" s="669"/>
      <c r="Z15" s="669"/>
      <c r="AA15" s="669"/>
      <c r="AB15" s="669"/>
      <c r="AC15" s="669"/>
      <c r="AD15" s="669"/>
      <c r="AE15" s="669"/>
      <c r="AF15" s="669"/>
      <c r="AG15" s="669"/>
      <c r="AH15" s="669"/>
      <c r="AI15" s="62"/>
      <c r="AJ15" s="468">
        <f>'3a. OM_AG-i'!I15</f>
        <v>0</v>
      </c>
      <c r="AK15" s="62">
        <f t="shared" si="1"/>
        <v>0</v>
      </c>
      <c r="AL15" s="62">
        <f t="shared" si="0"/>
        <v>0</v>
      </c>
    </row>
    <row r="16" spans="1:38" x14ac:dyDescent="0.3">
      <c r="A16" s="465">
        <v>502</v>
      </c>
      <c r="B16" s="461" t="s">
        <v>556</v>
      </c>
      <c r="C16" s="461"/>
      <c r="D16" s="669"/>
      <c r="E16" s="669"/>
      <c r="F16" s="669"/>
      <c r="G16" s="669"/>
      <c r="H16" s="669"/>
      <c r="I16" s="669"/>
      <c r="J16" s="669"/>
      <c r="K16" s="669"/>
      <c r="L16" s="669"/>
      <c r="M16" s="669"/>
      <c r="N16" s="669"/>
      <c r="O16" s="669"/>
      <c r="P16" s="669"/>
      <c r="Q16" s="669"/>
      <c r="R16" s="669"/>
      <c r="S16" s="669"/>
      <c r="T16" s="669"/>
      <c r="U16" s="669"/>
      <c r="V16" s="669"/>
      <c r="W16" s="669"/>
      <c r="X16" s="669"/>
      <c r="Y16" s="669"/>
      <c r="Z16" s="669"/>
      <c r="AA16" s="669"/>
      <c r="AB16" s="669"/>
      <c r="AC16" s="669"/>
      <c r="AD16" s="669"/>
      <c r="AE16" s="669"/>
      <c r="AF16" s="669"/>
      <c r="AG16" s="669"/>
      <c r="AH16" s="669"/>
      <c r="AI16" s="62"/>
      <c r="AJ16" s="468">
        <f>'3a. OM_AG-i'!I16</f>
        <v>0</v>
      </c>
      <c r="AK16" s="62">
        <f t="shared" si="1"/>
        <v>0</v>
      </c>
      <c r="AL16" s="62">
        <f t="shared" si="0"/>
        <v>0</v>
      </c>
    </row>
    <row r="17" spans="1:38" x14ac:dyDescent="0.3">
      <c r="A17" s="465">
        <v>503</v>
      </c>
      <c r="B17" s="461" t="s">
        <v>558</v>
      </c>
      <c r="C17" s="461"/>
      <c r="D17" s="669"/>
      <c r="E17" s="669"/>
      <c r="F17" s="669"/>
      <c r="G17" s="669"/>
      <c r="H17" s="669"/>
      <c r="I17" s="669"/>
      <c r="J17" s="669"/>
      <c r="K17" s="669"/>
      <c r="L17" s="669"/>
      <c r="M17" s="669"/>
      <c r="N17" s="669"/>
      <c r="O17" s="669"/>
      <c r="P17" s="669"/>
      <c r="Q17" s="669"/>
      <c r="R17" s="669"/>
      <c r="S17" s="669"/>
      <c r="T17" s="669"/>
      <c r="U17" s="669"/>
      <c r="V17" s="669"/>
      <c r="W17" s="669"/>
      <c r="X17" s="669"/>
      <c r="Y17" s="669"/>
      <c r="Z17" s="669"/>
      <c r="AA17" s="669"/>
      <c r="AB17" s="669"/>
      <c r="AC17" s="669"/>
      <c r="AD17" s="669"/>
      <c r="AE17" s="669"/>
      <c r="AF17" s="669"/>
      <c r="AG17" s="669"/>
      <c r="AH17" s="669"/>
      <c r="AI17" s="62"/>
      <c r="AJ17" s="468">
        <f>'3a. OM_AG-i'!I17</f>
        <v>0</v>
      </c>
      <c r="AK17" s="62">
        <f t="shared" si="1"/>
        <v>0</v>
      </c>
      <c r="AL17" s="62">
        <f t="shared" si="0"/>
        <v>0</v>
      </c>
    </row>
    <row r="18" spans="1:38" x14ac:dyDescent="0.3">
      <c r="A18" s="465">
        <v>505</v>
      </c>
      <c r="B18" s="461" t="s">
        <v>560</v>
      </c>
      <c r="C18" s="461"/>
      <c r="D18" s="669"/>
      <c r="E18" s="669"/>
      <c r="F18" s="669"/>
      <c r="G18" s="669"/>
      <c r="H18" s="669"/>
      <c r="I18" s="669"/>
      <c r="J18" s="669"/>
      <c r="K18" s="669"/>
      <c r="L18" s="669"/>
      <c r="M18" s="669"/>
      <c r="N18" s="669"/>
      <c r="O18" s="669"/>
      <c r="P18" s="669"/>
      <c r="Q18" s="669"/>
      <c r="R18" s="669"/>
      <c r="S18" s="669"/>
      <c r="T18" s="669"/>
      <c r="U18" s="669"/>
      <c r="V18" s="669"/>
      <c r="W18" s="669"/>
      <c r="X18" s="669"/>
      <c r="Y18" s="669"/>
      <c r="Z18" s="669"/>
      <c r="AA18" s="669"/>
      <c r="AB18" s="669"/>
      <c r="AC18" s="669"/>
      <c r="AD18" s="669"/>
      <c r="AE18" s="669"/>
      <c r="AF18" s="669"/>
      <c r="AG18" s="669"/>
      <c r="AH18" s="669"/>
      <c r="AI18" s="62"/>
      <c r="AJ18" s="468">
        <f>'3a. OM_AG-i'!I18</f>
        <v>0</v>
      </c>
      <c r="AK18" s="62">
        <f t="shared" si="1"/>
        <v>0</v>
      </c>
      <c r="AL18" s="62">
        <f t="shared" si="0"/>
        <v>0</v>
      </c>
    </row>
    <row r="19" spans="1:38" x14ac:dyDescent="0.3">
      <c r="A19" s="465">
        <v>506</v>
      </c>
      <c r="B19" s="461" t="s">
        <v>562</v>
      </c>
      <c r="C19" s="461"/>
      <c r="D19" s="669"/>
      <c r="E19" s="669"/>
      <c r="F19" s="669"/>
      <c r="G19" s="669"/>
      <c r="H19" s="669"/>
      <c r="I19" s="669"/>
      <c r="J19" s="669"/>
      <c r="K19" s="669"/>
      <c r="L19" s="669"/>
      <c r="M19" s="669"/>
      <c r="N19" s="669"/>
      <c r="O19" s="669"/>
      <c r="P19" s="669"/>
      <c r="Q19" s="669"/>
      <c r="R19" s="669"/>
      <c r="S19" s="669"/>
      <c r="T19" s="669"/>
      <c r="U19" s="669"/>
      <c r="V19" s="669"/>
      <c r="W19" s="669"/>
      <c r="X19" s="669"/>
      <c r="Y19" s="669"/>
      <c r="Z19" s="669"/>
      <c r="AA19" s="669"/>
      <c r="AB19" s="669"/>
      <c r="AC19" s="669"/>
      <c r="AD19" s="669"/>
      <c r="AE19" s="669"/>
      <c r="AF19" s="669"/>
      <c r="AG19" s="669"/>
      <c r="AH19" s="669"/>
      <c r="AI19" s="62"/>
      <c r="AJ19" s="468">
        <f>'3a. OM_AG-i'!I19</f>
        <v>0</v>
      </c>
      <c r="AK19" s="62">
        <f t="shared" si="1"/>
        <v>0</v>
      </c>
      <c r="AL19" s="62">
        <f t="shared" si="0"/>
        <v>0</v>
      </c>
    </row>
    <row r="20" spans="1:38" x14ac:dyDescent="0.3">
      <c r="A20" s="465">
        <v>507</v>
      </c>
      <c r="B20" s="461" t="s">
        <v>564</v>
      </c>
      <c r="C20" s="461"/>
      <c r="D20" s="669"/>
      <c r="E20" s="669"/>
      <c r="F20" s="669"/>
      <c r="G20" s="669"/>
      <c r="H20" s="669"/>
      <c r="I20" s="669"/>
      <c r="J20" s="669"/>
      <c r="K20" s="669"/>
      <c r="L20" s="669"/>
      <c r="M20" s="669"/>
      <c r="N20" s="669"/>
      <c r="O20" s="669"/>
      <c r="P20" s="669"/>
      <c r="Q20" s="669"/>
      <c r="R20" s="669"/>
      <c r="S20" s="669"/>
      <c r="T20" s="669"/>
      <c r="U20" s="669"/>
      <c r="V20" s="669"/>
      <c r="W20" s="669"/>
      <c r="X20" s="669"/>
      <c r="Y20" s="669"/>
      <c r="Z20" s="669"/>
      <c r="AA20" s="669"/>
      <c r="AB20" s="669"/>
      <c r="AC20" s="669"/>
      <c r="AD20" s="669"/>
      <c r="AE20" s="669"/>
      <c r="AF20" s="669"/>
      <c r="AG20" s="669"/>
      <c r="AH20" s="669"/>
      <c r="AI20" s="62"/>
      <c r="AJ20" s="468">
        <f>'3a. OM_AG-i'!I20</f>
        <v>0</v>
      </c>
      <c r="AK20" s="62">
        <f t="shared" si="1"/>
        <v>0</v>
      </c>
      <c r="AL20" s="62">
        <f t="shared" si="0"/>
        <v>0</v>
      </c>
    </row>
    <row r="21" spans="1:38" s="1" customFormat="1" x14ac:dyDescent="0.3">
      <c r="A21" s="461">
        <v>508</v>
      </c>
      <c r="B21" s="461" t="s">
        <v>893</v>
      </c>
      <c r="C21" s="461"/>
      <c r="D21" s="669"/>
      <c r="E21" s="669"/>
      <c r="F21" s="669"/>
      <c r="G21" s="669"/>
      <c r="H21" s="669"/>
      <c r="I21" s="669"/>
      <c r="J21" s="669"/>
      <c r="K21" s="669"/>
      <c r="L21" s="669"/>
      <c r="M21" s="669"/>
      <c r="N21" s="669"/>
      <c r="O21" s="669"/>
      <c r="P21" s="669"/>
      <c r="Q21" s="669"/>
      <c r="R21" s="669"/>
      <c r="S21" s="669"/>
      <c r="T21" s="669"/>
      <c r="U21" s="669"/>
      <c r="V21" s="669"/>
      <c r="W21" s="669"/>
      <c r="X21" s="669"/>
      <c r="Y21" s="669"/>
      <c r="Z21" s="669"/>
      <c r="AA21" s="669"/>
      <c r="AB21" s="669"/>
      <c r="AC21" s="669"/>
      <c r="AD21" s="669"/>
      <c r="AE21" s="669"/>
      <c r="AF21" s="669"/>
      <c r="AG21" s="669"/>
      <c r="AH21" s="669"/>
      <c r="AI21" s="62"/>
      <c r="AJ21" s="468">
        <f>'3a. OM_AG-i'!I21</f>
        <v>0</v>
      </c>
      <c r="AK21" s="62">
        <f t="shared" si="1"/>
        <v>0</v>
      </c>
      <c r="AL21" s="62">
        <f>AJ21-AK21</f>
        <v>0</v>
      </c>
    </row>
    <row r="22" spans="1:38" x14ac:dyDescent="0.3">
      <c r="A22" s="461"/>
      <c r="B22" s="474" t="s">
        <v>524</v>
      </c>
      <c r="C22" s="474"/>
      <c r="D22" s="669"/>
      <c r="E22" s="669"/>
      <c r="F22" s="669"/>
      <c r="G22" s="669"/>
      <c r="H22" s="669"/>
      <c r="I22" s="669"/>
      <c r="J22" s="669"/>
      <c r="K22" s="669"/>
      <c r="L22" s="669"/>
      <c r="M22" s="669"/>
      <c r="N22" s="669"/>
      <c r="O22" s="669"/>
      <c r="P22" s="669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  <c r="AD22" s="669"/>
      <c r="AE22" s="669"/>
      <c r="AF22" s="669"/>
      <c r="AG22" s="669"/>
      <c r="AH22" s="669"/>
      <c r="AI22" s="62"/>
      <c r="AJ22" s="171">
        <f>SUM(AJ13:AJ21)</f>
        <v>0</v>
      </c>
      <c r="AK22" s="62">
        <f t="shared" si="1"/>
        <v>0</v>
      </c>
      <c r="AL22" s="62">
        <f t="shared" si="0"/>
        <v>0</v>
      </c>
    </row>
    <row r="23" spans="1:38" x14ac:dyDescent="0.3">
      <c r="A23" s="461"/>
      <c r="B23" s="461" t="s">
        <v>130</v>
      </c>
      <c r="C23" s="62"/>
      <c r="D23" s="669"/>
      <c r="E23" s="669"/>
      <c r="F23" s="669"/>
      <c r="G23" s="669"/>
      <c r="H23" s="669"/>
      <c r="I23" s="669"/>
      <c r="J23" s="669"/>
      <c r="K23" s="669"/>
      <c r="L23" s="669"/>
      <c r="M23" s="669"/>
      <c r="N23" s="669"/>
      <c r="O23" s="669"/>
      <c r="P23" s="669"/>
      <c r="Q23" s="669"/>
      <c r="R23" s="669"/>
      <c r="S23" s="669"/>
      <c r="T23" s="669"/>
      <c r="U23" s="669"/>
      <c r="V23" s="669"/>
      <c r="W23" s="669"/>
      <c r="X23" s="669"/>
      <c r="Y23" s="669"/>
      <c r="Z23" s="669"/>
      <c r="AA23" s="669"/>
      <c r="AB23" s="669"/>
      <c r="AC23" s="669"/>
      <c r="AD23" s="669"/>
      <c r="AE23" s="669"/>
      <c r="AF23" s="669"/>
      <c r="AG23" s="669"/>
      <c r="AH23" s="669"/>
      <c r="AI23" s="62"/>
      <c r="AJ23" s="62"/>
      <c r="AK23" s="62"/>
      <c r="AL23" s="62"/>
    </row>
    <row r="24" spans="1:38" x14ac:dyDescent="0.3">
      <c r="A24" s="461"/>
      <c r="B24" s="464" t="s">
        <v>565</v>
      </c>
      <c r="C24" s="464"/>
      <c r="D24" s="669"/>
      <c r="E24" s="669"/>
      <c r="F24" s="669"/>
      <c r="G24" s="669"/>
      <c r="H24" s="669"/>
      <c r="I24" s="669"/>
      <c r="J24" s="669"/>
      <c r="K24" s="669"/>
      <c r="L24" s="669"/>
      <c r="M24" s="669"/>
      <c r="N24" s="669"/>
      <c r="O24" s="669"/>
      <c r="P24" s="669"/>
      <c r="Q24" s="669"/>
      <c r="R24" s="669"/>
      <c r="S24" s="669"/>
      <c r="T24" s="669"/>
      <c r="U24" s="669"/>
      <c r="V24" s="669"/>
      <c r="W24" s="669"/>
      <c r="X24" s="669"/>
      <c r="Y24" s="669"/>
      <c r="Z24" s="669"/>
      <c r="AA24" s="669"/>
      <c r="AB24" s="669"/>
      <c r="AC24" s="669"/>
      <c r="AD24" s="669"/>
      <c r="AE24" s="669"/>
      <c r="AF24" s="669"/>
      <c r="AG24" s="669"/>
      <c r="AH24" s="669"/>
      <c r="AI24" s="62"/>
      <c r="AJ24" s="62"/>
      <c r="AK24" s="62"/>
      <c r="AL24" s="62"/>
    </row>
    <row r="25" spans="1:38" x14ac:dyDescent="0.3">
      <c r="A25" s="465">
        <v>510</v>
      </c>
      <c r="B25" s="466" t="s">
        <v>567</v>
      </c>
      <c r="C25" s="466"/>
      <c r="D25" s="669"/>
      <c r="E25" s="669"/>
      <c r="F25" s="669"/>
      <c r="G25" s="669"/>
      <c r="H25" s="669"/>
      <c r="I25" s="669"/>
      <c r="J25" s="669"/>
      <c r="K25" s="669"/>
      <c r="L25" s="669"/>
      <c r="M25" s="669"/>
      <c r="N25" s="669"/>
      <c r="O25" s="669"/>
      <c r="P25" s="669"/>
      <c r="Q25" s="669"/>
      <c r="R25" s="669"/>
      <c r="S25" s="669"/>
      <c r="T25" s="669"/>
      <c r="U25" s="669"/>
      <c r="V25" s="669"/>
      <c r="W25" s="669"/>
      <c r="X25" s="669"/>
      <c r="Y25" s="669"/>
      <c r="Z25" s="669"/>
      <c r="AA25" s="669"/>
      <c r="AB25" s="669"/>
      <c r="AC25" s="669"/>
      <c r="AD25" s="669"/>
      <c r="AE25" s="669"/>
      <c r="AF25" s="669"/>
      <c r="AG25" s="669"/>
      <c r="AH25" s="669"/>
      <c r="AI25" s="62"/>
      <c r="AJ25" s="468">
        <f>'3a. OM_AG-i'!I25</f>
        <v>0</v>
      </c>
      <c r="AK25" s="62">
        <f t="shared" ref="AK25:AK31" si="2">SUM(F25:K25,L25,N25:W25,Y25:Z25,AA25:AA25,AC25:AE25,AG25:AH25)</f>
        <v>0</v>
      </c>
      <c r="AL25" s="62">
        <f t="shared" ref="AL25:AL31" si="3">AJ25-AK25</f>
        <v>0</v>
      </c>
    </row>
    <row r="26" spans="1:38" x14ac:dyDescent="0.3">
      <c r="A26" s="465">
        <v>511</v>
      </c>
      <c r="B26" s="466" t="s">
        <v>569</v>
      </c>
      <c r="C26" s="466"/>
      <c r="D26" s="669"/>
      <c r="E26" s="669"/>
      <c r="F26" s="669"/>
      <c r="G26" s="669"/>
      <c r="H26" s="669"/>
      <c r="I26" s="669"/>
      <c r="J26" s="669"/>
      <c r="K26" s="669"/>
      <c r="L26" s="669"/>
      <c r="M26" s="669"/>
      <c r="N26" s="669"/>
      <c r="O26" s="669"/>
      <c r="P26" s="669"/>
      <c r="Q26" s="669"/>
      <c r="R26" s="669"/>
      <c r="S26" s="669"/>
      <c r="T26" s="669"/>
      <c r="U26" s="669"/>
      <c r="V26" s="669"/>
      <c r="W26" s="669"/>
      <c r="X26" s="669"/>
      <c r="Y26" s="669"/>
      <c r="Z26" s="669"/>
      <c r="AA26" s="669"/>
      <c r="AB26" s="669"/>
      <c r="AC26" s="669"/>
      <c r="AD26" s="669"/>
      <c r="AE26" s="669"/>
      <c r="AF26" s="669"/>
      <c r="AG26" s="669"/>
      <c r="AH26" s="669"/>
      <c r="AI26" s="62"/>
      <c r="AJ26" s="468">
        <f>'3a. OM_AG-i'!I26</f>
        <v>0</v>
      </c>
      <c r="AK26" s="62">
        <f t="shared" si="2"/>
        <v>0</v>
      </c>
      <c r="AL26" s="62">
        <f t="shared" si="3"/>
        <v>0</v>
      </c>
    </row>
    <row r="27" spans="1:38" x14ac:dyDescent="0.3">
      <c r="A27" s="465">
        <v>512</v>
      </c>
      <c r="B27" s="461" t="s">
        <v>571</v>
      </c>
      <c r="C27" s="461"/>
      <c r="D27" s="669"/>
      <c r="E27" s="669"/>
      <c r="F27" s="669"/>
      <c r="G27" s="669"/>
      <c r="H27" s="669"/>
      <c r="I27" s="669"/>
      <c r="J27" s="669"/>
      <c r="K27" s="669"/>
      <c r="L27" s="669"/>
      <c r="M27" s="669"/>
      <c r="N27" s="669"/>
      <c r="O27" s="669"/>
      <c r="P27" s="669"/>
      <c r="Q27" s="669"/>
      <c r="R27" s="669"/>
      <c r="S27" s="669"/>
      <c r="T27" s="669"/>
      <c r="U27" s="669"/>
      <c r="V27" s="669"/>
      <c r="W27" s="669"/>
      <c r="X27" s="669"/>
      <c r="Y27" s="669"/>
      <c r="Z27" s="669"/>
      <c r="AA27" s="669"/>
      <c r="AB27" s="669"/>
      <c r="AC27" s="669"/>
      <c r="AD27" s="669"/>
      <c r="AE27" s="669"/>
      <c r="AF27" s="669"/>
      <c r="AG27" s="669"/>
      <c r="AH27" s="669"/>
      <c r="AI27" s="62"/>
      <c r="AJ27" s="468">
        <f>'3a. OM_AG-i'!I27</f>
        <v>0</v>
      </c>
      <c r="AK27" s="62">
        <f t="shared" si="2"/>
        <v>0</v>
      </c>
      <c r="AL27" s="62">
        <f t="shared" si="3"/>
        <v>0</v>
      </c>
    </row>
    <row r="28" spans="1:38" x14ac:dyDescent="0.3">
      <c r="A28" s="465">
        <v>513</v>
      </c>
      <c r="B28" s="461" t="s">
        <v>573</v>
      </c>
      <c r="C28" s="461"/>
      <c r="D28" s="669"/>
      <c r="E28" s="669"/>
      <c r="F28" s="669"/>
      <c r="G28" s="669"/>
      <c r="H28" s="669"/>
      <c r="I28" s="669"/>
      <c r="J28" s="669"/>
      <c r="K28" s="669"/>
      <c r="L28" s="669"/>
      <c r="M28" s="669"/>
      <c r="N28" s="669"/>
      <c r="O28" s="669"/>
      <c r="P28" s="669"/>
      <c r="Q28" s="669"/>
      <c r="R28" s="669"/>
      <c r="S28" s="669"/>
      <c r="T28" s="669"/>
      <c r="U28" s="669"/>
      <c r="V28" s="669"/>
      <c r="W28" s="669"/>
      <c r="X28" s="669"/>
      <c r="Y28" s="669"/>
      <c r="Z28" s="669"/>
      <c r="AA28" s="669"/>
      <c r="AB28" s="669"/>
      <c r="AC28" s="669"/>
      <c r="AD28" s="669"/>
      <c r="AE28" s="669"/>
      <c r="AF28" s="669"/>
      <c r="AG28" s="669"/>
      <c r="AH28" s="669"/>
      <c r="AI28" s="62"/>
      <c r="AJ28" s="468">
        <f>'3a. OM_AG-i'!I28</f>
        <v>0</v>
      </c>
      <c r="AK28" s="62">
        <f t="shared" si="2"/>
        <v>0</v>
      </c>
      <c r="AL28" s="62">
        <f t="shared" si="3"/>
        <v>0</v>
      </c>
    </row>
    <row r="29" spans="1:38" x14ac:dyDescent="0.3">
      <c r="A29" s="465">
        <v>514</v>
      </c>
      <c r="B29" s="461" t="s">
        <v>575</v>
      </c>
      <c r="C29" s="461"/>
      <c r="D29" s="669"/>
      <c r="E29" s="669"/>
      <c r="F29" s="669"/>
      <c r="G29" s="669"/>
      <c r="H29" s="669"/>
      <c r="I29" s="669"/>
      <c r="J29" s="669"/>
      <c r="K29" s="669"/>
      <c r="L29" s="669"/>
      <c r="M29" s="669"/>
      <c r="N29" s="669"/>
      <c r="O29" s="669"/>
      <c r="P29" s="669"/>
      <c r="Q29" s="669"/>
      <c r="R29" s="669"/>
      <c r="S29" s="669"/>
      <c r="T29" s="669"/>
      <c r="U29" s="669"/>
      <c r="V29" s="669"/>
      <c r="W29" s="669"/>
      <c r="X29" s="669"/>
      <c r="Y29" s="669"/>
      <c r="Z29" s="669"/>
      <c r="AA29" s="669"/>
      <c r="AB29" s="669"/>
      <c r="AC29" s="669"/>
      <c r="AD29" s="669"/>
      <c r="AE29" s="669"/>
      <c r="AF29" s="669"/>
      <c r="AG29" s="669"/>
      <c r="AH29" s="669"/>
      <c r="AI29" s="62"/>
      <c r="AJ29" s="468">
        <f>'3a. OM_AG-i'!I29</f>
        <v>0</v>
      </c>
      <c r="AK29" s="62">
        <f t="shared" si="2"/>
        <v>0</v>
      </c>
      <c r="AL29" s="62">
        <f t="shared" si="3"/>
        <v>0</v>
      </c>
    </row>
    <row r="30" spans="1:38" s="1" customFormat="1" x14ac:dyDescent="0.3">
      <c r="A30" s="465">
        <v>516</v>
      </c>
      <c r="B30" s="465" t="s">
        <v>1195</v>
      </c>
      <c r="C30" s="461"/>
      <c r="D30" s="669"/>
      <c r="E30" s="669"/>
      <c r="F30" s="669"/>
      <c r="G30" s="669"/>
      <c r="H30" s="669"/>
      <c r="I30" s="669"/>
      <c r="J30" s="669"/>
      <c r="K30" s="669"/>
      <c r="L30" s="669"/>
      <c r="M30" s="669"/>
      <c r="N30" s="669"/>
      <c r="O30" s="669"/>
      <c r="P30" s="669"/>
      <c r="Q30" s="669"/>
      <c r="R30" s="669"/>
      <c r="S30" s="669"/>
      <c r="T30" s="669"/>
      <c r="U30" s="669"/>
      <c r="V30" s="669"/>
      <c r="W30" s="669"/>
      <c r="X30" s="669"/>
      <c r="Y30" s="669"/>
      <c r="Z30" s="669"/>
      <c r="AA30" s="669"/>
      <c r="AB30" s="669"/>
      <c r="AC30" s="669"/>
      <c r="AD30" s="669"/>
      <c r="AE30" s="669"/>
      <c r="AF30" s="669"/>
      <c r="AG30" s="669"/>
      <c r="AH30" s="669"/>
      <c r="AI30" s="62"/>
      <c r="AJ30" s="468">
        <f>'3a. OM_AG-i'!I30</f>
        <v>0</v>
      </c>
      <c r="AK30" s="62">
        <f t="shared" si="2"/>
        <v>0</v>
      </c>
      <c r="AL30" s="62">
        <f>AJ30-AK30</f>
        <v>0</v>
      </c>
    </row>
    <row r="31" spans="1:38" x14ac:dyDescent="0.3">
      <c r="A31" s="461"/>
      <c r="B31" s="474" t="s">
        <v>524</v>
      </c>
      <c r="C31" s="474"/>
      <c r="D31" s="669"/>
      <c r="E31" s="669"/>
      <c r="F31" s="669"/>
      <c r="G31" s="669"/>
      <c r="H31" s="669"/>
      <c r="I31" s="669"/>
      <c r="J31" s="669"/>
      <c r="K31" s="669"/>
      <c r="L31" s="669"/>
      <c r="M31" s="669"/>
      <c r="N31" s="669"/>
      <c r="O31" s="669"/>
      <c r="P31" s="669"/>
      <c r="Q31" s="669"/>
      <c r="R31" s="669"/>
      <c r="S31" s="669"/>
      <c r="T31" s="669"/>
      <c r="U31" s="669"/>
      <c r="V31" s="669"/>
      <c r="W31" s="669"/>
      <c r="X31" s="669"/>
      <c r="Y31" s="669"/>
      <c r="Z31" s="669"/>
      <c r="AA31" s="669"/>
      <c r="AB31" s="669"/>
      <c r="AC31" s="669"/>
      <c r="AD31" s="669"/>
      <c r="AE31" s="669"/>
      <c r="AF31" s="669"/>
      <c r="AG31" s="669"/>
      <c r="AH31" s="669"/>
      <c r="AI31" s="62"/>
      <c r="AJ31" s="171">
        <f>SUM(AJ25:AJ30)</f>
        <v>0</v>
      </c>
      <c r="AK31" s="62">
        <f t="shared" si="2"/>
        <v>0</v>
      </c>
      <c r="AL31" s="62">
        <f t="shared" si="3"/>
        <v>0</v>
      </c>
    </row>
    <row r="32" spans="1:38" x14ac:dyDescent="0.3">
      <c r="A32" s="461"/>
      <c r="B32" s="486" t="s">
        <v>131</v>
      </c>
      <c r="C32" s="62"/>
      <c r="D32" s="669"/>
      <c r="E32" s="669"/>
      <c r="F32" s="669"/>
      <c r="G32" s="669"/>
      <c r="H32" s="669"/>
      <c r="I32" s="669"/>
      <c r="J32" s="669"/>
      <c r="K32" s="669"/>
      <c r="L32" s="669"/>
      <c r="M32" s="669"/>
      <c r="N32" s="669"/>
      <c r="O32" s="669"/>
      <c r="P32" s="669"/>
      <c r="Q32" s="669"/>
      <c r="R32" s="669"/>
      <c r="S32" s="669"/>
      <c r="T32" s="669"/>
      <c r="U32" s="669"/>
      <c r="V32" s="669"/>
      <c r="W32" s="669"/>
      <c r="X32" s="669"/>
      <c r="Y32" s="669"/>
      <c r="Z32" s="669"/>
      <c r="AA32" s="669"/>
      <c r="AB32" s="669"/>
      <c r="AC32" s="669"/>
      <c r="AD32" s="669"/>
      <c r="AE32" s="669"/>
      <c r="AF32" s="669"/>
      <c r="AG32" s="669"/>
      <c r="AH32" s="669"/>
      <c r="AI32" s="62"/>
      <c r="AJ32" s="62"/>
      <c r="AK32" s="62"/>
      <c r="AL32" s="62"/>
    </row>
    <row r="33" spans="1:38" x14ac:dyDescent="0.3">
      <c r="A33" s="461">
        <v>515</v>
      </c>
      <c r="B33" s="461" t="s">
        <v>577</v>
      </c>
      <c r="C33" s="461"/>
      <c r="D33" s="669"/>
      <c r="E33" s="669"/>
      <c r="F33" s="669"/>
      <c r="G33" s="669"/>
      <c r="H33" s="669"/>
      <c r="I33" s="669"/>
      <c r="J33" s="669"/>
      <c r="K33" s="669"/>
      <c r="L33" s="669"/>
      <c r="M33" s="669"/>
      <c r="N33" s="669"/>
      <c r="O33" s="669"/>
      <c r="P33" s="669"/>
      <c r="Q33" s="669"/>
      <c r="R33" s="669"/>
      <c r="S33" s="669"/>
      <c r="T33" s="669"/>
      <c r="U33" s="669"/>
      <c r="V33" s="669"/>
      <c r="W33" s="669"/>
      <c r="X33" s="669"/>
      <c r="Y33" s="669"/>
      <c r="Z33" s="669"/>
      <c r="AA33" s="669"/>
      <c r="AB33" s="669"/>
      <c r="AC33" s="669"/>
      <c r="AD33" s="669"/>
      <c r="AE33" s="669"/>
      <c r="AF33" s="669"/>
      <c r="AG33" s="669"/>
      <c r="AH33" s="669"/>
      <c r="AI33" s="62"/>
      <c r="AJ33" s="468">
        <f>'3a. OM_AG-i'!I33</f>
        <v>0</v>
      </c>
      <c r="AK33" s="62">
        <f t="shared" ref="AK33" si="4">SUM(F33:K33,L33,N33:W33,Y33:Z33,AA33:AA33,AC33:AE33,AG33:AH33)</f>
        <v>0</v>
      </c>
      <c r="AL33" s="62">
        <f>AJ33-AK33</f>
        <v>0</v>
      </c>
    </row>
    <row r="34" spans="1:38" x14ac:dyDescent="0.3">
      <c r="A34" s="461"/>
      <c r="B34" s="461"/>
      <c r="C34" s="461"/>
      <c r="D34" s="669"/>
      <c r="E34" s="669"/>
      <c r="F34" s="669"/>
      <c r="G34" s="669"/>
      <c r="H34" s="669"/>
      <c r="I34" s="669"/>
      <c r="J34" s="669"/>
      <c r="K34" s="669"/>
      <c r="L34" s="669"/>
      <c r="M34" s="669"/>
      <c r="N34" s="669"/>
      <c r="O34" s="669"/>
      <c r="P34" s="669"/>
      <c r="Q34" s="669"/>
      <c r="R34" s="669"/>
      <c r="S34" s="669"/>
      <c r="T34" s="669"/>
      <c r="U34" s="669"/>
      <c r="V34" s="669"/>
      <c r="W34" s="669"/>
      <c r="X34" s="669"/>
      <c r="Y34" s="669"/>
      <c r="Z34" s="669"/>
      <c r="AA34" s="669"/>
      <c r="AB34" s="669"/>
      <c r="AC34" s="669"/>
      <c r="AD34" s="669"/>
      <c r="AE34" s="669"/>
      <c r="AF34" s="669"/>
      <c r="AG34" s="669"/>
      <c r="AH34" s="669"/>
      <c r="AI34" s="62"/>
      <c r="AJ34" s="62"/>
      <c r="AK34" s="62"/>
      <c r="AL34" s="62"/>
    </row>
    <row r="35" spans="1:38" x14ac:dyDescent="0.3">
      <c r="A35" s="461"/>
      <c r="B35" s="463" t="s">
        <v>578</v>
      </c>
      <c r="C35" s="463"/>
      <c r="D35" s="669"/>
      <c r="E35" s="669"/>
      <c r="F35" s="669"/>
      <c r="G35" s="669"/>
      <c r="H35" s="669"/>
      <c r="I35" s="669"/>
      <c r="J35" s="669"/>
      <c r="K35" s="669"/>
      <c r="L35" s="669"/>
      <c r="M35" s="669"/>
      <c r="N35" s="669"/>
      <c r="O35" s="669"/>
      <c r="P35" s="669"/>
      <c r="Q35" s="669"/>
      <c r="R35" s="669"/>
      <c r="S35" s="669"/>
      <c r="T35" s="669"/>
      <c r="U35" s="669"/>
      <c r="V35" s="669"/>
      <c r="W35" s="669"/>
      <c r="X35" s="669"/>
      <c r="Y35" s="669"/>
      <c r="Z35" s="669"/>
      <c r="AA35" s="669"/>
      <c r="AB35" s="669"/>
      <c r="AC35" s="669"/>
      <c r="AD35" s="669"/>
      <c r="AE35" s="669"/>
      <c r="AF35" s="669"/>
      <c r="AG35" s="669"/>
      <c r="AH35" s="669"/>
      <c r="AI35" s="62"/>
      <c r="AJ35" s="62"/>
      <c r="AK35" s="62"/>
      <c r="AL35" s="62"/>
    </row>
    <row r="36" spans="1:38" x14ac:dyDescent="0.3">
      <c r="A36" s="461"/>
      <c r="B36" s="464" t="s">
        <v>549</v>
      </c>
      <c r="C36" s="464"/>
      <c r="D36" s="669"/>
      <c r="E36" s="669"/>
      <c r="F36" s="669"/>
      <c r="G36" s="669"/>
      <c r="H36" s="669"/>
      <c r="I36" s="669"/>
      <c r="J36" s="669"/>
      <c r="K36" s="669"/>
      <c r="L36" s="669"/>
      <c r="M36" s="669"/>
      <c r="N36" s="669"/>
      <c r="O36" s="669"/>
      <c r="P36" s="669"/>
      <c r="Q36" s="669"/>
      <c r="R36" s="669"/>
      <c r="S36" s="669"/>
      <c r="T36" s="669"/>
      <c r="U36" s="669"/>
      <c r="V36" s="669"/>
      <c r="W36" s="669"/>
      <c r="X36" s="669"/>
      <c r="Y36" s="669"/>
      <c r="Z36" s="669"/>
      <c r="AA36" s="669"/>
      <c r="AB36" s="669"/>
      <c r="AC36" s="669"/>
      <c r="AD36" s="669"/>
      <c r="AE36" s="669"/>
      <c r="AF36" s="669"/>
      <c r="AG36" s="669"/>
      <c r="AH36" s="669"/>
      <c r="AI36" s="62"/>
      <c r="AJ36" s="62"/>
      <c r="AK36" s="62"/>
      <c r="AL36" s="62"/>
    </row>
    <row r="37" spans="1:38" x14ac:dyDescent="0.3">
      <c r="A37" s="461">
        <v>517</v>
      </c>
      <c r="B37" s="461" t="s">
        <v>580</v>
      </c>
      <c r="C37" s="461"/>
      <c r="D37" s="669"/>
      <c r="E37" s="669"/>
      <c r="F37" s="669"/>
      <c r="G37" s="669"/>
      <c r="H37" s="669"/>
      <c r="I37" s="669"/>
      <c r="J37" s="669"/>
      <c r="K37" s="669"/>
      <c r="L37" s="669"/>
      <c r="M37" s="669"/>
      <c r="N37" s="669"/>
      <c r="O37" s="669"/>
      <c r="P37" s="669"/>
      <c r="Q37" s="669"/>
      <c r="R37" s="669"/>
      <c r="S37" s="669"/>
      <c r="T37" s="669"/>
      <c r="U37" s="669"/>
      <c r="V37" s="669"/>
      <c r="W37" s="669"/>
      <c r="X37" s="669"/>
      <c r="Y37" s="669"/>
      <c r="Z37" s="669"/>
      <c r="AA37" s="669"/>
      <c r="AB37" s="669"/>
      <c r="AC37" s="669"/>
      <c r="AD37" s="669"/>
      <c r="AE37" s="669"/>
      <c r="AF37" s="669"/>
      <c r="AG37" s="669"/>
      <c r="AH37" s="669"/>
      <c r="AI37" s="62"/>
      <c r="AJ37" s="468">
        <f>'3a. OM_AG-i'!I37</f>
        <v>0</v>
      </c>
      <c r="AK37" s="62">
        <f t="shared" ref="AK37:AK44" si="5">SUM(F37:K37,L37,N37:W37,Y37:Z37,AA37:AA37,AC37:AE37,AG37:AH37)</f>
        <v>0</v>
      </c>
      <c r="AL37" s="62">
        <f t="shared" ref="AL37:AL44" si="6">AJ37-AK37</f>
        <v>0</v>
      </c>
    </row>
    <row r="38" spans="1:38" x14ac:dyDescent="0.3">
      <c r="A38" s="461">
        <v>518</v>
      </c>
      <c r="B38" s="461" t="s">
        <v>582</v>
      </c>
      <c r="C38" s="461"/>
      <c r="D38" s="669"/>
      <c r="E38" s="669"/>
      <c r="F38" s="669"/>
      <c r="G38" s="669"/>
      <c r="H38" s="669"/>
      <c r="I38" s="669"/>
      <c r="J38" s="669"/>
      <c r="K38" s="669"/>
      <c r="L38" s="669"/>
      <c r="M38" s="669"/>
      <c r="N38" s="669"/>
      <c r="O38" s="669"/>
      <c r="P38" s="669"/>
      <c r="Q38" s="669"/>
      <c r="R38" s="669"/>
      <c r="S38" s="669"/>
      <c r="T38" s="669"/>
      <c r="U38" s="669"/>
      <c r="V38" s="669"/>
      <c r="W38" s="669"/>
      <c r="X38" s="669"/>
      <c r="Y38" s="669"/>
      <c r="Z38" s="669"/>
      <c r="AA38" s="669"/>
      <c r="AB38" s="669"/>
      <c r="AC38" s="669"/>
      <c r="AD38" s="669"/>
      <c r="AE38" s="669"/>
      <c r="AF38" s="669"/>
      <c r="AG38" s="669"/>
      <c r="AH38" s="669"/>
      <c r="AI38" s="62"/>
      <c r="AJ38" s="468">
        <f>'3a. OM_AG-i'!I38</f>
        <v>0</v>
      </c>
      <c r="AK38" s="62">
        <f t="shared" si="5"/>
        <v>0</v>
      </c>
      <c r="AL38" s="62">
        <f t="shared" si="6"/>
        <v>0</v>
      </c>
    </row>
    <row r="39" spans="1:38" x14ac:dyDescent="0.3">
      <c r="A39" s="461">
        <v>519</v>
      </c>
      <c r="B39" s="461" t="s">
        <v>584</v>
      </c>
      <c r="C39" s="461"/>
      <c r="D39" s="669"/>
      <c r="E39" s="669"/>
      <c r="F39" s="669"/>
      <c r="G39" s="669"/>
      <c r="H39" s="669"/>
      <c r="I39" s="669"/>
      <c r="J39" s="669"/>
      <c r="K39" s="669"/>
      <c r="L39" s="669"/>
      <c r="M39" s="669"/>
      <c r="N39" s="669"/>
      <c r="O39" s="669"/>
      <c r="P39" s="669"/>
      <c r="Q39" s="669"/>
      <c r="R39" s="669"/>
      <c r="S39" s="669"/>
      <c r="T39" s="669"/>
      <c r="U39" s="669"/>
      <c r="V39" s="669"/>
      <c r="W39" s="669"/>
      <c r="X39" s="669"/>
      <c r="Y39" s="669"/>
      <c r="Z39" s="669"/>
      <c r="AA39" s="669"/>
      <c r="AB39" s="669"/>
      <c r="AC39" s="669"/>
      <c r="AD39" s="669"/>
      <c r="AE39" s="669"/>
      <c r="AF39" s="669"/>
      <c r="AG39" s="669"/>
      <c r="AH39" s="669"/>
      <c r="AI39" s="62"/>
      <c r="AJ39" s="468">
        <f>'3a. OM_AG-i'!I39</f>
        <v>0</v>
      </c>
      <c r="AK39" s="62">
        <f t="shared" si="5"/>
        <v>0</v>
      </c>
      <c r="AL39" s="62">
        <f t="shared" si="6"/>
        <v>0</v>
      </c>
    </row>
    <row r="40" spans="1:38" x14ac:dyDescent="0.3">
      <c r="A40" s="461">
        <v>520</v>
      </c>
      <c r="B40" s="461" t="s">
        <v>556</v>
      </c>
      <c r="C40" s="461"/>
      <c r="D40" s="669"/>
      <c r="E40" s="669"/>
      <c r="F40" s="669"/>
      <c r="G40" s="669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69"/>
      <c r="V40" s="669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62"/>
      <c r="AJ40" s="468">
        <f>'3a. OM_AG-i'!I40</f>
        <v>0</v>
      </c>
      <c r="AK40" s="62">
        <f t="shared" si="5"/>
        <v>0</v>
      </c>
      <c r="AL40" s="62">
        <f t="shared" si="6"/>
        <v>0</v>
      </c>
    </row>
    <row r="41" spans="1:38" x14ac:dyDescent="0.3">
      <c r="A41" s="461">
        <v>523</v>
      </c>
      <c r="B41" s="466" t="s">
        <v>587</v>
      </c>
      <c r="C41" s="466"/>
      <c r="D41" s="669"/>
      <c r="E41" s="669"/>
      <c r="F41" s="669"/>
      <c r="G41" s="669"/>
      <c r="H41" s="669"/>
      <c r="I41" s="669"/>
      <c r="J41" s="669"/>
      <c r="K41" s="669"/>
      <c r="L41" s="669"/>
      <c r="M41" s="669"/>
      <c r="N41" s="669"/>
      <c r="O41" s="669"/>
      <c r="P41" s="669"/>
      <c r="Q41" s="669"/>
      <c r="R41" s="669"/>
      <c r="S41" s="669"/>
      <c r="T41" s="669"/>
      <c r="U41" s="669"/>
      <c r="V41" s="669"/>
      <c r="W41" s="669"/>
      <c r="X41" s="669"/>
      <c r="Y41" s="669"/>
      <c r="Z41" s="669"/>
      <c r="AA41" s="669"/>
      <c r="AB41" s="669"/>
      <c r="AC41" s="669"/>
      <c r="AD41" s="669"/>
      <c r="AE41" s="669"/>
      <c r="AF41" s="669"/>
      <c r="AG41" s="669"/>
      <c r="AH41" s="669"/>
      <c r="AI41" s="62"/>
      <c r="AJ41" s="468">
        <f>'3a. OM_AG-i'!I41</f>
        <v>0</v>
      </c>
      <c r="AK41" s="62">
        <f t="shared" si="5"/>
        <v>0</v>
      </c>
      <c r="AL41" s="62">
        <f t="shared" si="6"/>
        <v>0</v>
      </c>
    </row>
    <row r="42" spans="1:38" x14ac:dyDescent="0.3">
      <c r="A42" s="461">
        <v>524</v>
      </c>
      <c r="B42" s="461" t="s">
        <v>589</v>
      </c>
      <c r="C42" s="461"/>
      <c r="D42" s="669"/>
      <c r="E42" s="669"/>
      <c r="F42" s="669"/>
      <c r="G42" s="669"/>
      <c r="H42" s="669"/>
      <c r="I42" s="669"/>
      <c r="J42" s="669"/>
      <c r="K42" s="669"/>
      <c r="L42" s="669"/>
      <c r="M42" s="669"/>
      <c r="N42" s="669"/>
      <c r="O42" s="669"/>
      <c r="P42" s="669"/>
      <c r="Q42" s="669"/>
      <c r="R42" s="669"/>
      <c r="S42" s="669"/>
      <c r="T42" s="669"/>
      <c r="U42" s="669"/>
      <c r="V42" s="669"/>
      <c r="W42" s="669"/>
      <c r="X42" s="669"/>
      <c r="Y42" s="669"/>
      <c r="Z42" s="669"/>
      <c r="AA42" s="669"/>
      <c r="AB42" s="669"/>
      <c r="AC42" s="669"/>
      <c r="AD42" s="669"/>
      <c r="AE42" s="669"/>
      <c r="AF42" s="669"/>
      <c r="AG42" s="669"/>
      <c r="AH42" s="669"/>
      <c r="AI42" s="62"/>
      <c r="AJ42" s="468">
        <f>'3a. OM_AG-i'!I42</f>
        <v>0</v>
      </c>
      <c r="AK42" s="62">
        <f t="shared" si="5"/>
        <v>0</v>
      </c>
      <c r="AL42" s="62">
        <f t="shared" si="6"/>
        <v>0</v>
      </c>
    </row>
    <row r="43" spans="1:38" x14ac:dyDescent="0.3">
      <c r="A43" s="461">
        <v>525</v>
      </c>
      <c r="B43" s="461" t="s">
        <v>591</v>
      </c>
      <c r="C43" s="461"/>
      <c r="D43" s="669"/>
      <c r="E43" s="669"/>
      <c r="F43" s="669"/>
      <c r="G43" s="669"/>
      <c r="H43" s="669"/>
      <c r="I43" s="669"/>
      <c r="J43" s="669"/>
      <c r="K43" s="669"/>
      <c r="L43" s="669"/>
      <c r="M43" s="669"/>
      <c r="N43" s="669"/>
      <c r="O43" s="669"/>
      <c r="P43" s="669"/>
      <c r="Q43" s="669"/>
      <c r="R43" s="669"/>
      <c r="S43" s="669"/>
      <c r="T43" s="669"/>
      <c r="U43" s="669"/>
      <c r="V43" s="669"/>
      <c r="W43" s="669"/>
      <c r="X43" s="669"/>
      <c r="Y43" s="669"/>
      <c r="Z43" s="669"/>
      <c r="AA43" s="669"/>
      <c r="AB43" s="669"/>
      <c r="AC43" s="669"/>
      <c r="AD43" s="669"/>
      <c r="AE43" s="669"/>
      <c r="AF43" s="669"/>
      <c r="AG43" s="669"/>
      <c r="AH43" s="669"/>
      <c r="AI43" s="62"/>
      <c r="AJ43" s="468">
        <f>'3a. OM_AG-i'!I43</f>
        <v>0</v>
      </c>
      <c r="AK43" s="62">
        <f t="shared" si="5"/>
        <v>0</v>
      </c>
      <c r="AL43" s="62">
        <f t="shared" si="6"/>
        <v>0</v>
      </c>
    </row>
    <row r="44" spans="1:38" x14ac:dyDescent="0.3">
      <c r="A44" s="461"/>
      <c r="B44" s="474" t="s">
        <v>524</v>
      </c>
      <c r="C44" s="474"/>
      <c r="D44" s="669"/>
      <c r="E44" s="669"/>
      <c r="F44" s="669"/>
      <c r="G44" s="669"/>
      <c r="H44" s="669"/>
      <c r="I44" s="669"/>
      <c r="J44" s="669"/>
      <c r="K44" s="669"/>
      <c r="L44" s="669"/>
      <c r="M44" s="669"/>
      <c r="N44" s="669"/>
      <c r="O44" s="669"/>
      <c r="P44" s="669"/>
      <c r="Q44" s="669"/>
      <c r="R44" s="669"/>
      <c r="S44" s="669"/>
      <c r="T44" s="669"/>
      <c r="U44" s="669"/>
      <c r="V44" s="669"/>
      <c r="W44" s="669"/>
      <c r="X44" s="669"/>
      <c r="Y44" s="669"/>
      <c r="Z44" s="669"/>
      <c r="AA44" s="669"/>
      <c r="AB44" s="669"/>
      <c r="AC44" s="669"/>
      <c r="AD44" s="669"/>
      <c r="AE44" s="669"/>
      <c r="AF44" s="669"/>
      <c r="AG44" s="669"/>
      <c r="AH44" s="669"/>
      <c r="AI44" s="62"/>
      <c r="AJ44" s="171">
        <f>SUM(AJ37:AJ43)</f>
        <v>0</v>
      </c>
      <c r="AK44" s="62">
        <f t="shared" si="5"/>
        <v>0</v>
      </c>
      <c r="AL44" s="62">
        <f t="shared" si="6"/>
        <v>0</v>
      </c>
    </row>
    <row r="45" spans="1:38" x14ac:dyDescent="0.3">
      <c r="A45" s="461"/>
      <c r="B45" s="461"/>
      <c r="C45" s="461"/>
      <c r="D45" s="669"/>
      <c r="E45" s="669"/>
      <c r="F45" s="669"/>
      <c r="G45" s="669"/>
      <c r="H45" s="669"/>
      <c r="I45" s="669"/>
      <c r="J45" s="669"/>
      <c r="K45" s="669"/>
      <c r="L45" s="669"/>
      <c r="M45" s="669"/>
      <c r="N45" s="669"/>
      <c r="O45" s="669"/>
      <c r="P45" s="669"/>
      <c r="Q45" s="669"/>
      <c r="R45" s="669"/>
      <c r="S45" s="669"/>
      <c r="T45" s="669"/>
      <c r="U45" s="669"/>
      <c r="V45" s="669"/>
      <c r="W45" s="669"/>
      <c r="X45" s="669"/>
      <c r="Y45" s="669"/>
      <c r="Z45" s="669"/>
      <c r="AA45" s="669"/>
      <c r="AB45" s="669"/>
      <c r="AC45" s="669"/>
      <c r="AD45" s="669"/>
      <c r="AE45" s="669"/>
      <c r="AF45" s="669"/>
      <c r="AG45" s="669"/>
      <c r="AH45" s="669"/>
      <c r="AI45" s="62"/>
      <c r="AJ45" s="62"/>
      <c r="AK45" s="62"/>
      <c r="AL45" s="62"/>
    </row>
    <row r="46" spans="1:38" x14ac:dyDescent="0.3">
      <c r="A46" s="461"/>
      <c r="B46" s="464" t="s">
        <v>565</v>
      </c>
      <c r="C46" s="464"/>
      <c r="D46" s="669"/>
      <c r="E46" s="669"/>
      <c r="F46" s="669"/>
      <c r="G46" s="669"/>
      <c r="H46" s="669"/>
      <c r="I46" s="669"/>
      <c r="J46" s="669"/>
      <c r="K46" s="669"/>
      <c r="L46" s="669"/>
      <c r="M46" s="669"/>
      <c r="N46" s="669"/>
      <c r="O46" s="669"/>
      <c r="P46" s="669"/>
      <c r="Q46" s="669"/>
      <c r="R46" s="669"/>
      <c r="S46" s="669"/>
      <c r="T46" s="669"/>
      <c r="U46" s="669"/>
      <c r="V46" s="669"/>
      <c r="W46" s="669"/>
      <c r="X46" s="669"/>
      <c r="Y46" s="669"/>
      <c r="Z46" s="669"/>
      <c r="AA46" s="669"/>
      <c r="AB46" s="669"/>
      <c r="AC46" s="669"/>
      <c r="AD46" s="669"/>
      <c r="AE46" s="669"/>
      <c r="AF46" s="669"/>
      <c r="AG46" s="669"/>
      <c r="AH46" s="669"/>
      <c r="AI46" s="62"/>
      <c r="AJ46" s="62"/>
      <c r="AK46" s="62"/>
      <c r="AL46" s="62"/>
    </row>
    <row r="47" spans="1:38" x14ac:dyDescent="0.3">
      <c r="A47" s="461">
        <v>528</v>
      </c>
      <c r="B47" s="461" t="s">
        <v>593</v>
      </c>
      <c r="C47" s="461"/>
      <c r="D47" s="669"/>
      <c r="E47" s="669"/>
      <c r="F47" s="669"/>
      <c r="G47" s="669"/>
      <c r="H47" s="669"/>
      <c r="I47" s="669"/>
      <c r="J47" s="669"/>
      <c r="K47" s="669"/>
      <c r="L47" s="669"/>
      <c r="M47" s="669"/>
      <c r="N47" s="669"/>
      <c r="O47" s="669"/>
      <c r="P47" s="669"/>
      <c r="Q47" s="669"/>
      <c r="R47" s="669"/>
      <c r="S47" s="669"/>
      <c r="T47" s="669"/>
      <c r="U47" s="669"/>
      <c r="V47" s="669"/>
      <c r="W47" s="669"/>
      <c r="X47" s="669"/>
      <c r="Y47" s="669"/>
      <c r="Z47" s="669"/>
      <c r="AA47" s="669"/>
      <c r="AB47" s="669"/>
      <c r="AC47" s="669"/>
      <c r="AD47" s="669"/>
      <c r="AE47" s="669"/>
      <c r="AF47" s="669"/>
      <c r="AG47" s="669"/>
      <c r="AH47" s="669"/>
      <c r="AI47" s="62"/>
      <c r="AJ47" s="468">
        <f>'3a. OM_AG-i'!I47</f>
        <v>0</v>
      </c>
      <c r="AK47" s="62">
        <f t="shared" ref="AK47:AK52" si="7">SUM(F47:K47,L47,N47:W47,Y47:Z47,AA47:AA47,AC47:AE47,AG47:AH47)</f>
        <v>0</v>
      </c>
      <c r="AL47" s="62">
        <f t="shared" ref="AL47:AL52" si="8">AJ47-AK47</f>
        <v>0</v>
      </c>
    </row>
    <row r="48" spans="1:38" x14ac:dyDescent="0.3">
      <c r="A48" s="461">
        <v>529</v>
      </c>
      <c r="B48" s="461" t="s">
        <v>569</v>
      </c>
      <c r="C48" s="461"/>
      <c r="D48" s="669"/>
      <c r="E48" s="669"/>
      <c r="F48" s="669"/>
      <c r="G48" s="669"/>
      <c r="H48" s="669"/>
      <c r="I48" s="669"/>
      <c r="J48" s="669"/>
      <c r="K48" s="669"/>
      <c r="L48" s="669"/>
      <c r="M48" s="669"/>
      <c r="N48" s="669"/>
      <c r="O48" s="669"/>
      <c r="P48" s="669"/>
      <c r="Q48" s="669"/>
      <c r="R48" s="669"/>
      <c r="S48" s="669"/>
      <c r="T48" s="669"/>
      <c r="U48" s="669"/>
      <c r="V48" s="669"/>
      <c r="W48" s="669"/>
      <c r="X48" s="669"/>
      <c r="Y48" s="669"/>
      <c r="Z48" s="669"/>
      <c r="AA48" s="669"/>
      <c r="AB48" s="669"/>
      <c r="AC48" s="669"/>
      <c r="AD48" s="669"/>
      <c r="AE48" s="669"/>
      <c r="AF48" s="669"/>
      <c r="AG48" s="669"/>
      <c r="AH48" s="669"/>
      <c r="AI48" s="62"/>
      <c r="AJ48" s="468">
        <f>'3a. OM_AG-i'!I48</f>
        <v>0</v>
      </c>
      <c r="AK48" s="62">
        <f t="shared" si="7"/>
        <v>0</v>
      </c>
      <c r="AL48" s="62">
        <f t="shared" si="8"/>
        <v>0</v>
      </c>
    </row>
    <row r="49" spans="1:38" x14ac:dyDescent="0.3">
      <c r="A49" s="461">
        <v>530</v>
      </c>
      <c r="B49" s="461" t="s">
        <v>596</v>
      </c>
      <c r="C49" s="461"/>
      <c r="D49" s="669"/>
      <c r="E49" s="669"/>
      <c r="F49" s="669"/>
      <c r="G49" s="669"/>
      <c r="H49" s="669"/>
      <c r="I49" s="669"/>
      <c r="J49" s="669"/>
      <c r="K49" s="669"/>
      <c r="L49" s="669"/>
      <c r="M49" s="669"/>
      <c r="N49" s="669"/>
      <c r="O49" s="669"/>
      <c r="P49" s="669"/>
      <c r="Q49" s="669"/>
      <c r="R49" s="669"/>
      <c r="S49" s="669"/>
      <c r="T49" s="669"/>
      <c r="U49" s="669"/>
      <c r="V49" s="669"/>
      <c r="W49" s="669"/>
      <c r="X49" s="669"/>
      <c r="Y49" s="669"/>
      <c r="Z49" s="669"/>
      <c r="AA49" s="669"/>
      <c r="AB49" s="669"/>
      <c r="AC49" s="669"/>
      <c r="AD49" s="669"/>
      <c r="AE49" s="669"/>
      <c r="AF49" s="669"/>
      <c r="AG49" s="669"/>
      <c r="AH49" s="669"/>
      <c r="AI49" s="62"/>
      <c r="AJ49" s="468">
        <f>'3a. OM_AG-i'!I49</f>
        <v>0</v>
      </c>
      <c r="AK49" s="62">
        <f t="shared" si="7"/>
        <v>0</v>
      </c>
      <c r="AL49" s="62">
        <f t="shared" si="8"/>
        <v>0</v>
      </c>
    </row>
    <row r="50" spans="1:38" x14ac:dyDescent="0.3">
      <c r="A50" s="461">
        <v>531</v>
      </c>
      <c r="B50" s="461" t="s">
        <v>573</v>
      </c>
      <c r="C50" s="461"/>
      <c r="D50" s="669"/>
      <c r="E50" s="669"/>
      <c r="F50" s="669"/>
      <c r="G50" s="669"/>
      <c r="H50" s="669"/>
      <c r="I50" s="669"/>
      <c r="J50" s="669"/>
      <c r="K50" s="669"/>
      <c r="L50" s="669"/>
      <c r="M50" s="669"/>
      <c r="N50" s="669"/>
      <c r="O50" s="669"/>
      <c r="P50" s="669"/>
      <c r="Q50" s="669"/>
      <c r="R50" s="669"/>
      <c r="S50" s="669"/>
      <c r="T50" s="669"/>
      <c r="U50" s="669"/>
      <c r="V50" s="669"/>
      <c r="W50" s="669"/>
      <c r="X50" s="669"/>
      <c r="Y50" s="669"/>
      <c r="Z50" s="669"/>
      <c r="AA50" s="669"/>
      <c r="AB50" s="669"/>
      <c r="AC50" s="669"/>
      <c r="AD50" s="669"/>
      <c r="AE50" s="669"/>
      <c r="AF50" s="669"/>
      <c r="AG50" s="669"/>
      <c r="AH50" s="669"/>
      <c r="AI50" s="62"/>
      <c r="AJ50" s="468">
        <f>'3a. OM_AG-i'!I50</f>
        <v>0</v>
      </c>
      <c r="AK50" s="62">
        <f t="shared" si="7"/>
        <v>0</v>
      </c>
      <c r="AL50" s="62">
        <f t="shared" si="8"/>
        <v>0</v>
      </c>
    </row>
    <row r="51" spans="1:38" x14ac:dyDescent="0.3">
      <c r="A51" s="461">
        <v>532</v>
      </c>
      <c r="B51" s="461" t="s">
        <v>599</v>
      </c>
      <c r="C51" s="461"/>
      <c r="D51" s="669"/>
      <c r="E51" s="669"/>
      <c r="F51" s="669"/>
      <c r="G51" s="669"/>
      <c r="H51" s="669"/>
      <c r="I51" s="669"/>
      <c r="J51" s="669"/>
      <c r="K51" s="669"/>
      <c r="L51" s="669"/>
      <c r="M51" s="669"/>
      <c r="N51" s="669"/>
      <c r="O51" s="669"/>
      <c r="P51" s="669"/>
      <c r="Q51" s="669"/>
      <c r="R51" s="669"/>
      <c r="S51" s="669"/>
      <c r="T51" s="669"/>
      <c r="U51" s="669"/>
      <c r="V51" s="669"/>
      <c r="W51" s="669"/>
      <c r="X51" s="669"/>
      <c r="Y51" s="669"/>
      <c r="Z51" s="669"/>
      <c r="AA51" s="669"/>
      <c r="AB51" s="669"/>
      <c r="AC51" s="669"/>
      <c r="AD51" s="669"/>
      <c r="AE51" s="669"/>
      <c r="AF51" s="669"/>
      <c r="AG51" s="669"/>
      <c r="AH51" s="669"/>
      <c r="AI51" s="62"/>
      <c r="AJ51" s="468">
        <f>'3a. OM_AG-i'!I51</f>
        <v>0</v>
      </c>
      <c r="AK51" s="62">
        <f t="shared" si="7"/>
        <v>0</v>
      </c>
      <c r="AL51" s="62">
        <f t="shared" si="8"/>
        <v>0</v>
      </c>
    </row>
    <row r="52" spans="1:38" x14ac:dyDescent="0.3">
      <c r="A52" s="461"/>
      <c r="B52" s="474" t="s">
        <v>524</v>
      </c>
      <c r="C52" s="474"/>
      <c r="D52" s="669"/>
      <c r="E52" s="669"/>
      <c r="F52" s="669"/>
      <c r="G52" s="669"/>
      <c r="H52" s="669"/>
      <c r="I52" s="669"/>
      <c r="J52" s="669"/>
      <c r="K52" s="669"/>
      <c r="L52" s="669"/>
      <c r="M52" s="669"/>
      <c r="N52" s="669"/>
      <c r="O52" s="669"/>
      <c r="P52" s="669"/>
      <c r="Q52" s="669"/>
      <c r="R52" s="669"/>
      <c r="S52" s="669"/>
      <c r="T52" s="669"/>
      <c r="U52" s="669"/>
      <c r="V52" s="669"/>
      <c r="W52" s="669"/>
      <c r="X52" s="669"/>
      <c r="Y52" s="669"/>
      <c r="Z52" s="669"/>
      <c r="AA52" s="669"/>
      <c r="AB52" s="669"/>
      <c r="AC52" s="669"/>
      <c r="AD52" s="669"/>
      <c r="AE52" s="669"/>
      <c r="AF52" s="669"/>
      <c r="AG52" s="669"/>
      <c r="AH52" s="669"/>
      <c r="AI52" s="62"/>
      <c r="AJ52" s="171">
        <f>SUM(AJ47:AJ51)</f>
        <v>0</v>
      </c>
      <c r="AK52" s="62">
        <f t="shared" si="7"/>
        <v>0</v>
      </c>
      <c r="AL52" s="62">
        <f t="shared" si="8"/>
        <v>0</v>
      </c>
    </row>
    <row r="53" spans="1:38" x14ac:dyDescent="0.3">
      <c r="A53" s="461"/>
      <c r="B53" s="461"/>
      <c r="C53" s="461"/>
      <c r="D53" s="669"/>
      <c r="E53" s="669"/>
      <c r="F53" s="669"/>
      <c r="G53" s="669"/>
      <c r="H53" s="669"/>
      <c r="I53" s="669"/>
      <c r="J53" s="669"/>
      <c r="K53" s="669"/>
      <c r="L53" s="669"/>
      <c r="M53" s="669"/>
      <c r="N53" s="669"/>
      <c r="O53" s="669"/>
      <c r="P53" s="669"/>
      <c r="Q53" s="669"/>
      <c r="R53" s="669"/>
      <c r="S53" s="669"/>
      <c r="T53" s="669"/>
      <c r="U53" s="669"/>
      <c r="V53" s="669"/>
      <c r="W53" s="669"/>
      <c r="X53" s="669"/>
      <c r="Y53" s="669"/>
      <c r="Z53" s="669"/>
      <c r="AA53" s="669"/>
      <c r="AB53" s="669"/>
      <c r="AC53" s="669"/>
      <c r="AD53" s="669"/>
      <c r="AE53" s="669"/>
      <c r="AF53" s="669"/>
      <c r="AG53" s="669"/>
      <c r="AH53" s="669"/>
      <c r="AI53" s="62"/>
      <c r="AJ53" s="62"/>
      <c r="AK53" s="62"/>
      <c r="AL53" s="62"/>
    </row>
    <row r="54" spans="1:38" x14ac:dyDescent="0.3">
      <c r="A54" s="461"/>
      <c r="B54" s="477" t="s">
        <v>1327</v>
      </c>
      <c r="C54" s="477"/>
      <c r="D54" s="669"/>
      <c r="E54" s="669"/>
      <c r="F54" s="669"/>
      <c r="G54" s="669"/>
      <c r="H54" s="669"/>
      <c r="I54" s="669"/>
      <c r="J54" s="669"/>
      <c r="K54" s="669"/>
      <c r="L54" s="669"/>
      <c r="M54" s="669"/>
      <c r="N54" s="669"/>
      <c r="O54" s="669"/>
      <c r="P54" s="669"/>
      <c r="Q54" s="669"/>
      <c r="R54" s="669"/>
      <c r="S54" s="669"/>
      <c r="T54" s="669"/>
      <c r="U54" s="669"/>
      <c r="V54" s="669"/>
      <c r="W54" s="669"/>
      <c r="X54" s="669"/>
      <c r="Y54" s="669"/>
      <c r="Z54" s="669"/>
      <c r="AA54" s="669"/>
      <c r="AB54" s="669"/>
      <c r="AC54" s="669"/>
      <c r="AD54" s="669"/>
      <c r="AE54" s="669"/>
      <c r="AF54" s="669"/>
      <c r="AG54" s="669"/>
      <c r="AH54" s="669"/>
      <c r="AI54" s="62"/>
      <c r="AJ54" s="62"/>
      <c r="AK54" s="62"/>
      <c r="AL54" s="62"/>
    </row>
    <row r="55" spans="1:38" x14ac:dyDescent="0.3">
      <c r="A55" s="461"/>
      <c r="B55" s="464" t="s">
        <v>549</v>
      </c>
      <c r="C55" s="464"/>
      <c r="D55" s="669"/>
      <c r="E55" s="669"/>
      <c r="F55" s="669"/>
      <c r="G55" s="669"/>
      <c r="H55" s="669"/>
      <c r="I55" s="669"/>
      <c r="J55" s="669"/>
      <c r="K55" s="669"/>
      <c r="L55" s="669"/>
      <c r="M55" s="669"/>
      <c r="N55" s="669"/>
      <c r="O55" s="669"/>
      <c r="P55" s="669"/>
      <c r="Q55" s="669"/>
      <c r="R55" s="669"/>
      <c r="S55" s="669"/>
      <c r="T55" s="669"/>
      <c r="U55" s="669"/>
      <c r="V55" s="669"/>
      <c r="W55" s="669"/>
      <c r="X55" s="669"/>
      <c r="Y55" s="669"/>
      <c r="Z55" s="669"/>
      <c r="AA55" s="669"/>
      <c r="AB55" s="669"/>
      <c r="AC55" s="669"/>
      <c r="AD55" s="669"/>
      <c r="AE55" s="669"/>
      <c r="AF55" s="669"/>
      <c r="AG55" s="669"/>
      <c r="AH55" s="669"/>
      <c r="AI55" s="62"/>
      <c r="AJ55" s="62"/>
      <c r="AK55" s="62"/>
      <c r="AL55" s="62"/>
    </row>
    <row r="56" spans="1:38" x14ac:dyDescent="0.3">
      <c r="A56" s="461">
        <v>535</v>
      </c>
      <c r="B56" s="461" t="s">
        <v>580</v>
      </c>
      <c r="C56" s="461"/>
      <c r="D56" s="669"/>
      <c r="E56" s="669"/>
      <c r="F56" s="669"/>
      <c r="G56" s="669"/>
      <c r="H56" s="669"/>
      <c r="I56" s="669"/>
      <c r="J56" s="669"/>
      <c r="K56" s="669"/>
      <c r="L56" s="669"/>
      <c r="M56" s="669"/>
      <c r="N56" s="669"/>
      <c r="O56" s="669"/>
      <c r="P56" s="669"/>
      <c r="Q56" s="669"/>
      <c r="R56" s="669"/>
      <c r="S56" s="669"/>
      <c r="T56" s="669"/>
      <c r="U56" s="669"/>
      <c r="V56" s="669"/>
      <c r="W56" s="669"/>
      <c r="X56" s="669"/>
      <c r="Y56" s="669"/>
      <c r="Z56" s="669"/>
      <c r="AA56" s="669"/>
      <c r="AB56" s="669"/>
      <c r="AC56" s="669"/>
      <c r="AD56" s="669"/>
      <c r="AE56" s="669"/>
      <c r="AF56" s="669"/>
      <c r="AG56" s="669"/>
      <c r="AH56" s="669"/>
      <c r="AI56" s="62"/>
      <c r="AJ56" s="468">
        <f>'3a. OM_AG-i'!I56</f>
        <v>0</v>
      </c>
      <c r="AK56" s="62">
        <f t="shared" ref="AK56:AK62" si="9">SUM(F56:K56,L56,N56:W56,Y56:Z56,AA56:AA56,AC56:AE56,AG56:AH56)</f>
        <v>0</v>
      </c>
      <c r="AL56" s="62">
        <f t="shared" ref="AL56:AL62" si="10">AJ56-AK56</f>
        <v>0</v>
      </c>
    </row>
    <row r="57" spans="1:38" x14ac:dyDescent="0.3">
      <c r="A57" s="461">
        <v>536</v>
      </c>
      <c r="B57" s="466" t="s">
        <v>602</v>
      </c>
      <c r="C57" s="466"/>
      <c r="D57" s="669"/>
      <c r="E57" s="669"/>
      <c r="F57" s="669"/>
      <c r="G57" s="669"/>
      <c r="H57" s="669"/>
      <c r="I57" s="669"/>
      <c r="J57" s="669"/>
      <c r="K57" s="669"/>
      <c r="L57" s="669"/>
      <c r="M57" s="669"/>
      <c r="N57" s="669"/>
      <c r="O57" s="669"/>
      <c r="P57" s="669"/>
      <c r="Q57" s="669"/>
      <c r="R57" s="669"/>
      <c r="S57" s="669"/>
      <c r="T57" s="669"/>
      <c r="U57" s="669"/>
      <c r="V57" s="669"/>
      <c r="W57" s="669"/>
      <c r="X57" s="669"/>
      <c r="Y57" s="669"/>
      <c r="Z57" s="669"/>
      <c r="AA57" s="669"/>
      <c r="AB57" s="669"/>
      <c r="AC57" s="669"/>
      <c r="AD57" s="669"/>
      <c r="AE57" s="669"/>
      <c r="AF57" s="669"/>
      <c r="AG57" s="669"/>
      <c r="AH57" s="669"/>
      <c r="AI57" s="62"/>
      <c r="AJ57" s="468">
        <f>'3a. OM_AG-i'!I57</f>
        <v>0</v>
      </c>
      <c r="AK57" s="62">
        <f t="shared" si="9"/>
        <v>0</v>
      </c>
      <c r="AL57" s="62">
        <f t="shared" si="10"/>
        <v>0</v>
      </c>
    </row>
    <row r="58" spans="1:38" x14ac:dyDescent="0.3">
      <c r="A58" s="461">
        <v>537</v>
      </c>
      <c r="B58" s="461" t="s">
        <v>1328</v>
      </c>
      <c r="C58" s="461"/>
      <c r="D58" s="669"/>
      <c r="E58" s="669"/>
      <c r="F58" s="669"/>
      <c r="G58" s="669"/>
      <c r="H58" s="669"/>
      <c r="I58" s="669"/>
      <c r="J58" s="669"/>
      <c r="K58" s="669"/>
      <c r="L58" s="669"/>
      <c r="M58" s="669"/>
      <c r="N58" s="669"/>
      <c r="O58" s="669"/>
      <c r="P58" s="669"/>
      <c r="Q58" s="669"/>
      <c r="R58" s="669"/>
      <c r="S58" s="669"/>
      <c r="T58" s="669"/>
      <c r="U58" s="669"/>
      <c r="V58" s="669"/>
      <c r="W58" s="669"/>
      <c r="X58" s="669"/>
      <c r="Y58" s="669"/>
      <c r="Z58" s="669"/>
      <c r="AA58" s="669"/>
      <c r="AB58" s="669"/>
      <c r="AC58" s="669"/>
      <c r="AD58" s="669"/>
      <c r="AE58" s="669"/>
      <c r="AF58" s="669"/>
      <c r="AG58" s="669"/>
      <c r="AH58" s="669"/>
      <c r="AI58" s="62"/>
      <c r="AJ58" s="468">
        <f>'3a. OM_AG-i'!I58</f>
        <v>0</v>
      </c>
      <c r="AK58" s="62">
        <f t="shared" si="9"/>
        <v>0</v>
      </c>
      <c r="AL58" s="62">
        <f t="shared" si="10"/>
        <v>0</v>
      </c>
    </row>
    <row r="59" spans="1:38" x14ac:dyDescent="0.3">
      <c r="A59" s="461">
        <v>538</v>
      </c>
      <c r="B59" s="461" t="s">
        <v>560</v>
      </c>
      <c r="C59" s="461"/>
      <c r="D59" s="669"/>
      <c r="E59" s="669"/>
      <c r="F59" s="669"/>
      <c r="G59" s="669"/>
      <c r="H59" s="669"/>
      <c r="I59" s="669"/>
      <c r="J59" s="669"/>
      <c r="K59" s="669"/>
      <c r="L59" s="669"/>
      <c r="M59" s="669"/>
      <c r="N59" s="669"/>
      <c r="O59" s="669"/>
      <c r="P59" s="669"/>
      <c r="Q59" s="669"/>
      <c r="R59" s="669"/>
      <c r="S59" s="669"/>
      <c r="T59" s="669"/>
      <c r="U59" s="669"/>
      <c r="V59" s="669"/>
      <c r="W59" s="669"/>
      <c r="X59" s="669"/>
      <c r="Y59" s="669"/>
      <c r="Z59" s="669"/>
      <c r="AA59" s="669"/>
      <c r="AB59" s="669"/>
      <c r="AC59" s="669"/>
      <c r="AD59" s="669"/>
      <c r="AE59" s="669"/>
      <c r="AF59" s="669"/>
      <c r="AG59" s="669"/>
      <c r="AH59" s="669"/>
      <c r="AI59" s="62"/>
      <c r="AJ59" s="468">
        <f>'3a. OM_AG-i'!I59</f>
        <v>0</v>
      </c>
      <c r="AK59" s="62">
        <f t="shared" si="9"/>
        <v>0</v>
      </c>
      <c r="AL59" s="62">
        <f t="shared" si="10"/>
        <v>0</v>
      </c>
    </row>
    <row r="60" spans="1:38" x14ac:dyDescent="0.3">
      <c r="A60" s="461">
        <v>539</v>
      </c>
      <c r="B60" s="466" t="s">
        <v>1329</v>
      </c>
      <c r="C60" s="466"/>
      <c r="D60" s="669"/>
      <c r="E60" s="669"/>
      <c r="F60" s="669"/>
      <c r="G60" s="669"/>
      <c r="H60" s="669"/>
      <c r="I60" s="669"/>
      <c r="J60" s="669"/>
      <c r="K60" s="669"/>
      <c r="L60" s="669"/>
      <c r="M60" s="669"/>
      <c r="N60" s="669"/>
      <c r="O60" s="669"/>
      <c r="P60" s="669"/>
      <c r="Q60" s="669"/>
      <c r="R60" s="669"/>
      <c r="S60" s="669"/>
      <c r="T60" s="669"/>
      <c r="U60" s="669"/>
      <c r="V60" s="669"/>
      <c r="W60" s="669"/>
      <c r="X60" s="669"/>
      <c r="Y60" s="669"/>
      <c r="Z60" s="669"/>
      <c r="AA60" s="669"/>
      <c r="AB60" s="669"/>
      <c r="AC60" s="669"/>
      <c r="AD60" s="669"/>
      <c r="AE60" s="669"/>
      <c r="AF60" s="669"/>
      <c r="AG60" s="669"/>
      <c r="AH60" s="669"/>
      <c r="AI60" s="62"/>
      <c r="AJ60" s="468">
        <f>'3a. OM_AG-i'!I60</f>
        <v>0</v>
      </c>
      <c r="AK60" s="62">
        <f t="shared" si="9"/>
        <v>0</v>
      </c>
      <c r="AL60" s="62">
        <f t="shared" si="10"/>
        <v>0</v>
      </c>
    </row>
    <row r="61" spans="1:38" x14ac:dyDescent="0.3">
      <c r="A61" s="461">
        <v>540</v>
      </c>
      <c r="B61" s="461" t="s">
        <v>564</v>
      </c>
      <c r="C61" s="461"/>
      <c r="D61" s="669"/>
      <c r="E61" s="669"/>
      <c r="F61" s="669"/>
      <c r="G61" s="669"/>
      <c r="H61" s="669"/>
      <c r="I61" s="669"/>
      <c r="J61" s="669"/>
      <c r="K61" s="669"/>
      <c r="L61" s="669"/>
      <c r="M61" s="669"/>
      <c r="N61" s="669"/>
      <c r="O61" s="669"/>
      <c r="P61" s="669"/>
      <c r="Q61" s="669"/>
      <c r="R61" s="669"/>
      <c r="S61" s="669"/>
      <c r="T61" s="669"/>
      <c r="U61" s="669"/>
      <c r="V61" s="669"/>
      <c r="W61" s="669"/>
      <c r="X61" s="669"/>
      <c r="Y61" s="669"/>
      <c r="Z61" s="669"/>
      <c r="AA61" s="669"/>
      <c r="AB61" s="669"/>
      <c r="AC61" s="669"/>
      <c r="AD61" s="669"/>
      <c r="AE61" s="669"/>
      <c r="AF61" s="669"/>
      <c r="AG61" s="669"/>
      <c r="AH61" s="669"/>
      <c r="AI61" s="62"/>
      <c r="AJ61" s="468">
        <f>'3a. OM_AG-i'!I61</f>
        <v>0</v>
      </c>
      <c r="AK61" s="62">
        <f t="shared" si="9"/>
        <v>0</v>
      </c>
      <c r="AL61" s="62">
        <f t="shared" si="10"/>
        <v>0</v>
      </c>
    </row>
    <row r="62" spans="1:38" x14ac:dyDescent="0.3">
      <c r="A62" s="466"/>
      <c r="B62" s="474" t="s">
        <v>524</v>
      </c>
      <c r="C62" s="474"/>
      <c r="D62" s="669"/>
      <c r="E62" s="669"/>
      <c r="F62" s="669"/>
      <c r="G62" s="669"/>
      <c r="H62" s="669"/>
      <c r="I62" s="669"/>
      <c r="J62" s="669"/>
      <c r="K62" s="669"/>
      <c r="L62" s="669"/>
      <c r="M62" s="669"/>
      <c r="N62" s="669"/>
      <c r="O62" s="669"/>
      <c r="P62" s="669"/>
      <c r="Q62" s="669"/>
      <c r="R62" s="669"/>
      <c r="S62" s="669"/>
      <c r="T62" s="669"/>
      <c r="U62" s="669"/>
      <c r="V62" s="669"/>
      <c r="W62" s="669"/>
      <c r="X62" s="669"/>
      <c r="Y62" s="669"/>
      <c r="Z62" s="669"/>
      <c r="AA62" s="669"/>
      <c r="AB62" s="669"/>
      <c r="AC62" s="669"/>
      <c r="AD62" s="669"/>
      <c r="AE62" s="669"/>
      <c r="AF62" s="669"/>
      <c r="AG62" s="669"/>
      <c r="AH62" s="669"/>
      <c r="AI62" s="62"/>
      <c r="AJ62" s="62"/>
      <c r="AK62" s="62">
        <f t="shared" si="9"/>
        <v>0</v>
      </c>
      <c r="AL62" s="62">
        <f t="shared" si="10"/>
        <v>0</v>
      </c>
    </row>
    <row r="63" spans="1:38" x14ac:dyDescent="0.3">
      <c r="A63" s="461"/>
      <c r="B63" s="474"/>
      <c r="C63" s="474"/>
      <c r="D63" s="669"/>
      <c r="E63" s="669"/>
      <c r="F63" s="669"/>
      <c r="G63" s="669"/>
      <c r="H63" s="669"/>
      <c r="I63" s="669"/>
      <c r="J63" s="669"/>
      <c r="K63" s="669"/>
      <c r="L63" s="669"/>
      <c r="M63" s="669"/>
      <c r="N63" s="669"/>
      <c r="O63" s="669"/>
      <c r="P63" s="669"/>
      <c r="Q63" s="669"/>
      <c r="R63" s="669"/>
      <c r="S63" s="669"/>
      <c r="T63" s="669"/>
      <c r="U63" s="669"/>
      <c r="V63" s="669"/>
      <c r="W63" s="669"/>
      <c r="X63" s="669"/>
      <c r="Y63" s="669"/>
      <c r="Z63" s="669"/>
      <c r="AA63" s="669"/>
      <c r="AB63" s="669"/>
      <c r="AC63" s="669"/>
      <c r="AD63" s="669"/>
      <c r="AE63" s="669"/>
      <c r="AF63" s="669"/>
      <c r="AG63" s="669"/>
      <c r="AH63" s="669"/>
      <c r="AI63" s="62"/>
      <c r="AJ63" s="62"/>
      <c r="AK63" s="62"/>
      <c r="AL63" s="62"/>
    </row>
    <row r="64" spans="1:38" x14ac:dyDescent="0.3">
      <c r="A64" s="461"/>
      <c r="B64" s="464" t="s">
        <v>565</v>
      </c>
      <c r="C64" s="464"/>
      <c r="D64" s="669"/>
      <c r="E64" s="669"/>
      <c r="F64" s="669"/>
      <c r="G64" s="669"/>
      <c r="H64" s="669"/>
      <c r="I64" s="669"/>
      <c r="J64" s="669"/>
      <c r="K64" s="669"/>
      <c r="L64" s="669"/>
      <c r="M64" s="669"/>
      <c r="N64" s="669"/>
      <c r="O64" s="669"/>
      <c r="P64" s="669"/>
      <c r="Q64" s="669"/>
      <c r="R64" s="669"/>
      <c r="S64" s="669"/>
      <c r="T64" s="669"/>
      <c r="U64" s="669"/>
      <c r="V64" s="669"/>
      <c r="W64" s="669"/>
      <c r="X64" s="669"/>
      <c r="Y64" s="669"/>
      <c r="Z64" s="669"/>
      <c r="AA64" s="669"/>
      <c r="AB64" s="669"/>
      <c r="AC64" s="669"/>
      <c r="AD64" s="669"/>
      <c r="AE64" s="669"/>
      <c r="AF64" s="669"/>
      <c r="AG64" s="669"/>
      <c r="AH64" s="669"/>
      <c r="AI64" s="62"/>
      <c r="AJ64" s="62"/>
      <c r="AK64" s="62"/>
      <c r="AL64" s="62"/>
    </row>
    <row r="65" spans="1:38" x14ac:dyDescent="0.3">
      <c r="A65" s="461">
        <v>541</v>
      </c>
      <c r="B65" s="461" t="s">
        <v>593</v>
      </c>
      <c r="C65" s="461"/>
      <c r="D65" s="669"/>
      <c r="E65" s="669"/>
      <c r="F65" s="669"/>
      <c r="G65" s="669"/>
      <c r="H65" s="669"/>
      <c r="I65" s="669"/>
      <c r="J65" s="669"/>
      <c r="K65" s="669"/>
      <c r="L65" s="669"/>
      <c r="M65" s="669"/>
      <c r="N65" s="669"/>
      <c r="O65" s="669"/>
      <c r="P65" s="669"/>
      <c r="Q65" s="669"/>
      <c r="R65" s="669"/>
      <c r="S65" s="669"/>
      <c r="T65" s="669"/>
      <c r="U65" s="669"/>
      <c r="V65" s="669"/>
      <c r="W65" s="669"/>
      <c r="X65" s="669"/>
      <c r="Y65" s="669"/>
      <c r="Z65" s="669"/>
      <c r="AA65" s="669"/>
      <c r="AB65" s="669"/>
      <c r="AC65" s="669"/>
      <c r="AD65" s="669"/>
      <c r="AE65" s="669"/>
      <c r="AF65" s="669"/>
      <c r="AG65" s="669"/>
      <c r="AH65" s="669"/>
      <c r="AI65" s="62"/>
      <c r="AJ65" s="468">
        <f>'3a. OM_AG-i'!I65</f>
        <v>0</v>
      </c>
      <c r="AK65" s="62">
        <f t="shared" ref="AK65:AK70" si="11">SUM(F65:K65,L65,N65:W65,Y65:Z65,AA65:AA65,AC65:AE65,AG65:AH65)</f>
        <v>0</v>
      </c>
      <c r="AL65" s="62">
        <f t="shared" ref="AL65:AL70" si="12">AJ65-AK65</f>
        <v>0</v>
      </c>
    </row>
    <row r="66" spans="1:38" x14ac:dyDescent="0.3">
      <c r="A66" s="461">
        <v>542</v>
      </c>
      <c r="B66" s="461" t="s">
        <v>569</v>
      </c>
      <c r="C66" s="461"/>
      <c r="D66" s="669"/>
      <c r="E66" s="669"/>
      <c r="F66" s="669"/>
      <c r="G66" s="669"/>
      <c r="H66" s="669"/>
      <c r="I66" s="669"/>
      <c r="J66" s="669"/>
      <c r="K66" s="669"/>
      <c r="L66" s="669"/>
      <c r="M66" s="669"/>
      <c r="N66" s="669"/>
      <c r="O66" s="669"/>
      <c r="P66" s="669"/>
      <c r="Q66" s="669"/>
      <c r="R66" s="669"/>
      <c r="S66" s="669"/>
      <c r="T66" s="669"/>
      <c r="U66" s="669"/>
      <c r="V66" s="669"/>
      <c r="W66" s="669"/>
      <c r="X66" s="669"/>
      <c r="Y66" s="669"/>
      <c r="Z66" s="669"/>
      <c r="AA66" s="669"/>
      <c r="AB66" s="669"/>
      <c r="AC66" s="669"/>
      <c r="AD66" s="669"/>
      <c r="AE66" s="669"/>
      <c r="AF66" s="669"/>
      <c r="AG66" s="669"/>
      <c r="AH66" s="669"/>
      <c r="AI66" s="62"/>
      <c r="AJ66" s="468">
        <f>'3a. OM_AG-i'!I66</f>
        <v>0</v>
      </c>
      <c r="AK66" s="62">
        <f t="shared" si="11"/>
        <v>0</v>
      </c>
      <c r="AL66" s="62">
        <f t="shared" si="12"/>
        <v>0</v>
      </c>
    </row>
    <row r="67" spans="1:38" x14ac:dyDescent="0.3">
      <c r="A67" s="461">
        <v>543</v>
      </c>
      <c r="B67" s="466" t="s">
        <v>610</v>
      </c>
      <c r="C67" s="466"/>
      <c r="D67" s="669"/>
      <c r="E67" s="669"/>
      <c r="F67" s="669"/>
      <c r="G67" s="669"/>
      <c r="H67" s="669"/>
      <c r="I67" s="669"/>
      <c r="J67" s="669"/>
      <c r="K67" s="669"/>
      <c r="L67" s="669"/>
      <c r="M67" s="669"/>
      <c r="N67" s="669"/>
      <c r="O67" s="669"/>
      <c r="P67" s="669"/>
      <c r="Q67" s="669"/>
      <c r="R67" s="669"/>
      <c r="S67" s="669"/>
      <c r="T67" s="669"/>
      <c r="U67" s="669"/>
      <c r="V67" s="669"/>
      <c r="W67" s="669"/>
      <c r="X67" s="669"/>
      <c r="Y67" s="669"/>
      <c r="Z67" s="669"/>
      <c r="AA67" s="669"/>
      <c r="AB67" s="669"/>
      <c r="AC67" s="669"/>
      <c r="AD67" s="669"/>
      <c r="AE67" s="669"/>
      <c r="AF67" s="669"/>
      <c r="AG67" s="669"/>
      <c r="AH67" s="669"/>
      <c r="AI67" s="62"/>
      <c r="AJ67" s="468">
        <f>'3a. OM_AG-i'!I67</f>
        <v>0</v>
      </c>
      <c r="AK67" s="62">
        <f t="shared" si="11"/>
        <v>0</v>
      </c>
      <c r="AL67" s="62">
        <f t="shared" si="12"/>
        <v>0</v>
      </c>
    </row>
    <row r="68" spans="1:38" x14ac:dyDescent="0.3">
      <c r="A68" s="461">
        <v>544</v>
      </c>
      <c r="B68" s="461" t="s">
        <v>573</v>
      </c>
      <c r="C68" s="461"/>
      <c r="D68" s="669"/>
      <c r="E68" s="669"/>
      <c r="F68" s="669"/>
      <c r="G68" s="669"/>
      <c r="H68" s="669"/>
      <c r="I68" s="669"/>
      <c r="J68" s="669"/>
      <c r="K68" s="669"/>
      <c r="L68" s="669"/>
      <c r="M68" s="669"/>
      <c r="N68" s="669"/>
      <c r="O68" s="669"/>
      <c r="P68" s="669"/>
      <c r="Q68" s="669"/>
      <c r="R68" s="669"/>
      <c r="S68" s="669"/>
      <c r="T68" s="669"/>
      <c r="U68" s="669"/>
      <c r="V68" s="669"/>
      <c r="W68" s="669"/>
      <c r="X68" s="669"/>
      <c r="Y68" s="669"/>
      <c r="Z68" s="669"/>
      <c r="AA68" s="669"/>
      <c r="AB68" s="669"/>
      <c r="AC68" s="669"/>
      <c r="AD68" s="669"/>
      <c r="AE68" s="669"/>
      <c r="AF68" s="669"/>
      <c r="AG68" s="669"/>
      <c r="AH68" s="669"/>
      <c r="AI68" s="62"/>
      <c r="AJ68" s="468">
        <f>'3a. OM_AG-i'!I68</f>
        <v>0</v>
      </c>
      <c r="AK68" s="62">
        <f t="shared" si="11"/>
        <v>0</v>
      </c>
      <c r="AL68" s="62">
        <f t="shared" si="12"/>
        <v>0</v>
      </c>
    </row>
    <row r="69" spans="1:38" x14ac:dyDescent="0.3">
      <c r="A69" s="461">
        <v>545</v>
      </c>
      <c r="B69" s="466" t="s">
        <v>1330</v>
      </c>
      <c r="C69" s="466"/>
      <c r="D69" s="669"/>
      <c r="E69" s="669"/>
      <c r="F69" s="669"/>
      <c r="G69" s="669"/>
      <c r="H69" s="669"/>
      <c r="I69" s="669"/>
      <c r="J69" s="669"/>
      <c r="K69" s="669"/>
      <c r="L69" s="669"/>
      <c r="M69" s="669"/>
      <c r="N69" s="669"/>
      <c r="O69" s="669"/>
      <c r="P69" s="669"/>
      <c r="Q69" s="669"/>
      <c r="R69" s="669"/>
      <c r="S69" s="669"/>
      <c r="T69" s="669"/>
      <c r="U69" s="669"/>
      <c r="V69" s="669"/>
      <c r="W69" s="669"/>
      <c r="X69" s="669"/>
      <c r="Y69" s="669"/>
      <c r="Z69" s="669"/>
      <c r="AA69" s="669"/>
      <c r="AB69" s="669"/>
      <c r="AC69" s="669"/>
      <c r="AD69" s="669"/>
      <c r="AE69" s="669"/>
      <c r="AF69" s="669"/>
      <c r="AG69" s="669"/>
      <c r="AH69" s="669"/>
      <c r="AI69" s="62"/>
      <c r="AJ69" s="468">
        <f>'3a. OM_AG-i'!I69</f>
        <v>0</v>
      </c>
      <c r="AK69" s="62">
        <f t="shared" si="11"/>
        <v>0</v>
      </c>
      <c r="AL69" s="62">
        <f t="shared" si="12"/>
        <v>0</v>
      </c>
    </row>
    <row r="70" spans="1:38" x14ac:dyDescent="0.3">
      <c r="A70" s="461"/>
      <c r="B70" s="474" t="s">
        <v>524</v>
      </c>
      <c r="C70" s="474"/>
      <c r="D70" s="669"/>
      <c r="E70" s="669"/>
      <c r="F70" s="669"/>
      <c r="G70" s="669"/>
      <c r="H70" s="669"/>
      <c r="I70" s="669"/>
      <c r="J70" s="669"/>
      <c r="K70" s="669"/>
      <c r="L70" s="669"/>
      <c r="M70" s="669"/>
      <c r="N70" s="669"/>
      <c r="O70" s="669"/>
      <c r="P70" s="669"/>
      <c r="Q70" s="669"/>
      <c r="R70" s="669"/>
      <c r="S70" s="669"/>
      <c r="T70" s="669"/>
      <c r="U70" s="669"/>
      <c r="V70" s="669"/>
      <c r="W70" s="669"/>
      <c r="X70" s="669"/>
      <c r="Y70" s="669"/>
      <c r="Z70" s="669"/>
      <c r="AA70" s="669"/>
      <c r="AB70" s="669"/>
      <c r="AC70" s="669"/>
      <c r="AD70" s="669"/>
      <c r="AE70" s="669"/>
      <c r="AF70" s="669"/>
      <c r="AG70" s="669"/>
      <c r="AH70" s="669"/>
      <c r="AI70" s="62"/>
      <c r="AJ70" s="62"/>
      <c r="AK70" s="62">
        <f t="shared" si="11"/>
        <v>0</v>
      </c>
      <c r="AL70" s="62">
        <f t="shared" si="12"/>
        <v>0</v>
      </c>
    </row>
    <row r="71" spans="1:38" x14ac:dyDescent="0.3">
      <c r="A71" s="461"/>
      <c r="B71" s="461"/>
      <c r="C71" s="461"/>
      <c r="D71" s="669"/>
      <c r="E71" s="669"/>
      <c r="F71" s="669"/>
      <c r="G71" s="669"/>
      <c r="H71" s="669"/>
      <c r="I71" s="669"/>
      <c r="J71" s="669"/>
      <c r="K71" s="669"/>
      <c r="L71" s="669"/>
      <c r="M71" s="669"/>
      <c r="N71" s="669"/>
      <c r="O71" s="669"/>
      <c r="P71" s="669"/>
      <c r="Q71" s="669"/>
      <c r="R71" s="669"/>
      <c r="S71" s="669"/>
      <c r="T71" s="669"/>
      <c r="U71" s="669"/>
      <c r="V71" s="669"/>
      <c r="W71" s="669"/>
      <c r="X71" s="669"/>
      <c r="Y71" s="669"/>
      <c r="Z71" s="669"/>
      <c r="AA71" s="669"/>
      <c r="AB71" s="669"/>
      <c r="AC71" s="669"/>
      <c r="AD71" s="669"/>
      <c r="AE71" s="669"/>
      <c r="AF71" s="669"/>
      <c r="AG71" s="669"/>
      <c r="AH71" s="669"/>
      <c r="AI71" s="62"/>
      <c r="AJ71" s="62"/>
      <c r="AK71" s="62"/>
      <c r="AL71" s="62"/>
    </row>
    <row r="72" spans="1:38" x14ac:dyDescent="0.3">
      <c r="A72" s="461"/>
      <c r="B72" s="477" t="s">
        <v>613</v>
      </c>
      <c r="C72" s="477"/>
      <c r="D72" s="669"/>
      <c r="E72" s="669"/>
      <c r="F72" s="669"/>
      <c r="G72" s="669"/>
      <c r="H72" s="669"/>
      <c r="I72" s="669"/>
      <c r="J72" s="669"/>
      <c r="K72" s="669"/>
      <c r="L72" s="669"/>
      <c r="M72" s="669"/>
      <c r="N72" s="669"/>
      <c r="O72" s="669"/>
      <c r="P72" s="669"/>
      <c r="Q72" s="669"/>
      <c r="R72" s="669"/>
      <c r="S72" s="669"/>
      <c r="T72" s="669"/>
      <c r="U72" s="669"/>
      <c r="V72" s="669"/>
      <c r="W72" s="669"/>
      <c r="X72" s="669"/>
      <c r="Y72" s="669"/>
      <c r="Z72" s="669"/>
      <c r="AA72" s="669"/>
      <c r="AB72" s="669"/>
      <c r="AC72" s="669"/>
      <c r="AD72" s="669"/>
      <c r="AE72" s="669"/>
      <c r="AF72" s="669"/>
      <c r="AG72" s="669"/>
      <c r="AH72" s="669"/>
      <c r="AI72" s="62"/>
      <c r="AJ72" s="62"/>
      <c r="AK72" s="62"/>
      <c r="AL72" s="62"/>
    </row>
    <row r="73" spans="1:38" x14ac:dyDescent="0.3">
      <c r="A73" s="461"/>
      <c r="B73" s="464" t="s">
        <v>549</v>
      </c>
      <c r="C73" s="464"/>
      <c r="D73" s="669"/>
      <c r="E73" s="669"/>
      <c r="F73" s="669"/>
      <c r="G73" s="669"/>
      <c r="H73" s="669"/>
      <c r="I73" s="669"/>
      <c r="J73" s="669"/>
      <c r="K73" s="669"/>
      <c r="L73" s="669"/>
      <c r="M73" s="669"/>
      <c r="N73" s="669"/>
      <c r="O73" s="669"/>
      <c r="P73" s="669"/>
      <c r="Q73" s="669"/>
      <c r="R73" s="669"/>
      <c r="S73" s="669"/>
      <c r="T73" s="669"/>
      <c r="U73" s="669"/>
      <c r="V73" s="669"/>
      <c r="W73" s="669"/>
      <c r="X73" s="669"/>
      <c r="Y73" s="669"/>
      <c r="Z73" s="669"/>
      <c r="AA73" s="669"/>
      <c r="AB73" s="669"/>
      <c r="AC73" s="669"/>
      <c r="AD73" s="669"/>
      <c r="AE73" s="669"/>
      <c r="AF73" s="669"/>
      <c r="AG73" s="669"/>
      <c r="AH73" s="669"/>
      <c r="AI73" s="62"/>
      <c r="AJ73" s="62"/>
      <c r="AK73" s="62"/>
      <c r="AL73" s="62"/>
    </row>
    <row r="74" spans="1:38" x14ac:dyDescent="0.3">
      <c r="A74" s="465">
        <v>546</v>
      </c>
      <c r="B74" s="461" t="s">
        <v>615</v>
      </c>
      <c r="C74" s="461"/>
      <c r="D74" s="669"/>
      <c r="E74" s="669"/>
      <c r="F74" s="669"/>
      <c r="G74" s="669"/>
      <c r="H74" s="669"/>
      <c r="I74" s="669"/>
      <c r="J74" s="669"/>
      <c r="K74" s="669"/>
      <c r="L74" s="669"/>
      <c r="M74" s="669"/>
      <c r="N74" s="669"/>
      <c r="O74" s="669"/>
      <c r="P74" s="669"/>
      <c r="Q74" s="669"/>
      <c r="R74" s="669"/>
      <c r="S74" s="669"/>
      <c r="T74" s="669"/>
      <c r="U74" s="669"/>
      <c r="V74" s="669"/>
      <c r="W74" s="669"/>
      <c r="X74" s="669"/>
      <c r="Y74" s="669"/>
      <c r="Z74" s="669"/>
      <c r="AA74" s="669"/>
      <c r="AB74" s="669"/>
      <c r="AC74" s="669"/>
      <c r="AD74" s="669"/>
      <c r="AE74" s="669"/>
      <c r="AF74" s="669"/>
      <c r="AG74" s="669"/>
      <c r="AH74" s="669"/>
      <c r="AI74" s="62"/>
      <c r="AJ74" s="468">
        <f>'3a. OM_AG-i'!I74</f>
        <v>0</v>
      </c>
      <c r="AK74" s="62">
        <f t="shared" ref="AK74" si="13">SUM(F74:K74,L74,N74:W74,Y74:Z74,AA74:AA74,AC74:AE74,AG74:AH74)</f>
        <v>0</v>
      </c>
      <c r="AL74" s="62">
        <f t="shared" ref="AL74:AL79" si="14">AJ74-AK74</f>
        <v>0</v>
      </c>
    </row>
    <row r="75" spans="1:38" x14ac:dyDescent="0.3">
      <c r="A75" s="465">
        <v>547</v>
      </c>
      <c r="B75" s="461" t="s">
        <v>617</v>
      </c>
      <c r="C75" s="461"/>
      <c r="D75" s="669"/>
      <c r="E75" s="669"/>
      <c r="F75" s="669"/>
      <c r="G75" s="669"/>
      <c r="H75" s="669"/>
      <c r="I75" s="669"/>
      <c r="J75" s="669"/>
      <c r="K75" s="669"/>
      <c r="L75" s="669"/>
      <c r="M75" s="669"/>
      <c r="N75" s="669"/>
      <c r="O75" s="669"/>
      <c r="P75" s="669"/>
      <c r="Q75" s="669"/>
      <c r="R75" s="669"/>
      <c r="S75" s="669"/>
      <c r="T75" s="669"/>
      <c r="U75" s="669"/>
      <c r="V75" s="669"/>
      <c r="W75" s="669"/>
      <c r="X75" s="669"/>
      <c r="Y75" s="669"/>
      <c r="Z75" s="669"/>
      <c r="AA75" s="669"/>
      <c r="AB75" s="669"/>
      <c r="AC75" s="669"/>
      <c r="AD75" s="669"/>
      <c r="AE75" s="669"/>
      <c r="AF75" s="669"/>
      <c r="AG75" s="669"/>
      <c r="AH75" s="669"/>
      <c r="AI75" s="62"/>
      <c r="AJ75" s="468">
        <f>'3a. OM_AG-i'!I75</f>
        <v>0</v>
      </c>
      <c r="AK75" s="62">
        <f t="shared" ref="AK75" si="15">SUM(F75:K75,L75,N75:W75,Y75:Z75,AA75:AA75,AC75:AE75,AG75:AH75)</f>
        <v>0</v>
      </c>
      <c r="AL75" s="62">
        <f t="shared" si="14"/>
        <v>0</v>
      </c>
    </row>
    <row r="76" spans="1:38" x14ac:dyDescent="0.3">
      <c r="A76" s="465">
        <v>548</v>
      </c>
      <c r="B76" s="461" t="s">
        <v>560</v>
      </c>
      <c r="C76" s="461"/>
      <c r="D76" s="669"/>
      <c r="E76" s="669"/>
      <c r="F76" s="669"/>
      <c r="G76" s="669"/>
      <c r="H76" s="669"/>
      <c r="I76" s="669"/>
      <c r="J76" s="669"/>
      <c r="K76" s="669"/>
      <c r="L76" s="669"/>
      <c r="M76" s="669"/>
      <c r="N76" s="669"/>
      <c r="O76" s="669"/>
      <c r="P76" s="669"/>
      <c r="Q76" s="669"/>
      <c r="R76" s="669"/>
      <c r="S76" s="669"/>
      <c r="T76" s="669"/>
      <c r="U76" s="669"/>
      <c r="V76" s="669"/>
      <c r="W76" s="669"/>
      <c r="X76" s="669"/>
      <c r="Y76" s="669"/>
      <c r="Z76" s="669"/>
      <c r="AA76" s="669"/>
      <c r="AB76" s="669"/>
      <c r="AC76" s="669"/>
      <c r="AD76" s="669"/>
      <c r="AE76" s="669"/>
      <c r="AF76" s="669"/>
      <c r="AG76" s="669"/>
      <c r="AH76" s="669"/>
      <c r="AI76" s="62"/>
      <c r="AJ76" s="468">
        <f>'3a. OM_AG-i'!I76</f>
        <v>0</v>
      </c>
      <c r="AK76" s="62">
        <f t="shared" ref="AK76:AK79" si="16">SUM(F76:K76,L76,N76:W76,Y76:Z76,AA76:AA76,AC76:AE76,AG76:AH76)</f>
        <v>0</v>
      </c>
      <c r="AL76" s="62">
        <f t="shared" si="14"/>
        <v>0</v>
      </c>
    </row>
    <row r="77" spans="1:38" x14ac:dyDescent="0.3">
      <c r="A77" s="465">
        <v>549</v>
      </c>
      <c r="B77" s="461" t="s">
        <v>619</v>
      </c>
      <c r="C77" s="461"/>
      <c r="D77" s="669"/>
      <c r="E77" s="669"/>
      <c r="F77" s="669"/>
      <c r="G77" s="669"/>
      <c r="H77" s="669"/>
      <c r="I77" s="669"/>
      <c r="J77" s="669"/>
      <c r="K77" s="669"/>
      <c r="L77" s="669"/>
      <c r="M77" s="669"/>
      <c r="N77" s="669"/>
      <c r="O77" s="669"/>
      <c r="P77" s="669"/>
      <c r="Q77" s="669"/>
      <c r="R77" s="669"/>
      <c r="S77" s="669"/>
      <c r="T77" s="669"/>
      <c r="U77" s="669"/>
      <c r="V77" s="669"/>
      <c r="W77" s="669"/>
      <c r="X77" s="669"/>
      <c r="Y77" s="669"/>
      <c r="Z77" s="669"/>
      <c r="AA77" s="669"/>
      <c r="AB77" s="669"/>
      <c r="AC77" s="669"/>
      <c r="AD77" s="669"/>
      <c r="AE77" s="669"/>
      <c r="AF77" s="669"/>
      <c r="AG77" s="669"/>
      <c r="AH77" s="669"/>
      <c r="AI77" s="62"/>
      <c r="AJ77" s="468">
        <f>'3a. OM_AG-i'!I77</f>
        <v>0</v>
      </c>
      <c r="AK77" s="62">
        <f t="shared" si="16"/>
        <v>0</v>
      </c>
      <c r="AL77" s="62">
        <f t="shared" si="14"/>
        <v>0</v>
      </c>
    </row>
    <row r="78" spans="1:38" x14ac:dyDescent="0.3">
      <c r="A78" s="465">
        <v>550</v>
      </c>
      <c r="B78" s="461" t="s">
        <v>564</v>
      </c>
      <c r="C78" s="461"/>
      <c r="D78" s="669"/>
      <c r="E78" s="669"/>
      <c r="F78" s="669"/>
      <c r="G78" s="669"/>
      <c r="H78" s="669"/>
      <c r="I78" s="669"/>
      <c r="J78" s="669"/>
      <c r="K78" s="669"/>
      <c r="L78" s="669"/>
      <c r="M78" s="669"/>
      <c r="N78" s="669"/>
      <c r="O78" s="669"/>
      <c r="P78" s="669"/>
      <c r="Q78" s="669"/>
      <c r="R78" s="669"/>
      <c r="S78" s="669"/>
      <c r="T78" s="669"/>
      <c r="U78" s="669"/>
      <c r="V78" s="669"/>
      <c r="W78" s="669"/>
      <c r="X78" s="669"/>
      <c r="Y78" s="669"/>
      <c r="Z78" s="669"/>
      <c r="AA78" s="669"/>
      <c r="AB78" s="669"/>
      <c r="AC78" s="669"/>
      <c r="AD78" s="669"/>
      <c r="AE78" s="669"/>
      <c r="AF78" s="669"/>
      <c r="AG78" s="669"/>
      <c r="AH78" s="669"/>
      <c r="AI78" s="62"/>
      <c r="AJ78" s="468">
        <f>'3a. OM_AG-i'!I78</f>
        <v>0</v>
      </c>
      <c r="AK78" s="62">
        <f t="shared" si="16"/>
        <v>0</v>
      </c>
      <c r="AL78" s="62">
        <f t="shared" si="14"/>
        <v>0</v>
      </c>
    </row>
    <row r="79" spans="1:38" x14ac:dyDescent="0.3">
      <c r="A79" s="461"/>
      <c r="B79" s="474" t="s">
        <v>524</v>
      </c>
      <c r="C79" s="474"/>
      <c r="D79" s="669"/>
      <c r="E79" s="669"/>
      <c r="F79" s="669"/>
      <c r="G79" s="669"/>
      <c r="H79" s="669"/>
      <c r="I79" s="669"/>
      <c r="J79" s="669"/>
      <c r="K79" s="669"/>
      <c r="L79" s="669"/>
      <c r="M79" s="669"/>
      <c r="N79" s="669"/>
      <c r="O79" s="669"/>
      <c r="P79" s="669"/>
      <c r="Q79" s="669"/>
      <c r="R79" s="669"/>
      <c r="S79" s="669"/>
      <c r="T79" s="669"/>
      <c r="U79" s="669"/>
      <c r="V79" s="669"/>
      <c r="W79" s="669"/>
      <c r="X79" s="669"/>
      <c r="Y79" s="669"/>
      <c r="Z79" s="669"/>
      <c r="AA79" s="669"/>
      <c r="AB79" s="669"/>
      <c r="AC79" s="669"/>
      <c r="AD79" s="669"/>
      <c r="AE79" s="669"/>
      <c r="AF79" s="669"/>
      <c r="AG79" s="669"/>
      <c r="AH79" s="669"/>
      <c r="AI79" s="62"/>
      <c r="AJ79" s="62">
        <f>SUM(AJ74:AJ78)</f>
        <v>0</v>
      </c>
      <c r="AK79" s="62">
        <f t="shared" si="16"/>
        <v>0</v>
      </c>
      <c r="AL79" s="62">
        <f t="shared" si="14"/>
        <v>0</v>
      </c>
    </row>
    <row r="80" spans="1:38" x14ac:dyDescent="0.3">
      <c r="A80" s="461"/>
      <c r="B80" s="461"/>
      <c r="C80" s="461"/>
      <c r="D80" s="669"/>
      <c r="E80" s="669"/>
      <c r="F80" s="669"/>
      <c r="G80" s="669"/>
      <c r="H80" s="669"/>
      <c r="I80" s="669"/>
      <c r="J80" s="669"/>
      <c r="K80" s="669"/>
      <c r="L80" s="669"/>
      <c r="M80" s="669"/>
      <c r="N80" s="669"/>
      <c r="O80" s="669"/>
      <c r="P80" s="669"/>
      <c r="Q80" s="669"/>
      <c r="R80" s="669"/>
      <c r="S80" s="669"/>
      <c r="T80" s="669"/>
      <c r="U80" s="669"/>
      <c r="V80" s="669"/>
      <c r="W80" s="669"/>
      <c r="X80" s="669"/>
      <c r="Y80" s="669"/>
      <c r="Z80" s="669"/>
      <c r="AA80" s="669"/>
      <c r="AB80" s="669"/>
      <c r="AC80" s="669"/>
      <c r="AD80" s="669"/>
      <c r="AE80" s="669"/>
      <c r="AF80" s="669"/>
      <c r="AG80" s="669"/>
      <c r="AH80" s="669"/>
      <c r="AI80" s="62"/>
      <c r="AJ80" s="62"/>
      <c r="AK80" s="62"/>
      <c r="AL80" s="62"/>
    </row>
    <row r="81" spans="1:38" x14ac:dyDescent="0.3">
      <c r="A81" s="461"/>
      <c r="B81" s="464" t="s">
        <v>565</v>
      </c>
      <c r="C81" s="464"/>
      <c r="D81" s="669"/>
      <c r="E81" s="669"/>
      <c r="F81" s="669"/>
      <c r="G81" s="669"/>
      <c r="H81" s="669"/>
      <c r="I81" s="669"/>
      <c r="J81" s="669"/>
      <c r="K81" s="669"/>
      <c r="L81" s="669"/>
      <c r="M81" s="669"/>
      <c r="N81" s="669"/>
      <c r="O81" s="669"/>
      <c r="P81" s="669"/>
      <c r="Q81" s="669"/>
      <c r="R81" s="669"/>
      <c r="S81" s="669"/>
      <c r="T81" s="669"/>
      <c r="U81" s="669"/>
      <c r="V81" s="669"/>
      <c r="W81" s="669"/>
      <c r="X81" s="669"/>
      <c r="Y81" s="669"/>
      <c r="Z81" s="669"/>
      <c r="AA81" s="669"/>
      <c r="AB81" s="669"/>
      <c r="AC81" s="669"/>
      <c r="AD81" s="669"/>
      <c r="AE81" s="669"/>
      <c r="AF81" s="669"/>
      <c r="AG81" s="669"/>
      <c r="AH81" s="669"/>
      <c r="AI81" s="62"/>
      <c r="AJ81" s="62"/>
      <c r="AK81" s="62"/>
      <c r="AL81" s="62"/>
    </row>
    <row r="82" spans="1:38" x14ac:dyDescent="0.3">
      <c r="A82" s="461">
        <v>551</v>
      </c>
      <c r="B82" s="461" t="s">
        <v>622</v>
      </c>
      <c r="C82" s="461"/>
      <c r="D82" s="669"/>
      <c r="E82" s="669"/>
      <c r="F82" s="669"/>
      <c r="G82" s="669"/>
      <c r="H82" s="669"/>
      <c r="I82" s="669"/>
      <c r="J82" s="669"/>
      <c r="K82" s="669"/>
      <c r="L82" s="669"/>
      <c r="M82" s="669"/>
      <c r="N82" s="669"/>
      <c r="O82" s="669"/>
      <c r="P82" s="669"/>
      <c r="Q82" s="669"/>
      <c r="R82" s="669"/>
      <c r="S82" s="669"/>
      <c r="T82" s="669"/>
      <c r="U82" s="669"/>
      <c r="V82" s="669"/>
      <c r="W82" s="669"/>
      <c r="X82" s="669"/>
      <c r="Y82" s="669"/>
      <c r="Z82" s="669"/>
      <c r="AA82" s="669"/>
      <c r="AB82" s="669"/>
      <c r="AC82" s="669"/>
      <c r="AD82" s="669"/>
      <c r="AE82" s="669"/>
      <c r="AF82" s="669"/>
      <c r="AG82" s="669"/>
      <c r="AH82" s="669"/>
      <c r="AI82" s="62"/>
      <c r="AJ82" s="468">
        <f>'3a. OM_AG-i'!I82</f>
        <v>0</v>
      </c>
      <c r="AK82" s="62">
        <f t="shared" ref="AK82:AK86" si="17">SUM(F82:K82,L82,N82:W82,Y82:Z82,AA82:AA82,AC82:AE82,AG82:AH82)</f>
        <v>0</v>
      </c>
      <c r="AL82" s="62">
        <f>AJ82-AK82</f>
        <v>0</v>
      </c>
    </row>
    <row r="83" spans="1:38" x14ac:dyDescent="0.3">
      <c r="A83" s="461">
        <v>552</v>
      </c>
      <c r="B83" s="466" t="s">
        <v>624</v>
      </c>
      <c r="C83" s="466"/>
      <c r="D83" s="669"/>
      <c r="E83" s="669"/>
      <c r="F83" s="669"/>
      <c r="G83" s="669"/>
      <c r="H83" s="669"/>
      <c r="I83" s="669"/>
      <c r="J83" s="669"/>
      <c r="K83" s="669"/>
      <c r="L83" s="669"/>
      <c r="M83" s="669"/>
      <c r="N83" s="669"/>
      <c r="O83" s="669"/>
      <c r="P83" s="669"/>
      <c r="Q83" s="669"/>
      <c r="R83" s="669"/>
      <c r="S83" s="669"/>
      <c r="T83" s="669"/>
      <c r="U83" s="669"/>
      <c r="V83" s="669"/>
      <c r="W83" s="669"/>
      <c r="X83" s="669"/>
      <c r="Y83" s="669"/>
      <c r="Z83" s="669"/>
      <c r="AA83" s="669"/>
      <c r="AB83" s="669"/>
      <c r="AC83" s="669"/>
      <c r="AD83" s="669"/>
      <c r="AE83" s="669"/>
      <c r="AF83" s="669"/>
      <c r="AG83" s="669"/>
      <c r="AH83" s="669"/>
      <c r="AI83" s="62"/>
      <c r="AJ83" s="468">
        <f>'3a. OM_AG-i'!I83</f>
        <v>0</v>
      </c>
      <c r="AK83" s="62">
        <f t="shared" si="17"/>
        <v>0</v>
      </c>
      <c r="AL83" s="62">
        <f>AJ83-AK83</f>
        <v>0</v>
      </c>
    </row>
    <row r="84" spans="1:38" x14ac:dyDescent="0.3">
      <c r="A84" s="461">
        <v>553</v>
      </c>
      <c r="B84" s="461" t="s">
        <v>626</v>
      </c>
      <c r="C84" s="461"/>
      <c r="D84" s="669"/>
      <c r="E84" s="669"/>
      <c r="F84" s="669"/>
      <c r="G84" s="669"/>
      <c r="H84" s="669"/>
      <c r="I84" s="669"/>
      <c r="J84" s="669"/>
      <c r="K84" s="669"/>
      <c r="L84" s="669"/>
      <c r="M84" s="669"/>
      <c r="N84" s="669"/>
      <c r="O84" s="669"/>
      <c r="P84" s="669"/>
      <c r="Q84" s="669"/>
      <c r="R84" s="669"/>
      <c r="S84" s="669"/>
      <c r="T84" s="669"/>
      <c r="U84" s="669"/>
      <c r="V84" s="669"/>
      <c r="W84" s="669"/>
      <c r="X84" s="669"/>
      <c r="Y84" s="669"/>
      <c r="Z84" s="669"/>
      <c r="AA84" s="669"/>
      <c r="AB84" s="669"/>
      <c r="AC84" s="669"/>
      <c r="AD84" s="669"/>
      <c r="AE84" s="669"/>
      <c r="AF84" s="669"/>
      <c r="AG84" s="669"/>
      <c r="AH84" s="669"/>
      <c r="AI84" s="62"/>
      <c r="AJ84" s="468">
        <f>'3a. OM_AG-i'!I84</f>
        <v>0</v>
      </c>
      <c r="AK84" s="62">
        <f t="shared" si="17"/>
        <v>0</v>
      </c>
      <c r="AL84" s="62">
        <f>AJ84-AK84</f>
        <v>0</v>
      </c>
    </row>
    <row r="85" spans="1:38" x14ac:dyDescent="0.3">
      <c r="A85" s="461">
        <v>554</v>
      </c>
      <c r="B85" s="461" t="s">
        <v>628</v>
      </c>
      <c r="C85" s="461"/>
      <c r="D85" s="669"/>
      <c r="E85" s="669"/>
      <c r="F85" s="669"/>
      <c r="G85" s="669"/>
      <c r="H85" s="669"/>
      <c r="I85" s="669"/>
      <c r="J85" s="669"/>
      <c r="K85" s="669"/>
      <c r="L85" s="669"/>
      <c r="M85" s="669"/>
      <c r="N85" s="669"/>
      <c r="O85" s="669"/>
      <c r="P85" s="669"/>
      <c r="Q85" s="669"/>
      <c r="R85" s="669"/>
      <c r="S85" s="669"/>
      <c r="T85" s="669"/>
      <c r="U85" s="669"/>
      <c r="V85" s="669"/>
      <c r="W85" s="669"/>
      <c r="X85" s="669"/>
      <c r="Y85" s="669"/>
      <c r="Z85" s="669"/>
      <c r="AA85" s="669"/>
      <c r="AB85" s="669"/>
      <c r="AC85" s="669"/>
      <c r="AD85" s="669"/>
      <c r="AE85" s="669"/>
      <c r="AF85" s="669"/>
      <c r="AG85" s="669"/>
      <c r="AH85" s="669"/>
      <c r="AI85" s="62"/>
      <c r="AJ85" s="468">
        <f>'3a. OM_AG-i'!I85</f>
        <v>0</v>
      </c>
      <c r="AK85" s="62">
        <f t="shared" si="17"/>
        <v>0</v>
      </c>
      <c r="AL85" s="62">
        <f>AJ85-AK85</f>
        <v>0</v>
      </c>
    </row>
    <row r="86" spans="1:38" x14ac:dyDescent="0.3">
      <c r="A86" s="461"/>
      <c r="B86" s="474" t="s">
        <v>524</v>
      </c>
      <c r="C86" s="474"/>
      <c r="D86" s="669"/>
      <c r="E86" s="669"/>
      <c r="F86" s="669"/>
      <c r="G86" s="669"/>
      <c r="H86" s="669"/>
      <c r="I86" s="669"/>
      <c r="J86" s="669"/>
      <c r="K86" s="669"/>
      <c r="L86" s="669"/>
      <c r="M86" s="669"/>
      <c r="N86" s="669"/>
      <c r="O86" s="669"/>
      <c r="P86" s="669"/>
      <c r="Q86" s="669"/>
      <c r="R86" s="669"/>
      <c r="S86" s="669"/>
      <c r="T86" s="669"/>
      <c r="U86" s="669"/>
      <c r="V86" s="669"/>
      <c r="W86" s="669"/>
      <c r="X86" s="669"/>
      <c r="Y86" s="669"/>
      <c r="Z86" s="669"/>
      <c r="AA86" s="669"/>
      <c r="AB86" s="669"/>
      <c r="AC86" s="669"/>
      <c r="AD86" s="669"/>
      <c r="AE86" s="669"/>
      <c r="AF86" s="669"/>
      <c r="AG86" s="669"/>
      <c r="AH86" s="669"/>
      <c r="AI86" s="62"/>
      <c r="AJ86" s="62">
        <f>SUM(AJ82:AJ85)</f>
        <v>0</v>
      </c>
      <c r="AK86" s="62">
        <f t="shared" si="17"/>
        <v>0</v>
      </c>
      <c r="AL86" s="62">
        <f>AJ86-AK86</f>
        <v>0</v>
      </c>
    </row>
    <row r="87" spans="1:38" x14ac:dyDescent="0.3">
      <c r="A87" s="461"/>
      <c r="B87" s="461"/>
      <c r="C87" s="461"/>
      <c r="D87" s="669"/>
      <c r="E87" s="669"/>
      <c r="F87" s="669"/>
      <c r="G87" s="669"/>
      <c r="H87" s="669"/>
      <c r="I87" s="669"/>
      <c r="J87" s="669"/>
      <c r="K87" s="669"/>
      <c r="L87" s="669"/>
      <c r="M87" s="669"/>
      <c r="N87" s="669"/>
      <c r="O87" s="669"/>
      <c r="P87" s="669"/>
      <c r="Q87" s="669"/>
      <c r="R87" s="669"/>
      <c r="S87" s="669"/>
      <c r="T87" s="669"/>
      <c r="U87" s="669"/>
      <c r="V87" s="669"/>
      <c r="W87" s="669"/>
      <c r="X87" s="669"/>
      <c r="Y87" s="669"/>
      <c r="Z87" s="669"/>
      <c r="AA87" s="669"/>
      <c r="AB87" s="669"/>
      <c r="AC87" s="669"/>
      <c r="AD87" s="669"/>
      <c r="AE87" s="669"/>
      <c r="AF87" s="669"/>
      <c r="AG87" s="669"/>
      <c r="AH87" s="669"/>
      <c r="AI87" s="62"/>
      <c r="AJ87" s="62"/>
      <c r="AK87" s="62"/>
      <c r="AL87" s="62"/>
    </row>
    <row r="88" spans="1:38" x14ac:dyDescent="0.3">
      <c r="A88" s="461"/>
      <c r="B88" s="477" t="s">
        <v>629</v>
      </c>
      <c r="C88" s="477"/>
      <c r="D88" s="669"/>
      <c r="E88" s="669"/>
      <c r="F88" s="669"/>
      <c r="G88" s="669"/>
      <c r="H88" s="669"/>
      <c r="I88" s="669"/>
      <c r="J88" s="669"/>
      <c r="K88" s="669"/>
      <c r="L88" s="669"/>
      <c r="M88" s="669"/>
      <c r="N88" s="669"/>
      <c r="O88" s="669"/>
      <c r="P88" s="669"/>
      <c r="Q88" s="669"/>
      <c r="R88" s="669"/>
      <c r="S88" s="669"/>
      <c r="T88" s="669"/>
      <c r="U88" s="669"/>
      <c r="V88" s="669"/>
      <c r="W88" s="669"/>
      <c r="X88" s="669"/>
      <c r="Y88" s="669"/>
      <c r="Z88" s="669"/>
      <c r="AA88" s="669"/>
      <c r="AB88" s="669"/>
      <c r="AC88" s="669"/>
      <c r="AD88" s="669"/>
      <c r="AE88" s="669"/>
      <c r="AF88" s="669"/>
      <c r="AG88" s="669"/>
      <c r="AH88" s="669"/>
      <c r="AI88" s="62"/>
      <c r="AJ88" s="62"/>
      <c r="AK88" s="62"/>
      <c r="AL88" s="62"/>
    </row>
    <row r="89" spans="1:38" x14ac:dyDescent="0.3">
      <c r="A89" s="465">
        <v>555</v>
      </c>
      <c r="B89" s="461" t="s">
        <v>902</v>
      </c>
      <c r="C89" s="461"/>
      <c r="D89" s="669"/>
      <c r="E89" s="669"/>
      <c r="F89" s="669"/>
      <c r="G89" s="669"/>
      <c r="H89" s="669"/>
      <c r="I89" s="669"/>
      <c r="J89" s="669"/>
      <c r="K89" s="669"/>
      <c r="L89" s="669"/>
      <c r="M89" s="669"/>
      <c r="N89" s="669"/>
      <c r="O89" s="669"/>
      <c r="P89" s="669"/>
      <c r="Q89" s="669"/>
      <c r="R89" s="669"/>
      <c r="S89" s="669"/>
      <c r="T89" s="669"/>
      <c r="U89" s="669"/>
      <c r="V89" s="669"/>
      <c r="W89" s="669"/>
      <c r="X89" s="669"/>
      <c r="Y89" s="669"/>
      <c r="Z89" s="669"/>
      <c r="AA89" s="669"/>
      <c r="AB89" s="669"/>
      <c r="AC89" s="669"/>
      <c r="AD89" s="669"/>
      <c r="AE89" s="669"/>
      <c r="AF89" s="669"/>
      <c r="AG89" s="669"/>
      <c r="AH89" s="669"/>
      <c r="AI89" s="62"/>
      <c r="AJ89" s="468"/>
      <c r="AK89" s="62"/>
      <c r="AL89" s="62"/>
    </row>
    <row r="90" spans="1:38" x14ac:dyDescent="0.3">
      <c r="A90" s="465"/>
      <c r="B90" s="461" t="s">
        <v>903</v>
      </c>
      <c r="C90" s="461"/>
      <c r="D90" s="669"/>
      <c r="E90" s="669"/>
      <c r="F90" s="669"/>
      <c r="G90" s="669"/>
      <c r="H90" s="669"/>
      <c r="I90" s="669"/>
      <c r="J90" s="669"/>
      <c r="K90" s="669"/>
      <c r="L90" s="669"/>
      <c r="M90" s="669"/>
      <c r="N90" s="669"/>
      <c r="O90" s="669"/>
      <c r="P90" s="669"/>
      <c r="Q90" s="669"/>
      <c r="R90" s="669"/>
      <c r="S90" s="669"/>
      <c r="T90" s="669"/>
      <c r="U90" s="669"/>
      <c r="V90" s="669"/>
      <c r="W90" s="669"/>
      <c r="X90" s="669"/>
      <c r="Y90" s="669"/>
      <c r="Z90" s="669"/>
      <c r="AA90" s="669"/>
      <c r="AB90" s="669"/>
      <c r="AC90" s="669"/>
      <c r="AD90" s="669"/>
      <c r="AE90" s="669"/>
      <c r="AF90" s="669"/>
      <c r="AG90" s="669"/>
      <c r="AH90" s="669"/>
      <c r="AI90" s="62"/>
      <c r="AJ90" s="468"/>
      <c r="AK90" s="62"/>
      <c r="AL90" s="62"/>
    </row>
    <row r="91" spans="1:38" x14ac:dyDescent="0.3">
      <c r="A91" s="465"/>
      <c r="B91" s="461" t="s">
        <v>904</v>
      </c>
      <c r="C91" s="461"/>
      <c r="D91" s="669"/>
      <c r="E91" s="669"/>
      <c r="F91" s="669"/>
      <c r="G91" s="669"/>
      <c r="H91" s="669"/>
      <c r="I91" s="669"/>
      <c r="J91" s="669"/>
      <c r="K91" s="669"/>
      <c r="L91" s="669"/>
      <c r="M91" s="669"/>
      <c r="N91" s="669"/>
      <c r="O91" s="669"/>
      <c r="P91" s="669"/>
      <c r="Q91" s="669"/>
      <c r="R91" s="669"/>
      <c r="S91" s="669"/>
      <c r="T91" s="669"/>
      <c r="U91" s="669"/>
      <c r="V91" s="669"/>
      <c r="W91" s="669"/>
      <c r="X91" s="669"/>
      <c r="Y91" s="669"/>
      <c r="Z91" s="669"/>
      <c r="AA91" s="669"/>
      <c r="AB91" s="669"/>
      <c r="AC91" s="669"/>
      <c r="AD91" s="669"/>
      <c r="AE91" s="669"/>
      <c r="AF91" s="669"/>
      <c r="AG91" s="669"/>
      <c r="AH91" s="669"/>
      <c r="AI91" s="62"/>
      <c r="AJ91" s="468"/>
      <c r="AK91" s="62"/>
      <c r="AL91" s="62"/>
    </row>
    <row r="92" spans="1:38" x14ac:dyDescent="0.3">
      <c r="A92" s="465"/>
      <c r="B92" s="461" t="s">
        <v>905</v>
      </c>
      <c r="C92" s="461"/>
      <c r="D92" s="669"/>
      <c r="E92" s="669"/>
      <c r="F92" s="669"/>
      <c r="G92" s="669"/>
      <c r="H92" s="669"/>
      <c r="I92" s="669"/>
      <c r="J92" s="669"/>
      <c r="K92" s="669"/>
      <c r="L92" s="669"/>
      <c r="M92" s="669"/>
      <c r="N92" s="669"/>
      <c r="O92" s="669"/>
      <c r="P92" s="669"/>
      <c r="Q92" s="669"/>
      <c r="R92" s="669"/>
      <c r="S92" s="669"/>
      <c r="T92" s="669"/>
      <c r="U92" s="669"/>
      <c r="V92" s="669"/>
      <c r="W92" s="669"/>
      <c r="X92" s="669"/>
      <c r="Y92" s="669"/>
      <c r="Z92" s="669"/>
      <c r="AA92" s="669"/>
      <c r="AB92" s="669"/>
      <c r="AC92" s="669"/>
      <c r="AD92" s="669"/>
      <c r="AE92" s="669"/>
      <c r="AF92" s="669"/>
      <c r="AG92" s="669"/>
      <c r="AH92" s="669"/>
      <c r="AI92" s="62"/>
      <c r="AJ92" s="468"/>
      <c r="AK92" s="62"/>
      <c r="AL92" s="62"/>
    </row>
    <row r="93" spans="1:38" x14ac:dyDescent="0.3">
      <c r="A93" s="465">
        <v>555</v>
      </c>
      <c r="B93" s="474" t="s">
        <v>524</v>
      </c>
      <c r="C93" s="474"/>
      <c r="D93" s="669"/>
      <c r="E93" s="669"/>
      <c r="F93" s="669"/>
      <c r="G93" s="669"/>
      <c r="H93" s="669"/>
      <c r="I93" s="669"/>
      <c r="J93" s="669"/>
      <c r="K93" s="669"/>
      <c r="L93" s="669"/>
      <c r="M93" s="669"/>
      <c r="N93" s="669"/>
      <c r="O93" s="669"/>
      <c r="P93" s="669"/>
      <c r="Q93" s="669"/>
      <c r="R93" s="669"/>
      <c r="S93" s="669"/>
      <c r="T93" s="669"/>
      <c r="U93" s="669"/>
      <c r="V93" s="669"/>
      <c r="W93" s="669"/>
      <c r="X93" s="669"/>
      <c r="Y93" s="669"/>
      <c r="Z93" s="669"/>
      <c r="AA93" s="669"/>
      <c r="AB93" s="669"/>
      <c r="AC93" s="669"/>
      <c r="AD93" s="669"/>
      <c r="AE93" s="669"/>
      <c r="AF93" s="669"/>
      <c r="AG93" s="669"/>
      <c r="AH93" s="669"/>
      <c r="AI93" s="62"/>
      <c r="AJ93" s="468">
        <f>'3a. OM_AG-i'!I93</f>
        <v>0</v>
      </c>
      <c r="AK93" s="62">
        <f t="shared" ref="AK93:AK97" si="18">SUM(F93:K93,L93,N93:W93,Y93:Z93,AA93:AA93,AC93:AE93,AG93:AH93)</f>
        <v>0</v>
      </c>
      <c r="AL93" s="62">
        <f>AJ93-AK93</f>
        <v>0</v>
      </c>
    </row>
    <row r="94" spans="1:38" x14ac:dyDescent="0.3">
      <c r="A94" s="465">
        <v>556</v>
      </c>
      <c r="B94" s="461" t="s">
        <v>636</v>
      </c>
      <c r="C94" s="461"/>
      <c r="D94" s="669"/>
      <c r="E94" s="669"/>
      <c r="F94" s="669"/>
      <c r="G94" s="669"/>
      <c r="H94" s="669"/>
      <c r="I94" s="669"/>
      <c r="J94" s="669"/>
      <c r="K94" s="669"/>
      <c r="L94" s="669"/>
      <c r="M94" s="669"/>
      <c r="N94" s="669"/>
      <c r="O94" s="669"/>
      <c r="P94" s="669"/>
      <c r="Q94" s="669"/>
      <c r="R94" s="669"/>
      <c r="S94" s="669"/>
      <c r="T94" s="669"/>
      <c r="U94" s="669"/>
      <c r="V94" s="669"/>
      <c r="W94" s="669"/>
      <c r="X94" s="669"/>
      <c r="Y94" s="669"/>
      <c r="Z94" s="669"/>
      <c r="AA94" s="669"/>
      <c r="AB94" s="669"/>
      <c r="AC94" s="669"/>
      <c r="AD94" s="669"/>
      <c r="AE94" s="669"/>
      <c r="AF94" s="669"/>
      <c r="AG94" s="669"/>
      <c r="AH94" s="669"/>
      <c r="AI94" s="62"/>
      <c r="AJ94" s="468">
        <f>'3a. OM_AG-i'!I94</f>
        <v>0</v>
      </c>
      <c r="AK94" s="62">
        <f t="shared" si="18"/>
        <v>0</v>
      </c>
      <c r="AL94" s="62">
        <f>AJ94-AK94</f>
        <v>0</v>
      </c>
    </row>
    <row r="95" spans="1:38" x14ac:dyDescent="0.3">
      <c r="A95" s="465">
        <v>557</v>
      </c>
      <c r="B95" s="465" t="s">
        <v>1180</v>
      </c>
      <c r="C95" s="461"/>
      <c r="D95" s="669"/>
      <c r="E95" s="669"/>
      <c r="F95" s="669"/>
      <c r="G95" s="669"/>
      <c r="H95" s="669"/>
      <c r="I95" s="669"/>
      <c r="J95" s="669"/>
      <c r="K95" s="669"/>
      <c r="L95" s="669"/>
      <c r="M95" s="669"/>
      <c r="N95" s="669"/>
      <c r="O95" s="669"/>
      <c r="P95" s="669"/>
      <c r="Q95" s="669"/>
      <c r="R95" s="669"/>
      <c r="S95" s="669"/>
      <c r="T95" s="669"/>
      <c r="U95" s="669"/>
      <c r="V95" s="669"/>
      <c r="W95" s="669"/>
      <c r="X95" s="669"/>
      <c r="Y95" s="669"/>
      <c r="Z95" s="669"/>
      <c r="AA95" s="669"/>
      <c r="AB95" s="669"/>
      <c r="AC95" s="669"/>
      <c r="AD95" s="669"/>
      <c r="AE95" s="669"/>
      <c r="AF95" s="669"/>
      <c r="AG95" s="669"/>
      <c r="AH95" s="669"/>
      <c r="AI95" s="62"/>
      <c r="AJ95" s="468">
        <f>'3a. OM_AG-i'!I95</f>
        <v>0</v>
      </c>
      <c r="AK95" s="62">
        <f t="shared" si="18"/>
        <v>0</v>
      </c>
      <c r="AL95" s="62">
        <f>AJ95-AK95</f>
        <v>0</v>
      </c>
    </row>
    <row r="96" spans="1:38" x14ac:dyDescent="0.3">
      <c r="A96" s="465">
        <v>557</v>
      </c>
      <c r="B96" s="465" t="s">
        <v>1181</v>
      </c>
      <c r="C96" s="461"/>
      <c r="D96" s="669"/>
      <c r="E96" s="669"/>
      <c r="F96" s="669"/>
      <c r="G96" s="669"/>
      <c r="H96" s="669"/>
      <c r="I96" s="669"/>
      <c r="J96" s="669"/>
      <c r="K96" s="669"/>
      <c r="L96" s="669"/>
      <c r="M96" s="669"/>
      <c r="N96" s="669"/>
      <c r="O96" s="669"/>
      <c r="P96" s="669"/>
      <c r="Q96" s="669"/>
      <c r="R96" s="669"/>
      <c r="S96" s="669"/>
      <c r="T96" s="669"/>
      <c r="U96" s="669"/>
      <c r="V96" s="669"/>
      <c r="W96" s="669"/>
      <c r="X96" s="669"/>
      <c r="Y96" s="669"/>
      <c r="Z96" s="669"/>
      <c r="AA96" s="669"/>
      <c r="AB96" s="669"/>
      <c r="AC96" s="669"/>
      <c r="AD96" s="669"/>
      <c r="AE96" s="669"/>
      <c r="AF96" s="669"/>
      <c r="AG96" s="669"/>
      <c r="AH96" s="669"/>
      <c r="AI96" s="62"/>
      <c r="AJ96" s="468">
        <f>'3a. OM_AG-i'!I96</f>
        <v>0</v>
      </c>
      <c r="AK96" s="62">
        <f t="shared" ref="AK96" si="19">SUM(F96:K96,L96,N96:W96,Y96:Z96,AA96:AA96,AC96:AE96,AG96:AH96)</f>
        <v>0</v>
      </c>
      <c r="AL96" s="62">
        <f>AJ96-AK96</f>
        <v>0</v>
      </c>
    </row>
    <row r="97" spans="1:38" x14ac:dyDescent="0.3">
      <c r="A97" s="465"/>
      <c r="B97" s="474" t="s">
        <v>639</v>
      </c>
      <c r="C97" s="474"/>
      <c r="D97" s="669"/>
      <c r="E97" s="669"/>
      <c r="F97" s="669"/>
      <c r="G97" s="669"/>
      <c r="H97" s="669"/>
      <c r="I97" s="669"/>
      <c r="J97" s="669"/>
      <c r="K97" s="669"/>
      <c r="L97" s="669"/>
      <c r="M97" s="669"/>
      <c r="N97" s="669"/>
      <c r="O97" s="669"/>
      <c r="P97" s="669"/>
      <c r="Q97" s="669"/>
      <c r="R97" s="669"/>
      <c r="S97" s="669"/>
      <c r="T97" s="669"/>
      <c r="U97" s="669"/>
      <c r="V97" s="669"/>
      <c r="W97" s="669"/>
      <c r="X97" s="669"/>
      <c r="Y97" s="669"/>
      <c r="Z97" s="669"/>
      <c r="AA97" s="669"/>
      <c r="AB97" s="669"/>
      <c r="AC97" s="669"/>
      <c r="AD97" s="669"/>
      <c r="AE97" s="669"/>
      <c r="AF97" s="669"/>
      <c r="AG97" s="669"/>
      <c r="AH97" s="669"/>
      <c r="AI97" s="62"/>
      <c r="AJ97" s="171">
        <f>SUM(AJ93:AJ96)</f>
        <v>0</v>
      </c>
      <c r="AK97" s="62">
        <f t="shared" si="18"/>
        <v>0</v>
      </c>
      <c r="AL97" s="62">
        <f>AJ97-AK97</f>
        <v>0</v>
      </c>
    </row>
    <row r="98" spans="1:38" x14ac:dyDescent="0.3">
      <c r="A98" s="461"/>
      <c r="B98" s="461"/>
      <c r="C98" s="461"/>
      <c r="D98" s="468"/>
      <c r="E98" s="468"/>
      <c r="F98" s="630"/>
      <c r="G98" s="630"/>
      <c r="H98" s="630"/>
      <c r="I98" s="468"/>
      <c r="J98" s="468"/>
      <c r="K98" s="468"/>
      <c r="L98" s="468"/>
      <c r="M98" s="468"/>
      <c r="N98" s="468"/>
      <c r="O98" s="468"/>
      <c r="P98" s="468"/>
      <c r="Q98" s="468"/>
      <c r="R98" s="468"/>
      <c r="S98" s="468"/>
      <c r="T98" s="468"/>
      <c r="U98" s="468"/>
      <c r="V98" s="468"/>
      <c r="W98" s="468"/>
      <c r="X98" s="468"/>
      <c r="Y98" s="468"/>
      <c r="Z98" s="468"/>
      <c r="AA98" s="468"/>
      <c r="AB98" s="468"/>
      <c r="AC98" s="468"/>
      <c r="AD98" s="468"/>
      <c r="AE98" s="468"/>
      <c r="AF98" s="468"/>
      <c r="AG98" s="468"/>
      <c r="AH98" s="468"/>
      <c r="AI98" s="62"/>
      <c r="AJ98" s="62"/>
      <c r="AK98" s="62"/>
      <c r="AL98" s="62"/>
    </row>
    <row r="99" spans="1:38" x14ac:dyDescent="0.3">
      <c r="A99" s="461"/>
      <c r="B99" s="479" t="s">
        <v>640</v>
      </c>
      <c r="C99" s="479"/>
      <c r="D99" s="695">
        <v>906097319.02999997</v>
      </c>
      <c r="E99" s="695">
        <v>169811627.8249402</v>
      </c>
      <c r="F99" s="695"/>
      <c r="G99" s="695"/>
      <c r="H99" s="695"/>
      <c r="I99" s="695">
        <v>57390038.745059818</v>
      </c>
      <c r="J99" s="695">
        <v>678895652.46000004</v>
      </c>
      <c r="K99" s="695"/>
      <c r="L99" s="695">
        <v>0</v>
      </c>
      <c r="M99" s="695">
        <v>0</v>
      </c>
      <c r="N99" s="695">
        <v>0</v>
      </c>
      <c r="O99" s="695">
        <v>0</v>
      </c>
      <c r="P99" s="695">
        <v>0</v>
      </c>
      <c r="Q99" s="695">
        <v>0</v>
      </c>
      <c r="R99" s="695">
        <v>0</v>
      </c>
      <c r="S99" s="695">
        <v>0</v>
      </c>
      <c r="T99" s="695">
        <v>0</v>
      </c>
      <c r="U99" s="695">
        <v>0</v>
      </c>
      <c r="V99" s="695">
        <v>0</v>
      </c>
      <c r="W99" s="695">
        <v>0</v>
      </c>
      <c r="X99" s="695">
        <v>0</v>
      </c>
      <c r="Y99" s="695">
        <v>0</v>
      </c>
      <c r="Z99" s="695">
        <v>0</v>
      </c>
      <c r="AA99" s="695">
        <v>0</v>
      </c>
      <c r="AB99" s="695">
        <v>0</v>
      </c>
      <c r="AC99" s="695"/>
      <c r="AD99" s="695"/>
      <c r="AE99" s="695"/>
      <c r="AF99" s="695">
        <v>0</v>
      </c>
      <c r="AG99" s="695"/>
      <c r="AH99" s="695">
        <v>0</v>
      </c>
      <c r="AI99" s="62"/>
      <c r="AJ99" s="468">
        <f>'3a. OM_AG-i'!I99</f>
        <v>906097319.02999997</v>
      </c>
      <c r="AK99" s="62">
        <f>SUM(E99,I99:K99,L99,N99:W99,Y99:Z99,AA99:AA99,AC99:AE99,AG99:AH99)</f>
        <v>906097319.03000009</v>
      </c>
      <c r="AL99" s="62">
        <f>AJ99-AK99</f>
        <v>0</v>
      </c>
    </row>
    <row r="100" spans="1:38" x14ac:dyDescent="0.3">
      <c r="A100" s="461"/>
      <c r="B100" s="461"/>
      <c r="C100" s="461"/>
      <c r="D100" s="468"/>
      <c r="E100" s="468"/>
      <c r="F100" s="630"/>
      <c r="G100" s="630"/>
      <c r="H100" s="630"/>
      <c r="I100" s="468"/>
      <c r="J100" s="468"/>
      <c r="K100" s="468"/>
      <c r="L100" s="468"/>
      <c r="M100" s="468"/>
      <c r="N100" s="468"/>
      <c r="O100" s="468"/>
      <c r="P100" s="468"/>
      <c r="Q100" s="468"/>
      <c r="R100" s="468"/>
      <c r="S100" s="468"/>
      <c r="T100" s="468"/>
      <c r="U100" s="468"/>
      <c r="V100" s="468"/>
      <c r="W100" s="468"/>
      <c r="X100" s="468"/>
      <c r="Y100" s="468"/>
      <c r="Z100" s="468"/>
      <c r="AA100" s="468"/>
      <c r="AB100" s="468"/>
      <c r="AC100" s="468"/>
      <c r="AD100" s="468"/>
      <c r="AE100" s="468"/>
      <c r="AF100" s="468"/>
      <c r="AG100" s="468"/>
      <c r="AH100" s="468"/>
      <c r="AI100" s="62"/>
      <c r="AJ100" s="62"/>
      <c r="AK100" s="62"/>
      <c r="AL100" s="62"/>
    </row>
    <row r="101" spans="1:38" x14ac:dyDescent="0.3">
      <c r="A101" s="479" t="s">
        <v>641</v>
      </c>
      <c r="B101" s="461"/>
      <c r="C101" s="461"/>
      <c r="D101" s="468"/>
      <c r="E101" s="468"/>
      <c r="F101" s="630"/>
      <c r="G101" s="630"/>
      <c r="H101" s="630"/>
      <c r="I101" s="468"/>
      <c r="J101" s="468"/>
      <c r="K101" s="468"/>
      <c r="L101" s="468"/>
      <c r="M101" s="468"/>
      <c r="N101" s="468"/>
      <c r="O101" s="468"/>
      <c r="P101" s="468"/>
      <c r="Q101" s="468"/>
      <c r="R101" s="468"/>
      <c r="S101" s="468"/>
      <c r="T101" s="468"/>
      <c r="U101" s="468"/>
      <c r="V101" s="468"/>
      <c r="W101" s="468"/>
      <c r="X101" s="468"/>
      <c r="Y101" s="468"/>
      <c r="Z101" s="468"/>
      <c r="AA101" s="468"/>
      <c r="AB101" s="468"/>
      <c r="AC101" s="468"/>
      <c r="AD101" s="468"/>
      <c r="AE101" s="468"/>
      <c r="AF101" s="468"/>
      <c r="AG101" s="468"/>
      <c r="AH101" s="468"/>
      <c r="AI101" s="62"/>
      <c r="AJ101" s="62"/>
      <c r="AK101" s="62"/>
      <c r="AL101" s="62"/>
    </row>
    <row r="102" spans="1:38" x14ac:dyDescent="0.3">
      <c r="A102" s="461"/>
      <c r="B102" s="464" t="s">
        <v>549</v>
      </c>
      <c r="C102" s="464"/>
      <c r="D102" s="468"/>
      <c r="E102" s="468"/>
      <c r="F102" s="630"/>
      <c r="G102" s="630"/>
      <c r="H102" s="630"/>
      <c r="I102" s="468"/>
      <c r="J102" s="468"/>
      <c r="K102" s="468"/>
      <c r="L102" s="468"/>
      <c r="M102" s="468"/>
      <c r="N102" s="468"/>
      <c r="O102" s="468"/>
      <c r="P102" s="468"/>
      <c r="Q102" s="468"/>
      <c r="R102" s="468"/>
      <c r="S102" s="468"/>
      <c r="T102" s="468"/>
      <c r="U102" s="468"/>
      <c r="V102" s="468"/>
      <c r="W102" s="468"/>
      <c r="X102" s="468"/>
      <c r="Y102" s="468"/>
      <c r="Z102" s="468"/>
      <c r="AA102" s="468"/>
      <c r="AB102" s="468"/>
      <c r="AC102" s="468"/>
      <c r="AD102" s="468"/>
      <c r="AE102" s="468"/>
      <c r="AF102" s="468"/>
      <c r="AG102" s="468"/>
      <c r="AH102" s="468"/>
      <c r="AI102" s="62"/>
      <c r="AJ102" s="62"/>
      <c r="AK102" s="62"/>
      <c r="AL102" s="62"/>
    </row>
    <row r="103" spans="1:38" x14ac:dyDescent="0.3">
      <c r="A103" s="461">
        <v>560</v>
      </c>
      <c r="B103" s="461" t="s">
        <v>615</v>
      </c>
      <c r="C103" s="461"/>
      <c r="D103" s="468">
        <f>'3a. OM_AG-i'!J103</f>
        <v>0</v>
      </c>
      <c r="E103" s="468"/>
      <c r="F103" s="630"/>
      <c r="G103" s="630"/>
      <c r="H103" s="630"/>
      <c r="I103" s="468"/>
      <c r="J103" s="468"/>
      <c r="K103" s="468"/>
      <c r="L103" s="468">
        <f>'3a. OM_AG-i'!K103</f>
        <v>2718478.24</v>
      </c>
      <c r="M103" s="468">
        <f>'3a. OM_AG-i'!L103</f>
        <v>0</v>
      </c>
      <c r="N103" s="468"/>
      <c r="O103" s="468"/>
      <c r="P103" s="468"/>
      <c r="Q103" s="468"/>
      <c r="R103" s="468"/>
      <c r="S103" s="468"/>
      <c r="T103" s="468"/>
      <c r="U103" s="468"/>
      <c r="V103" s="468"/>
      <c r="W103" s="468"/>
      <c r="X103" s="468">
        <f>'3a. OM_AG-i'!M101</f>
        <v>0</v>
      </c>
      <c r="Y103" s="468"/>
      <c r="Z103" s="468"/>
      <c r="AA103" s="468">
        <f>'3a. OM_AG-i'!N101</f>
        <v>0</v>
      </c>
      <c r="AB103" s="468">
        <f>'3a. OM_AG-i'!O101</f>
        <v>0</v>
      </c>
      <c r="AC103" s="468"/>
      <c r="AD103" s="468"/>
      <c r="AE103" s="468"/>
      <c r="AF103" s="468">
        <f>'3a. OM_AG-i'!P101</f>
        <v>0</v>
      </c>
      <c r="AG103" s="468"/>
      <c r="AH103" s="468">
        <f>'3a. OM_AG-i'!Q101</f>
        <v>0</v>
      </c>
      <c r="AI103" s="62"/>
      <c r="AJ103" s="468">
        <f>'3a. OM_AG-i'!I103</f>
        <v>2718478.24</v>
      </c>
      <c r="AK103" s="62">
        <f t="shared" ref="AK103:AK111" si="20">SUM(F103:K103,L103,N103:W103,Y103:Z103,AA103:AA103,AC103:AE103,AG103:AH103)</f>
        <v>2718478.24</v>
      </c>
      <c r="AL103" s="62">
        <f t="shared" ref="AL103:AL111" si="21">AJ103-AK103</f>
        <v>0</v>
      </c>
    </row>
    <row r="104" spans="1:38" x14ac:dyDescent="0.3">
      <c r="A104" s="461">
        <v>561</v>
      </c>
      <c r="B104" s="461" t="s">
        <v>644</v>
      </c>
      <c r="C104" s="461"/>
      <c r="D104" s="468">
        <f>'3a. OM_AG-i'!J104</f>
        <v>0</v>
      </c>
      <c r="E104" s="468"/>
      <c r="F104" s="630"/>
      <c r="G104" s="630"/>
      <c r="H104" s="630"/>
      <c r="I104" s="468"/>
      <c r="J104" s="468"/>
      <c r="K104" s="468"/>
      <c r="L104" s="468">
        <f>'3a. OM_AG-i'!K104</f>
        <v>2273713.75</v>
      </c>
      <c r="M104" s="468">
        <f>'3a. OM_AG-i'!L104</f>
        <v>0</v>
      </c>
      <c r="N104" s="468"/>
      <c r="O104" s="468"/>
      <c r="P104" s="468"/>
      <c r="Q104" s="468"/>
      <c r="R104" s="468"/>
      <c r="S104" s="468"/>
      <c r="T104" s="468"/>
      <c r="U104" s="468"/>
      <c r="V104" s="468"/>
      <c r="W104" s="468"/>
      <c r="X104" s="468">
        <f>'3a. OM_AG-i'!M102</f>
        <v>0</v>
      </c>
      <c r="Y104" s="468"/>
      <c r="Z104" s="468"/>
      <c r="AA104" s="468">
        <f>'3a. OM_AG-i'!N102</f>
        <v>0</v>
      </c>
      <c r="AB104" s="468">
        <f>'3a. OM_AG-i'!O102</f>
        <v>0</v>
      </c>
      <c r="AC104" s="468"/>
      <c r="AD104" s="468"/>
      <c r="AE104" s="468"/>
      <c r="AF104" s="468">
        <f>'3a. OM_AG-i'!P102</f>
        <v>0</v>
      </c>
      <c r="AG104" s="468"/>
      <c r="AH104" s="468">
        <f>'3a. OM_AG-i'!Q102</f>
        <v>0</v>
      </c>
      <c r="AI104" s="62"/>
      <c r="AJ104" s="468">
        <f>'3a. OM_AG-i'!I104</f>
        <v>2273713.75</v>
      </c>
      <c r="AK104" s="62">
        <f t="shared" si="20"/>
        <v>2273713.75</v>
      </c>
      <c r="AL104" s="62">
        <f t="shared" si="21"/>
        <v>0</v>
      </c>
    </row>
    <row r="105" spans="1:38" x14ac:dyDescent="0.3">
      <c r="A105" s="461">
        <v>562</v>
      </c>
      <c r="B105" s="461" t="s">
        <v>428</v>
      </c>
      <c r="C105" s="461"/>
      <c r="D105" s="468">
        <f>'3a. OM_AG-i'!J105</f>
        <v>0</v>
      </c>
      <c r="E105" s="468"/>
      <c r="F105" s="630"/>
      <c r="G105" s="630"/>
      <c r="H105" s="630"/>
      <c r="I105" s="468"/>
      <c r="J105" s="468"/>
      <c r="K105" s="468"/>
      <c r="L105" s="468">
        <f>'3a. OM_AG-i'!K105</f>
        <v>359349.7</v>
      </c>
      <c r="M105" s="468">
        <f>'3a. OM_AG-i'!L105</f>
        <v>0</v>
      </c>
      <c r="N105" s="468"/>
      <c r="O105" s="468"/>
      <c r="P105" s="468"/>
      <c r="Q105" s="468"/>
      <c r="R105" s="468"/>
      <c r="S105" s="468"/>
      <c r="T105" s="468"/>
      <c r="U105" s="468"/>
      <c r="V105" s="468"/>
      <c r="W105" s="468"/>
      <c r="X105" s="468">
        <f>'3a. OM_AG-i'!M103</f>
        <v>0</v>
      </c>
      <c r="Y105" s="468"/>
      <c r="Z105" s="468"/>
      <c r="AA105" s="468">
        <f>'3a. OM_AG-i'!N103</f>
        <v>0</v>
      </c>
      <c r="AB105" s="468">
        <f>'3a. OM_AG-i'!O103</f>
        <v>0</v>
      </c>
      <c r="AC105" s="468"/>
      <c r="AD105" s="468"/>
      <c r="AE105" s="468"/>
      <c r="AF105" s="468">
        <f>'3a. OM_AG-i'!P103</f>
        <v>0</v>
      </c>
      <c r="AG105" s="468"/>
      <c r="AH105" s="468">
        <f>'3a. OM_AG-i'!Q103</f>
        <v>0</v>
      </c>
      <c r="AI105" s="62"/>
      <c r="AJ105" s="468">
        <f>'3a. OM_AG-i'!I105</f>
        <v>359349.7</v>
      </c>
      <c r="AK105" s="62">
        <f t="shared" si="20"/>
        <v>359349.7</v>
      </c>
      <c r="AL105" s="62">
        <f t="shared" si="21"/>
        <v>0</v>
      </c>
    </row>
    <row r="106" spans="1:38" x14ac:dyDescent="0.3">
      <c r="A106" s="461">
        <v>563</v>
      </c>
      <c r="B106" s="461" t="s">
        <v>647</v>
      </c>
      <c r="C106" s="461"/>
      <c r="D106" s="468">
        <f>'3a. OM_AG-i'!J106</f>
        <v>0</v>
      </c>
      <c r="E106" s="468"/>
      <c r="F106" s="630"/>
      <c r="G106" s="630"/>
      <c r="H106" s="630"/>
      <c r="I106" s="468"/>
      <c r="J106" s="468"/>
      <c r="K106" s="468"/>
      <c r="L106" s="468">
        <f>'3a. OM_AG-i'!K106</f>
        <v>4987.07</v>
      </c>
      <c r="M106" s="468">
        <f>'3a. OM_AG-i'!L106</f>
        <v>0</v>
      </c>
      <c r="N106" s="468"/>
      <c r="O106" s="468"/>
      <c r="P106" s="468"/>
      <c r="Q106" s="468"/>
      <c r="R106" s="468"/>
      <c r="S106" s="468"/>
      <c r="T106" s="468"/>
      <c r="U106" s="468"/>
      <c r="V106" s="468"/>
      <c r="W106" s="468"/>
      <c r="X106" s="468">
        <f>'3a. OM_AG-i'!M104</f>
        <v>0</v>
      </c>
      <c r="Y106" s="468"/>
      <c r="Z106" s="468"/>
      <c r="AA106" s="468">
        <f>'3a. OM_AG-i'!N104</f>
        <v>0</v>
      </c>
      <c r="AB106" s="468">
        <f>'3a. OM_AG-i'!O104</f>
        <v>0</v>
      </c>
      <c r="AC106" s="468"/>
      <c r="AD106" s="468"/>
      <c r="AE106" s="468"/>
      <c r="AF106" s="468">
        <f>'3a. OM_AG-i'!P104</f>
        <v>0</v>
      </c>
      <c r="AG106" s="468"/>
      <c r="AH106" s="468">
        <f>'3a. OM_AG-i'!Q104</f>
        <v>0</v>
      </c>
      <c r="AI106" s="62"/>
      <c r="AJ106" s="468">
        <f>'3a. OM_AG-i'!I106</f>
        <v>4987.07</v>
      </c>
      <c r="AK106" s="62">
        <f t="shared" si="20"/>
        <v>4987.07</v>
      </c>
      <c r="AL106" s="62">
        <f t="shared" si="21"/>
        <v>0</v>
      </c>
    </row>
    <row r="107" spans="1:38" x14ac:dyDescent="0.3">
      <c r="A107" s="461">
        <v>564</v>
      </c>
      <c r="B107" s="461" t="s">
        <v>649</v>
      </c>
      <c r="C107" s="461"/>
      <c r="D107" s="468">
        <f>'3a. OM_AG-i'!J107</f>
        <v>0</v>
      </c>
      <c r="E107" s="468"/>
      <c r="F107" s="630"/>
      <c r="G107" s="630"/>
      <c r="H107" s="630"/>
      <c r="I107" s="468"/>
      <c r="J107" s="468"/>
      <c r="K107" s="468"/>
      <c r="L107" s="468">
        <f>'3a. OM_AG-i'!K107</f>
        <v>0</v>
      </c>
      <c r="M107" s="468">
        <f>'3a. OM_AG-i'!L107</f>
        <v>0</v>
      </c>
      <c r="N107" s="468"/>
      <c r="O107" s="468"/>
      <c r="P107" s="468"/>
      <c r="Q107" s="468"/>
      <c r="R107" s="468"/>
      <c r="S107" s="468"/>
      <c r="T107" s="468"/>
      <c r="U107" s="468"/>
      <c r="V107" s="468"/>
      <c r="W107" s="468"/>
      <c r="X107" s="468">
        <f>'3a. OM_AG-i'!M105</f>
        <v>0</v>
      </c>
      <c r="Y107" s="468"/>
      <c r="Z107" s="468"/>
      <c r="AA107" s="468">
        <f>'3a. OM_AG-i'!N105</f>
        <v>0</v>
      </c>
      <c r="AB107" s="468">
        <f>'3a. OM_AG-i'!O105</f>
        <v>0</v>
      </c>
      <c r="AC107" s="468"/>
      <c r="AD107" s="468"/>
      <c r="AE107" s="468"/>
      <c r="AF107" s="468">
        <f>'3a. OM_AG-i'!P105</f>
        <v>0</v>
      </c>
      <c r="AG107" s="468"/>
      <c r="AH107" s="468">
        <f>'3a. OM_AG-i'!Q105</f>
        <v>0</v>
      </c>
      <c r="AI107" s="62"/>
      <c r="AJ107" s="468">
        <f>'3a. OM_AG-i'!I107</f>
        <v>0</v>
      </c>
      <c r="AK107" s="62">
        <f t="shared" si="20"/>
        <v>0</v>
      </c>
      <c r="AL107" s="62">
        <f t="shared" si="21"/>
        <v>0</v>
      </c>
    </row>
    <row r="108" spans="1:38" x14ac:dyDescent="0.3">
      <c r="A108" s="461">
        <v>565</v>
      </c>
      <c r="B108" s="466" t="s">
        <v>651</v>
      </c>
      <c r="C108" s="466"/>
      <c r="D108" s="468">
        <f>'3a. OM_AG-i'!J108</f>
        <v>0</v>
      </c>
      <c r="E108" s="468"/>
      <c r="F108" s="630"/>
      <c r="G108" s="630"/>
      <c r="H108" s="630"/>
      <c r="I108" s="468"/>
      <c r="J108" s="468"/>
      <c r="K108" s="468"/>
      <c r="L108" s="468">
        <f>'3a. OM_AG-i'!K108</f>
        <v>0</v>
      </c>
      <c r="M108" s="468">
        <f>'3a. OM_AG-i'!L108</f>
        <v>0</v>
      </c>
      <c r="N108" s="468"/>
      <c r="O108" s="468"/>
      <c r="P108" s="468"/>
      <c r="Q108" s="468"/>
      <c r="R108" s="468"/>
      <c r="S108" s="468"/>
      <c r="T108" s="468"/>
      <c r="U108" s="468"/>
      <c r="V108" s="468"/>
      <c r="W108" s="468"/>
      <c r="X108" s="468">
        <f>'3a. OM_AG-i'!M106</f>
        <v>0</v>
      </c>
      <c r="Y108" s="468"/>
      <c r="Z108" s="468"/>
      <c r="AA108" s="468">
        <f>'3a. OM_AG-i'!N106</f>
        <v>0</v>
      </c>
      <c r="AB108" s="468">
        <f>'3a. OM_AG-i'!O106</f>
        <v>0</v>
      </c>
      <c r="AC108" s="468"/>
      <c r="AD108" s="468"/>
      <c r="AE108" s="468"/>
      <c r="AF108" s="468">
        <f>'3a. OM_AG-i'!P106</f>
        <v>0</v>
      </c>
      <c r="AG108" s="468"/>
      <c r="AH108" s="468">
        <f>'3a. OM_AG-i'!Q106</f>
        <v>0</v>
      </c>
      <c r="AI108" s="62"/>
      <c r="AJ108" s="468">
        <f>'3a. OM_AG-i'!I108</f>
        <v>0</v>
      </c>
      <c r="AK108" s="62">
        <f t="shared" si="20"/>
        <v>0</v>
      </c>
      <c r="AL108" s="62">
        <f t="shared" si="21"/>
        <v>0</v>
      </c>
    </row>
    <row r="109" spans="1:38" x14ac:dyDescent="0.3">
      <c r="A109" s="461">
        <v>566</v>
      </c>
      <c r="B109" s="461" t="s">
        <v>653</v>
      </c>
      <c r="C109" s="461"/>
      <c r="D109" s="468">
        <f>'3a. OM_AG-i'!J109</f>
        <v>0</v>
      </c>
      <c r="E109" s="468"/>
      <c r="F109" s="630"/>
      <c r="G109" s="630"/>
      <c r="H109" s="630"/>
      <c r="I109" s="468"/>
      <c r="J109" s="468"/>
      <c r="K109" s="468"/>
      <c r="L109" s="468">
        <f>'3a. OM_AG-i'!K109</f>
        <v>4752526.21</v>
      </c>
      <c r="M109" s="468">
        <f>'3a. OM_AG-i'!L109</f>
        <v>0</v>
      </c>
      <c r="N109" s="468"/>
      <c r="O109" s="468"/>
      <c r="P109" s="468"/>
      <c r="Q109" s="468"/>
      <c r="R109" s="468"/>
      <c r="S109" s="468"/>
      <c r="T109" s="468"/>
      <c r="U109" s="468"/>
      <c r="V109" s="468"/>
      <c r="W109" s="468"/>
      <c r="X109" s="468">
        <f>'3a. OM_AG-i'!M107</f>
        <v>0</v>
      </c>
      <c r="Y109" s="468"/>
      <c r="Z109" s="468"/>
      <c r="AA109" s="468">
        <f>'3a. OM_AG-i'!N107</f>
        <v>0</v>
      </c>
      <c r="AB109" s="468">
        <f>'3a. OM_AG-i'!O107</f>
        <v>0</v>
      </c>
      <c r="AC109" s="468"/>
      <c r="AD109" s="468"/>
      <c r="AE109" s="468"/>
      <c r="AF109" s="468">
        <f>'3a. OM_AG-i'!P107</f>
        <v>0</v>
      </c>
      <c r="AG109" s="468"/>
      <c r="AH109" s="468">
        <f>'3a. OM_AG-i'!Q107</f>
        <v>0</v>
      </c>
      <c r="AI109" s="62"/>
      <c r="AJ109" s="468">
        <f>'3a. OM_AG-i'!I109</f>
        <v>4752526.21</v>
      </c>
      <c r="AK109" s="62">
        <f t="shared" si="20"/>
        <v>4752526.21</v>
      </c>
      <c r="AL109" s="62">
        <f t="shared" si="21"/>
        <v>0</v>
      </c>
    </row>
    <row r="110" spans="1:38" x14ac:dyDescent="0.3">
      <c r="A110" s="461">
        <v>567</v>
      </c>
      <c r="B110" s="461" t="s">
        <v>564</v>
      </c>
      <c r="C110" s="461"/>
      <c r="D110" s="468">
        <f>'3a. OM_AG-i'!J110</f>
        <v>0</v>
      </c>
      <c r="E110" s="468"/>
      <c r="F110" s="630"/>
      <c r="G110" s="630"/>
      <c r="H110" s="630"/>
      <c r="I110" s="468"/>
      <c r="J110" s="468"/>
      <c r="K110" s="468"/>
      <c r="L110" s="468">
        <f>'3a. OM_AG-i'!K110</f>
        <v>0</v>
      </c>
      <c r="M110" s="468">
        <f>'3a. OM_AG-i'!L110</f>
        <v>0</v>
      </c>
      <c r="N110" s="468"/>
      <c r="O110" s="468"/>
      <c r="P110" s="468"/>
      <c r="Q110" s="468"/>
      <c r="R110" s="468"/>
      <c r="S110" s="468"/>
      <c r="T110" s="468"/>
      <c r="U110" s="468"/>
      <c r="V110" s="468"/>
      <c r="W110" s="468"/>
      <c r="X110" s="468">
        <f>'3a. OM_AG-i'!M108</f>
        <v>0</v>
      </c>
      <c r="Y110" s="468"/>
      <c r="Z110" s="468"/>
      <c r="AA110" s="468">
        <f>'3a. OM_AG-i'!N108</f>
        <v>0</v>
      </c>
      <c r="AB110" s="468">
        <f>'3a. OM_AG-i'!O108</f>
        <v>0</v>
      </c>
      <c r="AC110" s="468"/>
      <c r="AD110" s="468"/>
      <c r="AE110" s="468"/>
      <c r="AF110" s="468">
        <f>'3a. OM_AG-i'!P108</f>
        <v>0</v>
      </c>
      <c r="AG110" s="468"/>
      <c r="AH110" s="468">
        <f>'3a. OM_AG-i'!Q108</f>
        <v>0</v>
      </c>
      <c r="AI110" s="62"/>
      <c r="AJ110" s="468">
        <f>'3a. OM_AG-i'!I110</f>
        <v>0</v>
      </c>
      <c r="AK110" s="62">
        <f t="shared" si="20"/>
        <v>0</v>
      </c>
      <c r="AL110" s="62">
        <f t="shared" si="21"/>
        <v>0</v>
      </c>
    </row>
    <row r="111" spans="1:38" x14ac:dyDescent="0.3">
      <c r="A111" s="461"/>
      <c r="B111" s="474" t="s">
        <v>524</v>
      </c>
      <c r="C111" s="474"/>
      <c r="D111" s="468">
        <f t="shared" ref="D111:AH111" si="22">SUM(D103:D110)</f>
        <v>0</v>
      </c>
      <c r="E111" s="468">
        <f t="shared" si="22"/>
        <v>0</v>
      </c>
      <c r="F111" s="630"/>
      <c r="G111" s="630"/>
      <c r="H111" s="630"/>
      <c r="I111" s="468">
        <f t="shared" si="22"/>
        <v>0</v>
      </c>
      <c r="J111" s="468">
        <f t="shared" si="22"/>
        <v>0</v>
      </c>
      <c r="K111" s="468"/>
      <c r="L111" s="468">
        <f t="shared" si="22"/>
        <v>10109054.970000001</v>
      </c>
      <c r="M111" s="468">
        <f t="shared" si="22"/>
        <v>0</v>
      </c>
      <c r="N111" s="468">
        <f t="shared" si="22"/>
        <v>0</v>
      </c>
      <c r="O111" s="468">
        <f t="shared" si="22"/>
        <v>0</v>
      </c>
      <c r="P111" s="468">
        <f t="shared" si="22"/>
        <v>0</v>
      </c>
      <c r="Q111" s="468">
        <f t="shared" si="22"/>
        <v>0</v>
      </c>
      <c r="R111" s="468">
        <f t="shared" si="22"/>
        <v>0</v>
      </c>
      <c r="S111" s="468">
        <f t="shared" si="22"/>
        <v>0</v>
      </c>
      <c r="T111" s="468">
        <f t="shared" si="22"/>
        <v>0</v>
      </c>
      <c r="U111" s="468">
        <f t="shared" si="22"/>
        <v>0</v>
      </c>
      <c r="V111" s="468">
        <f t="shared" si="22"/>
        <v>0</v>
      </c>
      <c r="W111" s="468">
        <f t="shared" si="22"/>
        <v>0</v>
      </c>
      <c r="X111" s="468">
        <f t="shared" si="22"/>
        <v>0</v>
      </c>
      <c r="Y111" s="468">
        <f t="shared" si="22"/>
        <v>0</v>
      </c>
      <c r="Z111" s="468">
        <f t="shared" si="22"/>
        <v>0</v>
      </c>
      <c r="AA111" s="468">
        <f t="shared" si="22"/>
        <v>0</v>
      </c>
      <c r="AB111" s="468">
        <f t="shared" si="22"/>
        <v>0</v>
      </c>
      <c r="AC111" s="468"/>
      <c r="AD111" s="468"/>
      <c r="AE111" s="468"/>
      <c r="AF111" s="468">
        <f t="shared" si="22"/>
        <v>0</v>
      </c>
      <c r="AG111" s="468"/>
      <c r="AH111" s="468">
        <f t="shared" si="22"/>
        <v>0</v>
      </c>
      <c r="AI111" s="62"/>
      <c r="AJ111" s="468">
        <f>'3a. OM_AG-i'!I111</f>
        <v>10109054.970000001</v>
      </c>
      <c r="AK111" s="62">
        <f t="shared" si="20"/>
        <v>10109054.970000001</v>
      </c>
      <c r="AL111" s="62">
        <f t="shared" si="21"/>
        <v>0</v>
      </c>
    </row>
    <row r="112" spans="1:38" x14ac:dyDescent="0.3">
      <c r="A112" s="461"/>
      <c r="B112" s="461"/>
      <c r="C112" s="461"/>
      <c r="D112" s="468"/>
      <c r="E112" s="468"/>
      <c r="F112" s="630"/>
      <c r="G112" s="630"/>
      <c r="H112" s="630"/>
      <c r="I112" s="468"/>
      <c r="J112" s="468"/>
      <c r="K112" s="468"/>
      <c r="L112" s="468"/>
      <c r="M112" s="468"/>
      <c r="N112" s="468"/>
      <c r="O112" s="468"/>
      <c r="P112" s="468"/>
      <c r="Q112" s="468"/>
      <c r="R112" s="468"/>
      <c r="S112" s="468"/>
      <c r="T112" s="468"/>
      <c r="U112" s="468"/>
      <c r="V112" s="468"/>
      <c r="W112" s="468"/>
      <c r="X112" s="468"/>
      <c r="Y112" s="468"/>
      <c r="Z112" s="468"/>
      <c r="AA112" s="468"/>
      <c r="AB112" s="468"/>
      <c r="AC112" s="468"/>
      <c r="AD112" s="468"/>
      <c r="AE112" s="468"/>
      <c r="AF112" s="468"/>
      <c r="AG112" s="468"/>
      <c r="AH112" s="468"/>
      <c r="AI112" s="62"/>
      <c r="AJ112" s="62"/>
      <c r="AK112" s="62"/>
      <c r="AL112" s="62"/>
    </row>
    <row r="113" spans="1:38" x14ac:dyDescent="0.3">
      <c r="A113" s="461"/>
      <c r="B113" s="464" t="s">
        <v>565</v>
      </c>
      <c r="C113" s="464"/>
      <c r="D113" s="468"/>
      <c r="E113" s="468"/>
      <c r="F113" s="630"/>
      <c r="G113" s="630"/>
      <c r="H113" s="630"/>
      <c r="I113" s="468"/>
      <c r="J113" s="468"/>
      <c r="K113" s="468"/>
      <c r="L113" s="468"/>
      <c r="M113" s="468"/>
      <c r="N113" s="468"/>
      <c r="O113" s="468"/>
      <c r="P113" s="468"/>
      <c r="Q113" s="468"/>
      <c r="R113" s="468"/>
      <c r="S113" s="468"/>
      <c r="T113" s="468"/>
      <c r="U113" s="468"/>
      <c r="V113" s="468"/>
      <c r="W113" s="468"/>
      <c r="X113" s="468"/>
      <c r="Y113" s="468"/>
      <c r="Z113" s="468"/>
      <c r="AA113" s="468"/>
      <c r="AB113" s="468"/>
      <c r="AC113" s="468"/>
      <c r="AD113" s="468"/>
      <c r="AE113" s="468"/>
      <c r="AF113" s="468"/>
      <c r="AG113" s="468"/>
      <c r="AH113" s="468"/>
      <c r="AI113" s="62"/>
      <c r="AJ113" s="62"/>
      <c r="AK113" s="62"/>
      <c r="AL113" s="62"/>
    </row>
    <row r="114" spans="1:38" x14ac:dyDescent="0.3">
      <c r="A114" s="461">
        <v>568</v>
      </c>
      <c r="B114" s="461" t="s">
        <v>622</v>
      </c>
      <c r="C114" s="461"/>
      <c r="D114" s="468">
        <f>'3a. OM_AG-i'!J114</f>
        <v>0</v>
      </c>
      <c r="E114" s="468"/>
      <c r="F114" s="630"/>
      <c r="G114" s="630"/>
      <c r="H114" s="630"/>
      <c r="I114" s="468"/>
      <c r="J114" s="468"/>
      <c r="K114" s="468"/>
      <c r="L114" s="468">
        <f>'3a. OM_AG-i'!K114</f>
        <v>790810.29</v>
      </c>
      <c r="M114" s="468">
        <f>'3a. OM_AG-i'!L114</f>
        <v>0</v>
      </c>
      <c r="N114" s="468"/>
      <c r="O114" s="468"/>
      <c r="P114" s="468"/>
      <c r="Q114" s="468"/>
      <c r="R114" s="468"/>
      <c r="S114" s="468"/>
      <c r="T114" s="468"/>
      <c r="U114" s="468"/>
      <c r="V114" s="468"/>
      <c r="W114" s="468"/>
      <c r="X114" s="468">
        <f>'3a. OM_AG-i'!M114</f>
        <v>0</v>
      </c>
      <c r="Y114" s="468"/>
      <c r="Z114" s="468"/>
      <c r="AA114" s="468">
        <f>'3a. OM_AG-i'!N114</f>
        <v>0</v>
      </c>
      <c r="AB114" s="468">
        <f>'3a. OM_AG-i'!O114</f>
        <v>0</v>
      </c>
      <c r="AC114" s="468"/>
      <c r="AD114" s="468"/>
      <c r="AE114" s="468"/>
      <c r="AF114" s="468">
        <f>'3a. OM_AG-i'!P114</f>
        <v>0</v>
      </c>
      <c r="AG114" s="468"/>
      <c r="AH114" s="468">
        <f>'3a. OM_AG-i'!Q114</f>
        <v>0</v>
      </c>
      <c r="AI114" s="62"/>
      <c r="AJ114" s="468">
        <f>'3a. OM_AG-i'!I114</f>
        <v>790810.29</v>
      </c>
      <c r="AK114" s="62">
        <f t="shared" ref="AK114:AK120" si="23">SUM(F114:K114,L114,N114:W114,Y114:Z114,AA114:AA114,AC114:AE114,AG114:AH114)</f>
        <v>790810.29</v>
      </c>
      <c r="AL114" s="62">
        <f t="shared" ref="AL114:AL120" si="24">AJ114-AK114</f>
        <v>0</v>
      </c>
    </row>
    <row r="115" spans="1:38" x14ac:dyDescent="0.3">
      <c r="A115" s="461">
        <v>569</v>
      </c>
      <c r="B115" s="466" t="s">
        <v>569</v>
      </c>
      <c r="C115" s="466"/>
      <c r="D115" s="468">
        <f>'3a. OM_AG-i'!J115</f>
        <v>0</v>
      </c>
      <c r="E115" s="468"/>
      <c r="F115" s="630"/>
      <c r="G115" s="630"/>
      <c r="H115" s="630"/>
      <c r="I115" s="468"/>
      <c r="J115" s="468"/>
      <c r="K115" s="468"/>
      <c r="L115" s="468">
        <f>'3a. OM_AG-i'!K115</f>
        <v>0</v>
      </c>
      <c r="M115" s="468">
        <f>'3a. OM_AG-i'!L115</f>
        <v>0</v>
      </c>
      <c r="N115" s="468"/>
      <c r="O115" s="468"/>
      <c r="P115" s="468"/>
      <c r="Q115" s="468"/>
      <c r="R115" s="468"/>
      <c r="S115" s="468"/>
      <c r="T115" s="468"/>
      <c r="U115" s="468"/>
      <c r="V115" s="468"/>
      <c r="W115" s="468"/>
      <c r="X115" s="468">
        <f>'3a. OM_AG-i'!M115</f>
        <v>0</v>
      </c>
      <c r="Y115" s="468"/>
      <c r="Z115" s="468"/>
      <c r="AA115" s="468">
        <f>'3a. OM_AG-i'!N115</f>
        <v>0</v>
      </c>
      <c r="AB115" s="468">
        <f>'3a. OM_AG-i'!O115</f>
        <v>0</v>
      </c>
      <c r="AC115" s="468"/>
      <c r="AD115" s="468"/>
      <c r="AE115" s="468"/>
      <c r="AF115" s="468">
        <f>'3a. OM_AG-i'!P115</f>
        <v>0</v>
      </c>
      <c r="AG115" s="468"/>
      <c r="AH115" s="468">
        <f>'3a. OM_AG-i'!Q115</f>
        <v>0</v>
      </c>
      <c r="AI115" s="62"/>
      <c r="AJ115" s="468">
        <f>'3a. OM_AG-i'!I115</f>
        <v>0</v>
      </c>
      <c r="AK115" s="62">
        <f t="shared" si="23"/>
        <v>0</v>
      </c>
      <c r="AL115" s="62">
        <f t="shared" si="24"/>
        <v>0</v>
      </c>
    </row>
    <row r="116" spans="1:38" x14ac:dyDescent="0.3">
      <c r="A116" s="461">
        <v>570</v>
      </c>
      <c r="B116" s="461" t="s">
        <v>658</v>
      </c>
      <c r="C116" s="461"/>
      <c r="D116" s="468">
        <f>'3a. OM_AG-i'!J116</f>
        <v>0</v>
      </c>
      <c r="E116" s="468"/>
      <c r="F116" s="630"/>
      <c r="G116" s="630"/>
      <c r="H116" s="630"/>
      <c r="I116" s="468"/>
      <c r="J116" s="468"/>
      <c r="K116" s="468"/>
      <c r="L116" s="468">
        <f>'3a. OM_AG-i'!K116</f>
        <v>2809824.7399999998</v>
      </c>
      <c r="M116" s="468">
        <f>'3a. OM_AG-i'!L116</f>
        <v>0</v>
      </c>
      <c r="N116" s="468"/>
      <c r="O116" s="468"/>
      <c r="P116" s="468"/>
      <c r="Q116" s="468"/>
      <c r="R116" s="468"/>
      <c r="S116" s="468"/>
      <c r="T116" s="468"/>
      <c r="U116" s="468"/>
      <c r="V116" s="468"/>
      <c r="W116" s="468"/>
      <c r="X116" s="468">
        <f>'3a. OM_AG-i'!M116</f>
        <v>0</v>
      </c>
      <c r="Y116" s="468"/>
      <c r="Z116" s="468"/>
      <c r="AA116" s="468">
        <f>'3a. OM_AG-i'!N116</f>
        <v>0</v>
      </c>
      <c r="AB116" s="468">
        <f>'3a. OM_AG-i'!O116</f>
        <v>0</v>
      </c>
      <c r="AC116" s="468"/>
      <c r="AD116" s="468"/>
      <c r="AE116" s="468"/>
      <c r="AF116" s="468">
        <f>'3a. OM_AG-i'!P116</f>
        <v>0</v>
      </c>
      <c r="AG116" s="468"/>
      <c r="AH116" s="468">
        <f>'3a. OM_AG-i'!Q116</f>
        <v>0</v>
      </c>
      <c r="AI116" s="62"/>
      <c r="AJ116" s="468">
        <f>'3a. OM_AG-i'!I116</f>
        <v>2809824.7399999998</v>
      </c>
      <c r="AK116" s="62">
        <f t="shared" si="23"/>
        <v>2809824.7399999998</v>
      </c>
      <c r="AL116" s="62">
        <f t="shared" si="24"/>
        <v>0</v>
      </c>
    </row>
    <row r="117" spans="1:38" x14ac:dyDescent="0.3">
      <c r="A117" s="461">
        <v>571</v>
      </c>
      <c r="B117" s="461" t="s">
        <v>660</v>
      </c>
      <c r="C117" s="461"/>
      <c r="D117" s="468">
        <f>'3a. OM_AG-i'!J117</f>
        <v>0</v>
      </c>
      <c r="E117" s="468"/>
      <c r="F117" s="630"/>
      <c r="G117" s="630"/>
      <c r="H117" s="630"/>
      <c r="I117" s="468"/>
      <c r="J117" s="468"/>
      <c r="K117" s="468"/>
      <c r="L117" s="468">
        <f>'3a. OM_AG-i'!K117</f>
        <v>3478893.21</v>
      </c>
      <c r="M117" s="468">
        <f>'3a. OM_AG-i'!L117</f>
        <v>0</v>
      </c>
      <c r="N117" s="468"/>
      <c r="O117" s="468"/>
      <c r="P117" s="468"/>
      <c r="Q117" s="468"/>
      <c r="R117" s="468"/>
      <c r="S117" s="468"/>
      <c r="T117" s="468"/>
      <c r="U117" s="468"/>
      <c r="V117" s="468"/>
      <c r="W117" s="468"/>
      <c r="X117" s="468">
        <f>'3a. OM_AG-i'!M117</f>
        <v>0</v>
      </c>
      <c r="Y117" s="468"/>
      <c r="Z117" s="468"/>
      <c r="AA117" s="468">
        <f>'3a. OM_AG-i'!N117</f>
        <v>0</v>
      </c>
      <c r="AB117" s="468">
        <f>'3a. OM_AG-i'!O117</f>
        <v>0</v>
      </c>
      <c r="AC117" s="468"/>
      <c r="AD117" s="468"/>
      <c r="AE117" s="468"/>
      <c r="AF117" s="468">
        <f>'3a. OM_AG-i'!P117</f>
        <v>0</v>
      </c>
      <c r="AG117" s="468"/>
      <c r="AH117" s="468">
        <f>'3a. OM_AG-i'!Q117</f>
        <v>0</v>
      </c>
      <c r="AI117" s="62"/>
      <c r="AJ117" s="468">
        <f>'3a. OM_AG-i'!I117</f>
        <v>3478893.21</v>
      </c>
      <c r="AK117" s="62">
        <f t="shared" si="23"/>
        <v>3478893.21</v>
      </c>
      <c r="AL117" s="62">
        <f t="shared" si="24"/>
        <v>0</v>
      </c>
    </row>
    <row r="118" spans="1:38" x14ac:dyDescent="0.3">
      <c r="A118" s="461">
        <v>572</v>
      </c>
      <c r="B118" s="466" t="s">
        <v>662</v>
      </c>
      <c r="C118" s="466"/>
      <c r="D118" s="468">
        <f>'3a. OM_AG-i'!J118</f>
        <v>0</v>
      </c>
      <c r="E118" s="468"/>
      <c r="F118" s="630"/>
      <c r="G118" s="630"/>
      <c r="H118" s="630"/>
      <c r="I118" s="468"/>
      <c r="J118" s="468"/>
      <c r="K118" s="468"/>
      <c r="L118" s="468">
        <f>'3a. OM_AG-i'!K118</f>
        <v>49782.62</v>
      </c>
      <c r="M118" s="468">
        <f>'3a. OM_AG-i'!L118</f>
        <v>0</v>
      </c>
      <c r="N118" s="468"/>
      <c r="O118" s="468"/>
      <c r="P118" s="468"/>
      <c r="Q118" s="468"/>
      <c r="R118" s="468"/>
      <c r="S118" s="468"/>
      <c r="T118" s="468"/>
      <c r="U118" s="468"/>
      <c r="V118" s="468"/>
      <c r="W118" s="468"/>
      <c r="X118" s="468">
        <f>'3a. OM_AG-i'!M118</f>
        <v>0</v>
      </c>
      <c r="Y118" s="468"/>
      <c r="Z118" s="468"/>
      <c r="AA118" s="468">
        <f>'3a. OM_AG-i'!N118</f>
        <v>0</v>
      </c>
      <c r="AB118" s="468">
        <f>'3a. OM_AG-i'!O118</f>
        <v>0</v>
      </c>
      <c r="AC118" s="468"/>
      <c r="AD118" s="468"/>
      <c r="AE118" s="468"/>
      <c r="AF118" s="468">
        <f>'3a. OM_AG-i'!P118</f>
        <v>0</v>
      </c>
      <c r="AG118" s="468"/>
      <c r="AH118" s="468">
        <f>'3a. OM_AG-i'!Q118</f>
        <v>0</v>
      </c>
      <c r="AI118" s="62"/>
      <c r="AJ118" s="468">
        <f>'3a. OM_AG-i'!I118</f>
        <v>49782.62</v>
      </c>
      <c r="AK118" s="62">
        <f t="shared" si="23"/>
        <v>49782.62</v>
      </c>
      <c r="AL118" s="62">
        <f t="shared" si="24"/>
        <v>0</v>
      </c>
    </row>
    <row r="119" spans="1:38" x14ac:dyDescent="0.3">
      <c r="A119" s="461">
        <v>573</v>
      </c>
      <c r="B119" s="466" t="s">
        <v>664</v>
      </c>
      <c r="C119" s="466"/>
      <c r="D119" s="468">
        <f>'3a. OM_AG-i'!J119</f>
        <v>0</v>
      </c>
      <c r="E119" s="468"/>
      <c r="F119" s="630"/>
      <c r="G119" s="630"/>
      <c r="H119" s="630"/>
      <c r="I119" s="468"/>
      <c r="J119" s="468"/>
      <c r="K119" s="468"/>
      <c r="L119" s="468">
        <f>'3a. OM_AG-i'!K119</f>
        <v>2138304.7599999998</v>
      </c>
      <c r="M119" s="468">
        <f>'3a. OM_AG-i'!L119</f>
        <v>0</v>
      </c>
      <c r="N119" s="468"/>
      <c r="O119" s="468"/>
      <c r="P119" s="468"/>
      <c r="Q119" s="468"/>
      <c r="R119" s="468"/>
      <c r="S119" s="468"/>
      <c r="T119" s="468"/>
      <c r="U119" s="468"/>
      <c r="V119" s="468"/>
      <c r="W119" s="468"/>
      <c r="X119" s="468">
        <f>'3a. OM_AG-i'!M119</f>
        <v>0</v>
      </c>
      <c r="Y119" s="468"/>
      <c r="Z119" s="468"/>
      <c r="AA119" s="468">
        <f>'3a. OM_AG-i'!N119</f>
        <v>0</v>
      </c>
      <c r="AB119" s="468">
        <f>'3a. OM_AG-i'!O119</f>
        <v>0</v>
      </c>
      <c r="AC119" s="468"/>
      <c r="AD119" s="468"/>
      <c r="AE119" s="468"/>
      <c r="AF119" s="468">
        <f>'3a. OM_AG-i'!P119</f>
        <v>0</v>
      </c>
      <c r="AG119" s="468"/>
      <c r="AH119" s="468">
        <f>'3a. OM_AG-i'!Q119</f>
        <v>0</v>
      </c>
      <c r="AI119" s="62"/>
      <c r="AJ119" s="468">
        <f>'3a. OM_AG-i'!I119</f>
        <v>2138304.7599999998</v>
      </c>
      <c r="AK119" s="62">
        <f t="shared" si="23"/>
        <v>2138304.7599999998</v>
      </c>
      <c r="AL119" s="62">
        <f t="shared" si="24"/>
        <v>0</v>
      </c>
    </row>
    <row r="120" spans="1:38" x14ac:dyDescent="0.3">
      <c r="A120" s="461"/>
      <c r="B120" s="474" t="s">
        <v>524</v>
      </c>
      <c r="C120" s="474"/>
      <c r="D120" s="468">
        <f>SUM(D114:D119)</f>
        <v>0</v>
      </c>
      <c r="E120" s="468">
        <f>SUM(E114:E119)</f>
        <v>0</v>
      </c>
      <c r="F120" s="630"/>
      <c r="G120" s="630"/>
      <c r="H120" s="630"/>
      <c r="I120" s="468">
        <f>SUM(I114:I119)</f>
        <v>0</v>
      </c>
      <c r="J120" s="468"/>
      <c r="K120" s="468"/>
      <c r="L120" s="468">
        <f t="shared" ref="L120:AH120" si="25">SUM(L114:L119)</f>
        <v>9267615.620000001</v>
      </c>
      <c r="M120" s="468">
        <f t="shared" si="25"/>
        <v>0</v>
      </c>
      <c r="N120" s="468">
        <f t="shared" si="25"/>
        <v>0</v>
      </c>
      <c r="O120" s="468">
        <f t="shared" si="25"/>
        <v>0</v>
      </c>
      <c r="P120" s="468">
        <f t="shared" si="25"/>
        <v>0</v>
      </c>
      <c r="Q120" s="468">
        <f t="shared" si="25"/>
        <v>0</v>
      </c>
      <c r="R120" s="468">
        <f t="shared" si="25"/>
        <v>0</v>
      </c>
      <c r="S120" s="468">
        <f t="shared" si="25"/>
        <v>0</v>
      </c>
      <c r="T120" s="468">
        <f t="shared" si="25"/>
        <v>0</v>
      </c>
      <c r="U120" s="468">
        <f t="shared" si="25"/>
        <v>0</v>
      </c>
      <c r="V120" s="468">
        <f t="shared" si="25"/>
        <v>0</v>
      </c>
      <c r="W120" s="468">
        <f t="shared" si="25"/>
        <v>0</v>
      </c>
      <c r="X120" s="468">
        <f t="shared" si="25"/>
        <v>0</v>
      </c>
      <c r="Y120" s="468">
        <f t="shared" si="25"/>
        <v>0</v>
      </c>
      <c r="Z120" s="468">
        <f t="shared" si="25"/>
        <v>0</v>
      </c>
      <c r="AA120" s="468">
        <f t="shared" si="25"/>
        <v>0</v>
      </c>
      <c r="AB120" s="468">
        <f t="shared" si="25"/>
        <v>0</v>
      </c>
      <c r="AC120" s="468"/>
      <c r="AD120" s="468"/>
      <c r="AE120" s="468"/>
      <c r="AF120" s="468">
        <f t="shared" si="25"/>
        <v>0</v>
      </c>
      <c r="AG120" s="468"/>
      <c r="AH120" s="468">
        <f t="shared" si="25"/>
        <v>0</v>
      </c>
      <c r="AI120" s="62"/>
      <c r="AJ120" s="171">
        <f>SUM(AJ114:AJ119)</f>
        <v>9267615.620000001</v>
      </c>
      <c r="AK120" s="62">
        <f t="shared" si="23"/>
        <v>9267615.620000001</v>
      </c>
      <c r="AL120" s="62">
        <f t="shared" si="24"/>
        <v>0</v>
      </c>
    </row>
    <row r="121" spans="1:38" x14ac:dyDescent="0.3">
      <c r="A121" s="461"/>
      <c r="B121" s="461"/>
      <c r="C121" s="461"/>
      <c r="D121" s="468"/>
      <c r="E121" s="468"/>
      <c r="F121" s="630"/>
      <c r="G121" s="630"/>
      <c r="H121" s="630"/>
      <c r="I121" s="468"/>
      <c r="J121" s="468"/>
      <c r="K121" s="468"/>
      <c r="L121" s="468"/>
      <c r="M121" s="468"/>
      <c r="N121" s="468"/>
      <c r="O121" s="468"/>
      <c r="P121" s="468"/>
      <c r="Q121" s="468"/>
      <c r="R121" s="468"/>
      <c r="S121" s="468"/>
      <c r="T121" s="468"/>
      <c r="U121" s="468"/>
      <c r="V121" s="468"/>
      <c r="W121" s="468"/>
      <c r="X121" s="468"/>
      <c r="Y121" s="468"/>
      <c r="Z121" s="468"/>
      <c r="AA121" s="468"/>
      <c r="AB121" s="468"/>
      <c r="AC121" s="468"/>
      <c r="AD121" s="468"/>
      <c r="AE121" s="468"/>
      <c r="AF121" s="468"/>
      <c r="AG121" s="468"/>
      <c r="AH121" s="468"/>
      <c r="AI121" s="62"/>
      <c r="AJ121" s="62"/>
      <c r="AK121" s="62"/>
      <c r="AL121" s="62"/>
    </row>
    <row r="122" spans="1:38" x14ac:dyDescent="0.3">
      <c r="A122" s="461"/>
      <c r="B122" s="479" t="s">
        <v>541</v>
      </c>
      <c r="C122" s="479"/>
      <c r="D122" s="468">
        <f>D120+D111</f>
        <v>0</v>
      </c>
      <c r="E122" s="468">
        <f>E120+E111</f>
        <v>0</v>
      </c>
      <c r="F122" s="630"/>
      <c r="G122" s="630"/>
      <c r="H122" s="630"/>
      <c r="I122" s="468">
        <f>I120+I111</f>
        <v>0</v>
      </c>
      <c r="J122" s="468"/>
      <c r="K122" s="468"/>
      <c r="L122" s="468">
        <f t="shared" ref="L122:AH122" si="26">L120+L111</f>
        <v>19376670.590000004</v>
      </c>
      <c r="M122" s="468">
        <f t="shared" si="26"/>
        <v>0</v>
      </c>
      <c r="N122" s="468">
        <f t="shared" si="26"/>
        <v>0</v>
      </c>
      <c r="O122" s="468">
        <f t="shared" si="26"/>
        <v>0</v>
      </c>
      <c r="P122" s="468">
        <f t="shared" si="26"/>
        <v>0</v>
      </c>
      <c r="Q122" s="468">
        <f t="shared" si="26"/>
        <v>0</v>
      </c>
      <c r="R122" s="468">
        <f t="shared" si="26"/>
        <v>0</v>
      </c>
      <c r="S122" s="468">
        <f t="shared" si="26"/>
        <v>0</v>
      </c>
      <c r="T122" s="468">
        <f t="shared" si="26"/>
        <v>0</v>
      </c>
      <c r="U122" s="468">
        <f t="shared" si="26"/>
        <v>0</v>
      </c>
      <c r="V122" s="468">
        <f t="shared" si="26"/>
        <v>0</v>
      </c>
      <c r="W122" s="468">
        <f t="shared" si="26"/>
        <v>0</v>
      </c>
      <c r="X122" s="468">
        <f t="shared" si="26"/>
        <v>0</v>
      </c>
      <c r="Y122" s="468"/>
      <c r="Z122" s="468"/>
      <c r="AA122" s="468">
        <f t="shared" si="26"/>
        <v>0</v>
      </c>
      <c r="AB122" s="468">
        <f t="shared" si="26"/>
        <v>0</v>
      </c>
      <c r="AC122" s="468"/>
      <c r="AD122" s="468"/>
      <c r="AE122" s="468"/>
      <c r="AF122" s="468">
        <f t="shared" si="26"/>
        <v>0</v>
      </c>
      <c r="AG122" s="468"/>
      <c r="AH122" s="468">
        <f t="shared" si="26"/>
        <v>0</v>
      </c>
      <c r="AI122" s="62"/>
      <c r="AJ122" s="171">
        <f>AJ120+AJ111</f>
        <v>19376670.590000004</v>
      </c>
      <c r="AK122" s="62">
        <f t="shared" ref="AK122" si="27">SUM(F122:K122,L122,N122:W122,Y122:Z122,AA122:AA122,AC122:AE122,AG122:AH122)</f>
        <v>19376670.590000004</v>
      </c>
      <c r="AL122" s="62">
        <f>AJ122-AK122</f>
        <v>0</v>
      </c>
    </row>
    <row r="123" spans="1:38" x14ac:dyDescent="0.3">
      <c r="A123" s="461"/>
      <c r="B123" s="461"/>
      <c r="C123" s="461"/>
      <c r="D123" s="468"/>
      <c r="E123" s="468"/>
      <c r="F123" s="630"/>
      <c r="G123" s="630"/>
      <c r="H123" s="630"/>
      <c r="I123" s="468"/>
      <c r="J123" s="468"/>
      <c r="K123" s="468"/>
      <c r="L123" s="468"/>
      <c r="M123" s="468"/>
      <c r="N123" s="468"/>
      <c r="O123" s="468"/>
      <c r="P123" s="468"/>
      <c r="Q123" s="468"/>
      <c r="R123" s="468"/>
      <c r="S123" s="468"/>
      <c r="T123" s="468"/>
      <c r="U123" s="468"/>
      <c r="V123" s="468"/>
      <c r="W123" s="468"/>
      <c r="X123" s="468"/>
      <c r="Y123" s="468"/>
      <c r="Z123" s="468"/>
      <c r="AA123" s="468"/>
      <c r="AB123" s="468"/>
      <c r="AC123" s="468"/>
      <c r="AD123" s="468"/>
      <c r="AE123" s="468"/>
      <c r="AF123" s="468"/>
      <c r="AG123" s="468"/>
      <c r="AH123" s="468"/>
      <c r="AI123" s="62"/>
      <c r="AJ123" s="62"/>
      <c r="AK123" s="62"/>
      <c r="AL123" s="62"/>
    </row>
    <row r="124" spans="1:38" x14ac:dyDescent="0.3">
      <c r="A124" s="479" t="s">
        <v>367</v>
      </c>
      <c r="B124" s="461"/>
      <c r="C124" s="461"/>
      <c r="D124" s="468"/>
      <c r="E124" s="468"/>
      <c r="F124" s="630"/>
      <c r="G124" s="630"/>
      <c r="H124" s="630"/>
      <c r="I124" s="468"/>
      <c r="J124" s="468"/>
      <c r="K124" s="468"/>
      <c r="L124" s="468"/>
      <c r="M124" s="468"/>
      <c r="N124" s="468"/>
      <c r="O124" s="468"/>
      <c r="P124" s="468"/>
      <c r="Q124" s="468"/>
      <c r="R124" s="468"/>
      <c r="S124" s="468"/>
      <c r="T124" s="468"/>
      <c r="U124" s="468"/>
      <c r="V124" s="468"/>
      <c r="W124" s="468"/>
      <c r="X124" s="468"/>
      <c r="Y124" s="468"/>
      <c r="Z124" s="468"/>
      <c r="AA124" s="468"/>
      <c r="AB124" s="468"/>
      <c r="AC124" s="468"/>
      <c r="AD124" s="468"/>
      <c r="AE124" s="468"/>
      <c r="AF124" s="468"/>
      <c r="AG124" s="468"/>
      <c r="AH124" s="468"/>
      <c r="AI124" s="62"/>
      <c r="AJ124" s="62"/>
      <c r="AK124" s="62"/>
      <c r="AL124" s="62"/>
    </row>
    <row r="125" spans="1:38" x14ac:dyDescent="0.3">
      <c r="A125" s="461"/>
      <c r="B125" s="464" t="s">
        <v>549</v>
      </c>
      <c r="C125" s="464"/>
      <c r="D125" s="468"/>
      <c r="E125" s="468"/>
      <c r="F125" s="630"/>
      <c r="G125" s="630"/>
      <c r="H125" s="630"/>
      <c r="I125" s="468"/>
      <c r="J125" s="468"/>
      <c r="K125" s="468"/>
      <c r="L125" s="468"/>
      <c r="M125" s="468"/>
      <c r="N125" s="468"/>
      <c r="O125" s="468"/>
      <c r="P125" s="468"/>
      <c r="Q125" s="468"/>
      <c r="R125" s="468"/>
      <c r="S125" s="468"/>
      <c r="T125" s="468"/>
      <c r="U125" s="468"/>
      <c r="V125" s="468"/>
      <c r="W125" s="468"/>
      <c r="X125" s="468"/>
      <c r="Y125" s="468"/>
      <c r="Z125" s="468"/>
      <c r="AA125" s="468"/>
      <c r="AB125" s="468"/>
      <c r="AC125" s="468"/>
      <c r="AD125" s="468"/>
      <c r="AE125" s="468"/>
      <c r="AF125" s="468"/>
      <c r="AG125" s="468"/>
      <c r="AH125" s="468"/>
      <c r="AI125" s="62"/>
      <c r="AJ125" s="62"/>
      <c r="AK125" s="62"/>
      <c r="AL125" s="62"/>
    </row>
    <row r="126" spans="1:38" x14ac:dyDescent="0.3">
      <c r="A126" s="461">
        <v>580</v>
      </c>
      <c r="B126" s="461" t="s">
        <v>615</v>
      </c>
      <c r="C126" s="461"/>
      <c r="D126" s="468">
        <f>'3a. OM_AG-i'!J126</f>
        <v>0</v>
      </c>
      <c r="E126" s="468"/>
      <c r="F126" s="630"/>
      <c r="G126" s="630"/>
      <c r="H126" s="630"/>
      <c r="I126" s="468"/>
      <c r="J126" s="468"/>
      <c r="K126" s="468"/>
      <c r="L126" s="468">
        <f>'3a. OM_AG-i'!K126</f>
        <v>0</v>
      </c>
      <c r="M126" s="468">
        <f>'3a. OM_AG-i'!L126</f>
        <v>4614943.0433644252</v>
      </c>
      <c r="N126" s="468">
        <f t="shared" ref="N126:W126" si="28">$M126*N$137/$M$137</f>
        <v>1630672.2097483305</v>
      </c>
      <c r="O126" s="468">
        <f t="shared" si="28"/>
        <v>1162354.5868754848</v>
      </c>
      <c r="P126" s="468">
        <f t="shared" si="28"/>
        <v>313678.84570680925</v>
      </c>
      <c r="Q126" s="468">
        <f t="shared" si="28"/>
        <v>0</v>
      </c>
      <c r="R126" s="468">
        <f t="shared" si="28"/>
        <v>702163.82787499612</v>
      </c>
      <c r="S126" s="468">
        <f t="shared" si="28"/>
        <v>178570.00849337669</v>
      </c>
      <c r="T126" s="468">
        <f t="shared" si="28"/>
        <v>0</v>
      </c>
      <c r="U126" s="468">
        <f t="shared" si="28"/>
        <v>0</v>
      </c>
      <c r="V126" s="468">
        <f t="shared" si="28"/>
        <v>439980.67560104886</v>
      </c>
      <c r="W126" s="468">
        <f t="shared" si="28"/>
        <v>187522.88906437901</v>
      </c>
      <c r="X126" s="468">
        <f>'3a. OM_AG-i'!M126</f>
        <v>1185105.126635575</v>
      </c>
      <c r="Y126" s="468">
        <f>$X126*Y$137/$X$137</f>
        <v>1185105.126635575</v>
      </c>
      <c r="Z126" s="468">
        <f>$X126*Z$137/$X$137</f>
        <v>0</v>
      </c>
      <c r="AA126" s="468">
        <f>'3a. OM_AG-i'!N126</f>
        <v>0</v>
      </c>
      <c r="AB126" s="468">
        <f>'3a. OM_AG-i'!O126</f>
        <v>0</v>
      </c>
      <c r="AC126" s="468"/>
      <c r="AD126" s="468"/>
      <c r="AE126" s="468"/>
      <c r="AF126" s="468">
        <f>'3a. OM_AG-i'!P126</f>
        <v>0</v>
      </c>
      <c r="AG126" s="468"/>
      <c r="AH126" s="468">
        <f>'3a. OM_AG-i'!Q126</f>
        <v>0</v>
      </c>
      <c r="AI126" s="62"/>
      <c r="AJ126" s="468">
        <f>'3a. OM_AG-i'!I126</f>
        <v>5800048.1699999999</v>
      </c>
      <c r="AK126" s="62">
        <f t="shared" ref="AK126:AK137" si="29">SUM(F126:K126,L126,N126:W126,Y126:Z126,AA126:AA126,AC126:AE126,AG126:AH126)</f>
        <v>5800048.1700000009</v>
      </c>
      <c r="AL126" s="62">
        <f t="shared" ref="AL126:AL137" si="30">AJ126-AK126</f>
        <v>0</v>
      </c>
    </row>
    <row r="127" spans="1:38" x14ac:dyDescent="0.3">
      <c r="A127" s="461">
        <v>581</v>
      </c>
      <c r="B127" s="466" t="s">
        <v>644</v>
      </c>
      <c r="C127" s="466"/>
      <c r="D127" s="468">
        <f>'3a. OM_AG-i'!J127</f>
        <v>0</v>
      </c>
      <c r="E127" s="468"/>
      <c r="F127" s="630"/>
      <c r="G127" s="630"/>
      <c r="H127" s="630"/>
      <c r="I127" s="468"/>
      <c r="J127" s="468"/>
      <c r="K127" s="468"/>
      <c r="L127" s="468">
        <f>'3a. OM_AG-i'!K127</f>
        <v>0</v>
      </c>
      <c r="M127" s="468">
        <f>'3a. OM_AG-i'!L127</f>
        <v>7274474.5499999998</v>
      </c>
      <c r="N127" s="468">
        <f>$M127*'3c. OM_AG-sfaf'!N127/'3c. OM_AG-sfaf'!$M127</f>
        <v>7274474.5499999998</v>
      </c>
      <c r="O127" s="468">
        <f>$M127*'3c. OM_AG-sfaf'!O127/'3c. OM_AG-sfaf'!$M127</f>
        <v>0</v>
      </c>
      <c r="P127" s="468">
        <f>$M127*'3c. OM_AG-sfaf'!P127/'3c. OM_AG-sfaf'!$M127</f>
        <v>0</v>
      </c>
      <c r="Q127" s="468">
        <f>$M127*'3c. OM_AG-sfaf'!Q127/'3c. OM_AG-sfaf'!$M127</f>
        <v>0</v>
      </c>
      <c r="R127" s="468">
        <f>$M127*'3c. OM_AG-sfaf'!R127/'3c. OM_AG-sfaf'!$M127</f>
        <v>0</v>
      </c>
      <c r="S127" s="468">
        <f>$M127*'3c. OM_AG-sfaf'!S127/'3c. OM_AG-sfaf'!$M127</f>
        <v>0</v>
      </c>
      <c r="T127" s="468">
        <f>$M127*'3c. OM_AG-sfaf'!T127/'3c. OM_AG-sfaf'!$M127</f>
        <v>0</v>
      </c>
      <c r="U127" s="468">
        <f>$M127*'3c. OM_AG-sfaf'!U127/'3c. OM_AG-sfaf'!$M127</f>
        <v>0</v>
      </c>
      <c r="V127" s="468">
        <f>$M127*'3c. OM_AG-sfaf'!V127/'3c. OM_AG-sfaf'!$M127</f>
        <v>0</v>
      </c>
      <c r="W127" s="468">
        <f>$M127*'3c. OM_AG-sfaf'!W127/'3c. OM_AG-sfaf'!$M127</f>
        <v>0</v>
      </c>
      <c r="X127" s="468">
        <f>'3a. OM_AG-i'!M127</f>
        <v>0</v>
      </c>
      <c r="Y127" s="468"/>
      <c r="Z127" s="468"/>
      <c r="AA127" s="468">
        <f>'3a. OM_AG-i'!N127</f>
        <v>0</v>
      </c>
      <c r="AB127" s="468">
        <f>'3a. OM_AG-i'!O127</f>
        <v>0</v>
      </c>
      <c r="AC127" s="468"/>
      <c r="AD127" s="468"/>
      <c r="AE127" s="468"/>
      <c r="AF127" s="468">
        <f>'3a. OM_AG-i'!P127</f>
        <v>0</v>
      </c>
      <c r="AG127" s="468"/>
      <c r="AH127" s="468">
        <f>'3a. OM_AG-i'!Q127</f>
        <v>0</v>
      </c>
      <c r="AI127" s="62"/>
      <c r="AJ127" s="468">
        <f>'3a. OM_AG-i'!I127</f>
        <v>7274474.5499999998</v>
      </c>
      <c r="AK127" s="62">
        <f t="shared" si="29"/>
        <v>7274474.5499999998</v>
      </c>
      <c r="AL127" s="62">
        <f t="shared" si="30"/>
        <v>0</v>
      </c>
    </row>
    <row r="128" spans="1:38" x14ac:dyDescent="0.3">
      <c r="A128" s="461">
        <v>582</v>
      </c>
      <c r="B128" s="461" t="s">
        <v>668</v>
      </c>
      <c r="C128" s="461"/>
      <c r="D128" s="468">
        <f>'3a. OM_AG-i'!J128</f>
        <v>0</v>
      </c>
      <c r="E128" s="468"/>
      <c r="F128" s="630"/>
      <c r="G128" s="630"/>
      <c r="H128" s="630"/>
      <c r="I128" s="468"/>
      <c r="J128" s="468"/>
      <c r="K128" s="468"/>
      <c r="L128" s="468">
        <f>'3a. OM_AG-i'!K128</f>
        <v>0</v>
      </c>
      <c r="M128" s="468">
        <f>'3a. OM_AG-i'!L128</f>
        <v>70252.11</v>
      </c>
      <c r="N128" s="468">
        <f>$M128*'3c. OM_AG-sfaf'!N128/'3c. OM_AG-sfaf'!$M128</f>
        <v>70252.11</v>
      </c>
      <c r="O128" s="468">
        <f>$M128*'3c. OM_AG-sfaf'!O128/'3c. OM_AG-sfaf'!$M128</f>
        <v>0</v>
      </c>
      <c r="P128" s="468">
        <f>$M128*'3c. OM_AG-sfaf'!P128/'3c. OM_AG-sfaf'!$M128</f>
        <v>0</v>
      </c>
      <c r="Q128" s="468">
        <f>$M128*'3c. OM_AG-sfaf'!Q128/'3c. OM_AG-sfaf'!$M128</f>
        <v>0</v>
      </c>
      <c r="R128" s="468">
        <f>$M128*'3c. OM_AG-sfaf'!R128/'3c. OM_AG-sfaf'!$M128</f>
        <v>0</v>
      </c>
      <c r="S128" s="468">
        <f>$M128*'3c. OM_AG-sfaf'!S128/'3c. OM_AG-sfaf'!$M128</f>
        <v>0</v>
      </c>
      <c r="T128" s="468">
        <f>$M128*'3c. OM_AG-sfaf'!T128/'3c. OM_AG-sfaf'!$M128</f>
        <v>0</v>
      </c>
      <c r="U128" s="468">
        <f>$M128*'3c. OM_AG-sfaf'!U128/'3c. OM_AG-sfaf'!$M128</f>
        <v>0</v>
      </c>
      <c r="V128" s="468">
        <f>$M128*'3c. OM_AG-sfaf'!V128/'3c. OM_AG-sfaf'!$M128</f>
        <v>0</v>
      </c>
      <c r="W128" s="468">
        <f>$M128*'3c. OM_AG-sfaf'!W128/'3c. OM_AG-sfaf'!$M128</f>
        <v>0</v>
      </c>
      <c r="X128" s="468">
        <f>'3a. OM_AG-i'!M128</f>
        <v>0</v>
      </c>
      <c r="Y128" s="468"/>
      <c r="Z128" s="468"/>
      <c r="AA128" s="468">
        <f>'3a. OM_AG-i'!N128</f>
        <v>0</v>
      </c>
      <c r="AB128" s="468">
        <f>'3a. OM_AG-i'!O128</f>
        <v>0</v>
      </c>
      <c r="AC128" s="468"/>
      <c r="AD128" s="468"/>
      <c r="AE128" s="468"/>
      <c r="AF128" s="468">
        <f>'3a. OM_AG-i'!P128</f>
        <v>0</v>
      </c>
      <c r="AG128" s="468"/>
      <c r="AH128" s="468">
        <f>'3a. OM_AG-i'!Q128</f>
        <v>0</v>
      </c>
      <c r="AI128" s="62"/>
      <c r="AJ128" s="468">
        <f>'3a. OM_AG-i'!I128</f>
        <v>70252.11</v>
      </c>
      <c r="AK128" s="62">
        <f t="shared" si="29"/>
        <v>70252.11</v>
      </c>
      <c r="AL128" s="62">
        <f t="shared" si="30"/>
        <v>0</v>
      </c>
    </row>
    <row r="129" spans="1:38" x14ac:dyDescent="0.3">
      <c r="A129" s="461">
        <v>583</v>
      </c>
      <c r="B129" s="461" t="s">
        <v>670</v>
      </c>
      <c r="C129" s="461"/>
      <c r="D129" s="468">
        <f>'3a. OM_AG-i'!J129</f>
        <v>0</v>
      </c>
      <c r="E129" s="468"/>
      <c r="F129" s="630"/>
      <c r="G129" s="630"/>
      <c r="H129" s="630"/>
      <c r="I129" s="468"/>
      <c r="J129" s="468"/>
      <c r="K129" s="468"/>
      <c r="L129" s="468">
        <f>'3a. OM_AG-i'!K129</f>
        <v>0</v>
      </c>
      <c r="M129" s="468">
        <f>'3a. OM_AG-i'!L129</f>
        <v>5794580.9500000002</v>
      </c>
      <c r="N129" s="468">
        <f>$M129*'3c. OM_AG-sfaf'!N129/'3c. OM_AG-sfaf'!$M129</f>
        <v>0</v>
      </c>
      <c r="O129" s="468">
        <f>$M129*'3c. OM_AG-sfaf'!O129/'3c. OM_AG-sfaf'!$M129</f>
        <v>2112972.6569065843</v>
      </c>
      <c r="P129" s="468">
        <f>$M129*'3c. OM_AG-sfaf'!P129/'3c. OM_AG-sfaf'!$M129</f>
        <v>615188.97845320147</v>
      </c>
      <c r="Q129" s="468">
        <f>$M129*'3c. OM_AG-sfaf'!Q129/'3c. OM_AG-sfaf'!$M129</f>
        <v>0</v>
      </c>
      <c r="R129" s="468">
        <f>$M129*'3c. OM_AG-sfaf'!R129/'3c. OM_AG-sfaf'!$M129</f>
        <v>2167206.3971194844</v>
      </c>
      <c r="S129" s="468">
        <f>$M129*'3c. OM_AG-sfaf'!S129/'3c. OM_AG-sfaf'!$M129</f>
        <v>621385.93027072016</v>
      </c>
      <c r="T129" s="468">
        <f>$M129*'3c. OM_AG-sfaf'!T129/'3c. OM_AG-sfaf'!$M129</f>
        <v>0</v>
      </c>
      <c r="U129" s="468">
        <f>$M129*'3c. OM_AG-sfaf'!U129/'3c. OM_AG-sfaf'!$M129</f>
        <v>0</v>
      </c>
      <c r="V129" s="468">
        <f>$M129*'3c. OM_AG-sfaf'!V129/'3c. OM_AG-sfaf'!$M129</f>
        <v>277826.98725000967</v>
      </c>
      <c r="W129" s="468">
        <f>$M129*'3c. OM_AG-sfaf'!W129/'3c. OM_AG-sfaf'!$M129</f>
        <v>0</v>
      </c>
      <c r="X129" s="468">
        <f>'3a. OM_AG-i'!M129</f>
        <v>0</v>
      </c>
      <c r="Y129" s="468"/>
      <c r="Z129" s="468"/>
      <c r="AA129" s="468">
        <f>'3a. OM_AG-i'!N129</f>
        <v>0</v>
      </c>
      <c r="AB129" s="468">
        <f>'3a. OM_AG-i'!O129</f>
        <v>0</v>
      </c>
      <c r="AC129" s="468"/>
      <c r="AD129" s="468"/>
      <c r="AE129" s="468"/>
      <c r="AF129" s="468">
        <f>'3a. OM_AG-i'!P129</f>
        <v>0</v>
      </c>
      <c r="AG129" s="468"/>
      <c r="AH129" s="468">
        <f>'3a. OM_AG-i'!Q129</f>
        <v>0</v>
      </c>
      <c r="AI129" s="62"/>
      <c r="AJ129" s="468">
        <f>'3a. OM_AG-i'!I129</f>
        <v>5794580.9500000002</v>
      </c>
      <c r="AK129" s="62">
        <f t="shared" si="29"/>
        <v>5794580.9499999993</v>
      </c>
      <c r="AL129" s="62">
        <f t="shared" si="30"/>
        <v>0</v>
      </c>
    </row>
    <row r="130" spans="1:38" x14ac:dyDescent="0.3">
      <c r="A130" s="461">
        <v>584</v>
      </c>
      <c r="B130" s="461" t="s">
        <v>649</v>
      </c>
      <c r="C130" s="461"/>
      <c r="D130" s="468">
        <f>'3a. OM_AG-i'!J130</f>
        <v>0</v>
      </c>
      <c r="E130" s="468"/>
      <c r="F130" s="630"/>
      <c r="G130" s="630"/>
      <c r="H130" s="630"/>
      <c r="I130" s="468"/>
      <c r="J130" s="468"/>
      <c r="K130" s="468"/>
      <c r="L130" s="468">
        <f>'3a. OM_AG-i'!K130</f>
        <v>0</v>
      </c>
      <c r="M130" s="468">
        <f>'3a. OM_AG-i'!L130</f>
        <v>5098384.5599999996</v>
      </c>
      <c r="N130" s="468">
        <f>$M130*'3c. OM_AG-sfaf'!N130/'3c. OM_AG-sfaf'!$M130</f>
        <v>0</v>
      </c>
      <c r="O130" s="468">
        <f>$M130*'3c. OM_AG-sfaf'!O130/'3c. OM_AG-sfaf'!$M130</f>
        <v>3122400.0142909237</v>
      </c>
      <c r="P130" s="468">
        <f>$M130*'3c. OM_AG-sfaf'!P130/'3c. OM_AG-sfaf'!$M130</f>
        <v>797654.98060120491</v>
      </c>
      <c r="Q130" s="468">
        <f>$M130*'3c. OM_AG-sfaf'!Q130/'3c. OM_AG-sfaf'!$M130</f>
        <v>0</v>
      </c>
      <c r="R130" s="468">
        <f>$M130*'3c. OM_AG-sfaf'!R130/'3c. OM_AG-sfaf'!$M130</f>
        <v>995416.57238403813</v>
      </c>
      <c r="S130" s="468">
        <f>$M130*'3c. OM_AG-sfaf'!S130/'3c. OM_AG-sfaf'!$M130</f>
        <v>182912.99272383298</v>
      </c>
      <c r="T130" s="468">
        <f>$M130*'3c. OM_AG-sfaf'!T130/'3c. OM_AG-sfaf'!$M130</f>
        <v>0</v>
      </c>
      <c r="U130" s="468">
        <f>$M130*'3c. OM_AG-sfaf'!U130/'3c. OM_AG-sfaf'!$M130</f>
        <v>0</v>
      </c>
      <c r="V130" s="468">
        <f>$M130*'3c. OM_AG-sfaf'!V130/'3c. OM_AG-sfaf'!$M130</f>
        <v>0</v>
      </c>
      <c r="W130" s="468">
        <f>$M130*'3c. OM_AG-sfaf'!W130/'3c. OM_AG-sfaf'!$M130</f>
        <v>0</v>
      </c>
      <c r="X130" s="468">
        <f>'3a. OM_AG-i'!M130</f>
        <v>0</v>
      </c>
      <c r="Y130" s="468"/>
      <c r="Z130" s="468"/>
      <c r="AA130" s="468">
        <f>'3a. OM_AG-i'!N130</f>
        <v>0</v>
      </c>
      <c r="AB130" s="468">
        <f>'3a. OM_AG-i'!O130</f>
        <v>0</v>
      </c>
      <c r="AC130" s="468"/>
      <c r="AD130" s="468"/>
      <c r="AE130" s="468"/>
      <c r="AF130" s="468">
        <f>'3a. OM_AG-i'!P130</f>
        <v>0</v>
      </c>
      <c r="AG130" s="468"/>
      <c r="AH130" s="468">
        <f>'3a. OM_AG-i'!Q130</f>
        <v>0</v>
      </c>
      <c r="AI130" s="62"/>
      <c r="AJ130" s="468">
        <f>'3a. OM_AG-i'!I130</f>
        <v>5098384.5599999996</v>
      </c>
      <c r="AK130" s="62">
        <f t="shared" si="29"/>
        <v>5098384.5599999996</v>
      </c>
      <c r="AL130" s="62">
        <f t="shared" si="30"/>
        <v>0</v>
      </c>
    </row>
    <row r="131" spans="1:38" x14ac:dyDescent="0.3">
      <c r="A131" s="461">
        <v>585</v>
      </c>
      <c r="B131" s="461" t="s">
        <v>673</v>
      </c>
      <c r="C131" s="461"/>
      <c r="D131" s="468">
        <f>'3a. OM_AG-i'!J131</f>
        <v>0</v>
      </c>
      <c r="E131" s="468"/>
      <c r="F131" s="630"/>
      <c r="G131" s="630"/>
      <c r="H131" s="630"/>
      <c r="I131" s="468"/>
      <c r="J131" s="468"/>
      <c r="K131" s="468"/>
      <c r="L131" s="468">
        <f>'3a. OM_AG-i'!K131</f>
        <v>0</v>
      </c>
      <c r="M131" s="468">
        <f>'3a. OM_AG-i'!L131</f>
        <v>1703894.28</v>
      </c>
      <c r="N131" s="468">
        <f>$M131*'3c. OM_AG-sfaf'!N131/'3c. OM_AG-sfaf'!$M131</f>
        <v>0</v>
      </c>
      <c r="O131" s="468">
        <f>$M131*'3c. OM_AG-sfaf'!O131/'3c. OM_AG-sfaf'!$M131</f>
        <v>0</v>
      </c>
      <c r="P131" s="468">
        <f>$M131*'3c. OM_AG-sfaf'!P131/'3c. OM_AG-sfaf'!$M131</f>
        <v>0</v>
      </c>
      <c r="Q131" s="468">
        <f>$M131*'3c. OM_AG-sfaf'!Q131/'3c. OM_AG-sfaf'!$M131</f>
        <v>0</v>
      </c>
      <c r="R131" s="468">
        <f>$M131*'3c. OM_AG-sfaf'!R131/'3c. OM_AG-sfaf'!$M131</f>
        <v>0</v>
      </c>
      <c r="S131" s="468">
        <f>$M131*'3c. OM_AG-sfaf'!S131/'3c. OM_AG-sfaf'!$M131</f>
        <v>0</v>
      </c>
      <c r="T131" s="468">
        <f>$M131*'3c. OM_AG-sfaf'!T131/'3c. OM_AG-sfaf'!$M131</f>
        <v>0</v>
      </c>
      <c r="U131" s="468">
        <f>$M131*'3c. OM_AG-sfaf'!U131/'3c. OM_AG-sfaf'!$M131</f>
        <v>0</v>
      </c>
      <c r="V131" s="468">
        <f>$M131*'3c. OM_AG-sfaf'!V131/'3c. OM_AG-sfaf'!$M131</f>
        <v>1703894.28</v>
      </c>
      <c r="W131" s="468">
        <f>$M131*'3c. OM_AG-sfaf'!W131/'3c. OM_AG-sfaf'!$M131</f>
        <v>0</v>
      </c>
      <c r="X131" s="468">
        <f>'3a. OM_AG-i'!M131</f>
        <v>0</v>
      </c>
      <c r="Y131" s="468"/>
      <c r="Z131" s="468"/>
      <c r="AA131" s="468">
        <f>'3a. OM_AG-i'!N131</f>
        <v>0</v>
      </c>
      <c r="AB131" s="468">
        <f>'3a. OM_AG-i'!O131</f>
        <v>0</v>
      </c>
      <c r="AC131" s="468"/>
      <c r="AD131" s="468"/>
      <c r="AE131" s="468"/>
      <c r="AF131" s="468">
        <f>'3a. OM_AG-i'!P131</f>
        <v>0</v>
      </c>
      <c r="AG131" s="468"/>
      <c r="AH131" s="468">
        <f>'3a. OM_AG-i'!Q131</f>
        <v>0</v>
      </c>
      <c r="AI131" s="62"/>
      <c r="AJ131" s="468">
        <f>'3a. OM_AG-i'!I131</f>
        <v>1703894.28</v>
      </c>
      <c r="AK131" s="62">
        <f t="shared" si="29"/>
        <v>1703894.28</v>
      </c>
      <c r="AL131" s="62">
        <f t="shared" si="30"/>
        <v>0</v>
      </c>
    </row>
    <row r="132" spans="1:38" x14ac:dyDescent="0.3">
      <c r="A132" s="461">
        <v>586</v>
      </c>
      <c r="B132" s="461" t="s">
        <v>675</v>
      </c>
      <c r="C132" s="461"/>
      <c r="D132" s="468">
        <f>'3a. OM_AG-i'!J132</f>
        <v>0</v>
      </c>
      <c r="E132" s="468"/>
      <c r="F132" s="630"/>
      <c r="G132" s="630"/>
      <c r="H132" s="630"/>
      <c r="I132" s="468"/>
      <c r="J132" s="468"/>
      <c r="K132" s="468"/>
      <c r="L132" s="468">
        <f>'3a. OM_AG-i'!K132</f>
        <v>0</v>
      </c>
      <c r="M132" s="468">
        <f>'3a. OM_AG-i'!L132</f>
        <v>0</v>
      </c>
      <c r="N132" s="468"/>
      <c r="O132" s="468"/>
      <c r="P132" s="468"/>
      <c r="Q132" s="468"/>
      <c r="R132" s="468"/>
      <c r="S132" s="468"/>
      <c r="T132" s="468"/>
      <c r="U132" s="468"/>
      <c r="V132" s="468"/>
      <c r="W132" s="468"/>
      <c r="X132" s="468">
        <f>'3a. OM_AG-i'!M132</f>
        <v>5337843.5999999996</v>
      </c>
      <c r="Y132" s="468">
        <f>$X132*'3c. OM_AG-sfaf'!Y132/'3c. OM_AG-sfaf'!$X132</f>
        <v>5337843.5999999996</v>
      </c>
      <c r="Z132" s="468">
        <f>$X132*'3c. OM_AG-sfaf'!Z132/'3c. OM_AG-sfaf'!$X132</f>
        <v>0</v>
      </c>
      <c r="AA132" s="468">
        <f>'3a. OM_AG-i'!N132</f>
        <v>0</v>
      </c>
      <c r="AB132" s="468">
        <f>'3a. OM_AG-i'!O132</f>
        <v>0</v>
      </c>
      <c r="AC132" s="468"/>
      <c r="AD132" s="468"/>
      <c r="AE132" s="468"/>
      <c r="AF132" s="468">
        <f>'3a. OM_AG-i'!P132</f>
        <v>0</v>
      </c>
      <c r="AG132" s="468"/>
      <c r="AH132" s="468">
        <f>'3a. OM_AG-i'!Q132</f>
        <v>0</v>
      </c>
      <c r="AI132" s="62"/>
      <c r="AJ132" s="468">
        <f>'3a. OM_AG-i'!I132</f>
        <v>5337843.5999999996</v>
      </c>
      <c r="AK132" s="62">
        <f t="shared" si="29"/>
        <v>5337843.5999999996</v>
      </c>
      <c r="AL132" s="62">
        <f t="shared" si="30"/>
        <v>0</v>
      </c>
    </row>
    <row r="133" spans="1:38" x14ac:dyDescent="0.3">
      <c r="A133" s="461">
        <v>587</v>
      </c>
      <c r="B133" s="461" t="s">
        <v>677</v>
      </c>
      <c r="C133" s="461"/>
      <c r="D133" s="468">
        <f>'3a. OM_AG-i'!J133</f>
        <v>0</v>
      </c>
      <c r="E133" s="468"/>
      <c r="F133" s="630"/>
      <c r="G133" s="630"/>
      <c r="H133" s="630"/>
      <c r="I133" s="468"/>
      <c r="J133" s="468"/>
      <c r="K133" s="468"/>
      <c r="L133" s="468">
        <f>'3a. OM_AG-i'!K133</f>
        <v>0</v>
      </c>
      <c r="M133" s="468">
        <f>'3a. OM_AG-i'!L133</f>
        <v>844623.68</v>
      </c>
      <c r="N133" s="468">
        <f>$M133*'3c. OM_AG-sfaf'!N133/'3c. OM_AG-sfaf'!$M133</f>
        <v>0</v>
      </c>
      <c r="O133" s="468">
        <f>$M133*'3c. OM_AG-sfaf'!O133/'3c. OM_AG-sfaf'!$M133</f>
        <v>0</v>
      </c>
      <c r="P133" s="468">
        <f>$M133*'3c. OM_AG-sfaf'!P133/'3c. OM_AG-sfaf'!$M133</f>
        <v>0</v>
      </c>
      <c r="Q133" s="468">
        <f>$M133*'3c. OM_AG-sfaf'!Q133/'3c. OM_AG-sfaf'!$M133</f>
        <v>0</v>
      </c>
      <c r="R133" s="468">
        <f>$M133*'3c. OM_AG-sfaf'!R133/'3c. OM_AG-sfaf'!$M133</f>
        <v>0</v>
      </c>
      <c r="S133" s="468">
        <f>$M133*'3c. OM_AG-sfaf'!S133/'3c. OM_AG-sfaf'!$M133</f>
        <v>0</v>
      </c>
      <c r="T133" s="468">
        <f>$M133*'3c. OM_AG-sfaf'!T133/'3c. OM_AG-sfaf'!$M133</f>
        <v>0</v>
      </c>
      <c r="U133" s="468">
        <f>$M133*'3c. OM_AG-sfaf'!U133/'3c. OM_AG-sfaf'!$M133</f>
        <v>0</v>
      </c>
      <c r="V133" s="468">
        <f>$M133*'3c. OM_AG-sfaf'!V133/'3c. OM_AG-sfaf'!$M133</f>
        <v>0</v>
      </c>
      <c r="W133" s="468">
        <f>$M133*'3c. OM_AG-sfaf'!W133/'3c. OM_AG-sfaf'!$M133</f>
        <v>844623.68</v>
      </c>
      <c r="X133" s="468">
        <f>'3a. OM_AG-i'!M133</f>
        <v>0</v>
      </c>
      <c r="Y133" s="468"/>
      <c r="Z133" s="468"/>
      <c r="AA133" s="468">
        <f>'3a. OM_AG-i'!N133</f>
        <v>0</v>
      </c>
      <c r="AB133" s="468">
        <f>'3a. OM_AG-i'!O133</f>
        <v>0</v>
      </c>
      <c r="AC133" s="468"/>
      <c r="AD133" s="468"/>
      <c r="AE133" s="468"/>
      <c r="AF133" s="468">
        <f>'3a. OM_AG-i'!P133</f>
        <v>0</v>
      </c>
      <c r="AG133" s="468"/>
      <c r="AH133" s="468">
        <f>'3a. OM_AG-i'!Q133</f>
        <v>0</v>
      </c>
      <c r="AI133" s="62"/>
      <c r="AJ133" s="468">
        <f>'3a. OM_AG-i'!I133</f>
        <v>844623.68</v>
      </c>
      <c r="AK133" s="62">
        <f t="shared" si="29"/>
        <v>844623.68</v>
      </c>
      <c r="AL133" s="62">
        <f t="shared" si="30"/>
        <v>0</v>
      </c>
    </row>
    <row r="134" spans="1:38" x14ac:dyDescent="0.3">
      <c r="A134" s="461">
        <v>588</v>
      </c>
      <c r="B134" s="466" t="s">
        <v>679</v>
      </c>
      <c r="C134" s="466"/>
      <c r="D134" s="468">
        <f>'3a. OM_AG-i'!J134</f>
        <v>0</v>
      </c>
      <c r="E134" s="468"/>
      <c r="F134" s="630"/>
      <c r="G134" s="630"/>
      <c r="H134" s="630"/>
      <c r="I134" s="468"/>
      <c r="J134" s="468"/>
      <c r="K134" s="468"/>
      <c r="L134" s="468">
        <f>'3a. OM_AG-i'!K134</f>
        <v>0</v>
      </c>
      <c r="M134" s="468">
        <f>'3a. OM_AG-i'!L134</f>
        <v>10421419.037102304</v>
      </c>
      <c r="N134" s="468">
        <f>$M134*'3c. OM_AG-sfaf'!N134/'3c. OM_AG-sfaf'!$M134</f>
        <v>3682367.9621310956</v>
      </c>
      <c r="O134" s="468">
        <f>$M134*'3c. OM_AG-sfaf'!O134/'3c. OM_AG-sfaf'!$M134</f>
        <v>2624817.7075434411</v>
      </c>
      <c r="P134" s="468">
        <f>$M134*'3c. OM_AG-sfaf'!P134/'3c. OM_AG-sfaf'!$M134</f>
        <v>708346.48737117229</v>
      </c>
      <c r="Q134" s="468">
        <f>$M134*'3c. OM_AG-sfaf'!Q134/'3c. OM_AG-sfaf'!$M134</f>
        <v>0</v>
      </c>
      <c r="R134" s="468">
        <f>$M134*'3c. OM_AG-sfaf'!R134/'3c. OM_AG-sfaf'!$M134</f>
        <v>1585619.4571030745</v>
      </c>
      <c r="S134" s="468">
        <f>$M134*'3c. OM_AG-sfaf'!S134/'3c. OM_AG-sfaf'!$M134</f>
        <v>403245.03866719629</v>
      </c>
      <c r="T134" s="468">
        <f>$M134*'3c. OM_AG-sfaf'!T134/'3c. OM_AG-sfaf'!$M134</f>
        <v>0</v>
      </c>
      <c r="U134" s="468">
        <f>$M134*'3c. OM_AG-sfaf'!U134/'3c. OM_AG-sfaf'!$M134</f>
        <v>0</v>
      </c>
      <c r="V134" s="468">
        <f>$M134*'3c. OM_AG-sfaf'!V134/'3c. OM_AG-sfaf'!$M134</f>
        <v>993560.03867886204</v>
      </c>
      <c r="W134" s="468">
        <f>$M134*'3c. OM_AG-sfaf'!W134/'3c. OM_AG-sfaf'!$M134</f>
        <v>423462.34560746292</v>
      </c>
      <c r="X134" s="468">
        <f>'3a. OM_AG-i'!M134</f>
        <v>2676192.7528976966</v>
      </c>
      <c r="Y134" s="468">
        <f>$X134*Y$137/$X$137</f>
        <v>2676192.7528976966</v>
      </c>
      <c r="Z134" s="468">
        <f>$X134*Z$137/$X$137</f>
        <v>0</v>
      </c>
      <c r="AA134" s="468">
        <f>'3a. OM_AG-i'!N134</f>
        <v>0</v>
      </c>
      <c r="AB134" s="468">
        <f>'3a. OM_AG-i'!O134</f>
        <v>0</v>
      </c>
      <c r="AC134" s="468"/>
      <c r="AD134" s="468"/>
      <c r="AE134" s="468"/>
      <c r="AF134" s="468">
        <f>'3a. OM_AG-i'!P134</f>
        <v>0</v>
      </c>
      <c r="AG134" s="468"/>
      <c r="AH134" s="468">
        <f>'3a. OM_AG-i'!Q134</f>
        <v>0</v>
      </c>
      <c r="AI134" s="62"/>
      <c r="AJ134" s="468">
        <f>'3a. OM_AG-i'!I134</f>
        <v>13097611.789999999</v>
      </c>
      <c r="AK134" s="62">
        <f t="shared" si="29"/>
        <v>13097611.790000003</v>
      </c>
      <c r="AL134" s="62">
        <f t="shared" si="30"/>
        <v>0</v>
      </c>
    </row>
    <row r="135" spans="1:38" x14ac:dyDescent="0.3">
      <c r="A135" s="461">
        <v>589</v>
      </c>
      <c r="B135" s="461" t="s">
        <v>564</v>
      </c>
      <c r="C135" s="461"/>
      <c r="D135" s="468">
        <f>'3a. OM_AG-i'!J135</f>
        <v>0</v>
      </c>
      <c r="E135" s="468"/>
      <c r="F135" s="630"/>
      <c r="G135" s="630"/>
      <c r="H135" s="630"/>
      <c r="I135" s="468"/>
      <c r="J135" s="468"/>
      <c r="K135" s="468"/>
      <c r="L135" s="468">
        <f>'3a. OM_AG-i'!K135</f>
        <v>0</v>
      </c>
      <c r="M135" s="468">
        <f>'3a. OM_AG-i'!L135</f>
        <v>0</v>
      </c>
      <c r="N135" s="468"/>
      <c r="O135" s="468"/>
      <c r="P135" s="468"/>
      <c r="Q135" s="468"/>
      <c r="R135" s="468"/>
      <c r="S135" s="468"/>
      <c r="T135" s="468"/>
      <c r="U135" s="468"/>
      <c r="V135" s="468"/>
      <c r="W135" s="468"/>
      <c r="X135" s="468">
        <f>'3a. OM_AG-i'!M135</f>
        <v>0</v>
      </c>
      <c r="Y135" s="468"/>
      <c r="Z135" s="468"/>
      <c r="AA135" s="468">
        <f>'3a. OM_AG-i'!N135</f>
        <v>0</v>
      </c>
      <c r="AB135" s="468">
        <f>'3a. OM_AG-i'!O135</f>
        <v>0</v>
      </c>
      <c r="AC135" s="468"/>
      <c r="AD135" s="468"/>
      <c r="AE135" s="468"/>
      <c r="AF135" s="468">
        <f>'3a. OM_AG-i'!P135</f>
        <v>0</v>
      </c>
      <c r="AG135" s="468"/>
      <c r="AH135" s="468">
        <f>'3a. OM_AG-i'!Q135</f>
        <v>0</v>
      </c>
      <c r="AI135" s="62"/>
      <c r="AJ135" s="468">
        <f>'3a. OM_AG-i'!I135</f>
        <v>0</v>
      </c>
      <c r="AK135" s="62">
        <f t="shared" si="29"/>
        <v>0</v>
      </c>
      <c r="AL135" s="62">
        <f t="shared" si="30"/>
        <v>0</v>
      </c>
    </row>
    <row r="136" spans="1:38" x14ac:dyDescent="0.3">
      <c r="A136" s="461"/>
      <c r="B136" s="474" t="s">
        <v>524</v>
      </c>
      <c r="C136" s="474"/>
      <c r="D136" s="468">
        <f>SUM(D126:D135)</f>
        <v>0</v>
      </c>
      <c r="E136" s="468">
        <f t="shared" ref="E136:AJ136" si="31">SUM(E126:E135)</f>
        <v>0</v>
      </c>
      <c r="F136" s="630"/>
      <c r="G136" s="630"/>
      <c r="H136" s="630"/>
      <c r="I136" s="468">
        <f t="shared" si="31"/>
        <v>0</v>
      </c>
      <c r="J136" s="468">
        <f t="shared" si="31"/>
        <v>0</v>
      </c>
      <c r="K136" s="468"/>
      <c r="L136" s="468">
        <f t="shared" si="31"/>
        <v>0</v>
      </c>
      <c r="M136" s="468">
        <f t="shared" si="31"/>
        <v>35822572.210466728</v>
      </c>
      <c r="N136" s="468">
        <f t="shared" si="31"/>
        <v>12657766.831879426</v>
      </c>
      <c r="O136" s="468">
        <f t="shared" si="31"/>
        <v>9022544.9656164348</v>
      </c>
      <c r="P136" s="468">
        <f t="shared" si="31"/>
        <v>2434869.2921323879</v>
      </c>
      <c r="Q136" s="468">
        <f t="shared" si="31"/>
        <v>0</v>
      </c>
      <c r="R136" s="468">
        <f t="shared" si="31"/>
        <v>5450406.2544815931</v>
      </c>
      <c r="S136" s="468">
        <f t="shared" si="31"/>
        <v>1386113.9701551259</v>
      </c>
      <c r="T136" s="468">
        <f t="shared" si="31"/>
        <v>0</v>
      </c>
      <c r="U136" s="468">
        <f t="shared" si="31"/>
        <v>0</v>
      </c>
      <c r="V136" s="468">
        <f t="shared" si="31"/>
        <v>3415261.9815299208</v>
      </c>
      <c r="W136" s="468">
        <f t="shared" si="31"/>
        <v>1455608.914671842</v>
      </c>
      <c r="X136" s="468">
        <f t="shared" si="31"/>
        <v>9199141.47953327</v>
      </c>
      <c r="Y136" s="468">
        <f t="shared" si="31"/>
        <v>9199141.47953327</v>
      </c>
      <c r="Z136" s="468">
        <f t="shared" si="31"/>
        <v>0</v>
      </c>
      <c r="AA136" s="468">
        <f t="shared" si="31"/>
        <v>0</v>
      </c>
      <c r="AB136" s="468">
        <f t="shared" si="31"/>
        <v>0</v>
      </c>
      <c r="AC136" s="468"/>
      <c r="AD136" s="468"/>
      <c r="AE136" s="468"/>
      <c r="AF136" s="468">
        <f t="shared" si="31"/>
        <v>0</v>
      </c>
      <c r="AG136" s="468"/>
      <c r="AH136" s="468">
        <f t="shared" si="31"/>
        <v>0</v>
      </c>
      <c r="AI136" s="62"/>
      <c r="AJ136" s="171">
        <f t="shared" si="31"/>
        <v>45021713.689999998</v>
      </c>
      <c r="AK136" s="62">
        <f t="shared" si="29"/>
        <v>45021713.689999998</v>
      </c>
      <c r="AL136" s="62">
        <f t="shared" si="30"/>
        <v>0</v>
      </c>
    </row>
    <row r="137" spans="1:38" x14ac:dyDescent="0.3">
      <c r="A137" s="461" t="s">
        <v>1205</v>
      </c>
      <c r="B137" s="461" t="s">
        <v>828</v>
      </c>
      <c r="C137" s="461"/>
      <c r="D137" s="468">
        <f>SUM(D127:D133,D135)</f>
        <v>0</v>
      </c>
      <c r="E137" s="468">
        <f t="shared" ref="E137:AH137" si="32">SUM(E127:E133,E135)</f>
        <v>0</v>
      </c>
      <c r="F137" s="630"/>
      <c r="G137" s="630"/>
      <c r="H137" s="630"/>
      <c r="I137" s="468">
        <f t="shared" si="32"/>
        <v>0</v>
      </c>
      <c r="J137" s="468">
        <f t="shared" si="32"/>
        <v>0</v>
      </c>
      <c r="K137" s="468"/>
      <c r="L137" s="468">
        <f t="shared" si="32"/>
        <v>0</v>
      </c>
      <c r="M137" s="468">
        <f t="shared" si="32"/>
        <v>20786210.129999999</v>
      </c>
      <c r="N137" s="468">
        <f t="shared" si="32"/>
        <v>7344726.6600000001</v>
      </c>
      <c r="O137" s="468">
        <f t="shared" si="32"/>
        <v>5235372.6711975075</v>
      </c>
      <c r="P137" s="468">
        <f t="shared" si="32"/>
        <v>1412843.9590544063</v>
      </c>
      <c r="Q137" s="468">
        <f t="shared" si="32"/>
        <v>0</v>
      </c>
      <c r="R137" s="468">
        <f t="shared" si="32"/>
        <v>3162622.9695035224</v>
      </c>
      <c r="S137" s="468">
        <f t="shared" si="32"/>
        <v>804298.92299455311</v>
      </c>
      <c r="T137" s="468">
        <f t="shared" si="32"/>
        <v>0</v>
      </c>
      <c r="U137" s="468">
        <f t="shared" si="32"/>
        <v>0</v>
      </c>
      <c r="V137" s="468">
        <f t="shared" si="32"/>
        <v>1981721.2672500098</v>
      </c>
      <c r="W137" s="468">
        <f t="shared" si="32"/>
        <v>844623.68</v>
      </c>
      <c r="X137" s="468">
        <f t="shared" si="32"/>
        <v>5337843.5999999996</v>
      </c>
      <c r="Y137" s="468">
        <f t="shared" si="32"/>
        <v>5337843.5999999996</v>
      </c>
      <c r="Z137" s="468">
        <f t="shared" si="32"/>
        <v>0</v>
      </c>
      <c r="AA137" s="468">
        <f t="shared" si="32"/>
        <v>0</v>
      </c>
      <c r="AB137" s="468">
        <f t="shared" si="32"/>
        <v>0</v>
      </c>
      <c r="AC137" s="468"/>
      <c r="AD137" s="468"/>
      <c r="AE137" s="468"/>
      <c r="AF137" s="468">
        <f t="shared" si="32"/>
        <v>0</v>
      </c>
      <c r="AG137" s="468">
        <f t="shared" si="32"/>
        <v>0</v>
      </c>
      <c r="AH137" s="468">
        <f t="shared" si="32"/>
        <v>0</v>
      </c>
      <c r="AI137" s="62"/>
      <c r="AJ137" s="468">
        <f>'3a. OM_AG-i'!I137</f>
        <v>26124053.729999997</v>
      </c>
      <c r="AK137" s="62">
        <f t="shared" si="29"/>
        <v>26124053.729999997</v>
      </c>
      <c r="AL137" s="62">
        <f t="shared" si="30"/>
        <v>0</v>
      </c>
    </row>
    <row r="138" spans="1:38" x14ac:dyDescent="0.3">
      <c r="A138" s="461"/>
      <c r="B138" s="464" t="s">
        <v>565</v>
      </c>
      <c r="C138" s="464"/>
      <c r="D138" s="468"/>
      <c r="E138" s="468"/>
      <c r="F138" s="630"/>
      <c r="G138" s="630"/>
      <c r="H138" s="630"/>
      <c r="I138" s="468"/>
      <c r="J138" s="468"/>
      <c r="K138" s="468"/>
      <c r="L138" s="468"/>
      <c r="M138" s="468"/>
      <c r="N138" s="468"/>
      <c r="O138" s="468"/>
      <c r="P138" s="468"/>
      <c r="Q138" s="468"/>
      <c r="R138" s="468"/>
      <c r="S138" s="468"/>
      <c r="T138" s="468"/>
      <c r="U138" s="468"/>
      <c r="V138" s="468"/>
      <c r="W138" s="468"/>
      <c r="X138" s="468"/>
      <c r="Y138" s="468"/>
      <c r="Z138" s="468"/>
      <c r="AA138" s="468"/>
      <c r="AB138" s="468"/>
      <c r="AC138" s="468"/>
      <c r="AD138" s="468"/>
      <c r="AE138" s="468"/>
      <c r="AF138" s="468"/>
      <c r="AG138" s="468"/>
      <c r="AH138" s="468"/>
      <c r="AI138" s="62"/>
      <c r="AJ138" s="62"/>
      <c r="AK138" s="62"/>
      <c r="AL138" s="62"/>
    </row>
    <row r="139" spans="1:38" x14ac:dyDescent="0.3">
      <c r="A139" s="461">
        <v>590</v>
      </c>
      <c r="B139" s="461" t="s">
        <v>682</v>
      </c>
      <c r="C139" s="461"/>
      <c r="D139" s="468">
        <f>'3a. OM_AG-i'!J139</f>
        <v>0</v>
      </c>
      <c r="E139" s="468"/>
      <c r="F139" s="630"/>
      <c r="G139" s="630"/>
      <c r="H139" s="630"/>
      <c r="I139" s="468"/>
      <c r="J139" s="468"/>
      <c r="K139" s="468"/>
      <c r="L139" s="468">
        <f>'3a. OM_AG-i'!K139</f>
        <v>0</v>
      </c>
      <c r="M139" s="468">
        <f>'3a. OM_AG-i'!L139</f>
        <v>1157205.0263751568</v>
      </c>
      <c r="N139" s="468">
        <f>$M139*N$149/$M$149</f>
        <v>129056.11649903969</v>
      </c>
      <c r="O139" s="468">
        <f t="shared" ref="O139:W139" si="33">$M139*O$149/$M$149</f>
        <v>419488.83064157562</v>
      </c>
      <c r="P139" s="468">
        <f t="shared" si="33"/>
        <v>116485.66782087149</v>
      </c>
      <c r="Q139" s="468">
        <f t="shared" si="33"/>
        <v>24132.96789339251</v>
      </c>
      <c r="R139" s="468">
        <f t="shared" si="33"/>
        <v>318383.45337616297</v>
      </c>
      <c r="S139" s="468">
        <f t="shared" si="33"/>
        <v>86092.415648882758</v>
      </c>
      <c r="T139" s="468">
        <f t="shared" si="33"/>
        <v>26380.906458540408</v>
      </c>
      <c r="U139" s="468">
        <f t="shared" si="33"/>
        <v>0</v>
      </c>
      <c r="V139" s="468">
        <f t="shared" si="33"/>
        <v>37184.668036691372</v>
      </c>
      <c r="W139" s="468">
        <f t="shared" si="33"/>
        <v>0</v>
      </c>
      <c r="X139" s="468">
        <f>'3a. OM_AG-i'!M139</f>
        <v>44487.223624843267</v>
      </c>
      <c r="Y139" s="468">
        <f>$X139*Y$149/$X$149</f>
        <v>44487.223624843267</v>
      </c>
      <c r="Z139" s="468">
        <f>$X139*Z$149/$X$149</f>
        <v>0</v>
      </c>
      <c r="AA139" s="468">
        <f>'3a. OM_AG-i'!N139</f>
        <v>0</v>
      </c>
      <c r="AB139" s="468">
        <f>'3a. OM_AG-i'!O139</f>
        <v>0</v>
      </c>
      <c r="AC139" s="468"/>
      <c r="AD139" s="468"/>
      <c r="AE139" s="468"/>
      <c r="AF139" s="468">
        <f>'3a. OM_AG-i'!P139</f>
        <v>0</v>
      </c>
      <c r="AG139" s="468"/>
      <c r="AH139" s="468">
        <f>'3a. OM_AG-i'!Q139</f>
        <v>0</v>
      </c>
      <c r="AI139" s="62"/>
      <c r="AJ139" s="468">
        <f>'3a. OM_AG-i'!I139</f>
        <v>1201692.25</v>
      </c>
      <c r="AK139" s="62">
        <f t="shared" ref="AK139:AK150" si="34">SUM(F139:K139,L139,N139:W139,Y139:Z139,AA139:AA139,AC139:AE139,AG139:AH139)</f>
        <v>1201692.25</v>
      </c>
      <c r="AL139" s="62">
        <f>AJ139-AK139</f>
        <v>0</v>
      </c>
    </row>
    <row r="140" spans="1:38" x14ac:dyDescent="0.3">
      <c r="A140" s="461">
        <v>591</v>
      </c>
      <c r="B140" s="466" t="s">
        <v>569</v>
      </c>
      <c r="C140" s="466"/>
      <c r="D140" s="468">
        <f>'3a. OM_AG-i'!J140</f>
        <v>0</v>
      </c>
      <c r="E140" s="468"/>
      <c r="F140" s="630"/>
      <c r="G140" s="630"/>
      <c r="H140" s="630"/>
      <c r="I140" s="468"/>
      <c r="J140" s="468"/>
      <c r="K140" s="468"/>
      <c r="L140" s="468">
        <f>'3a. OM_AG-i'!K140</f>
        <v>0</v>
      </c>
      <c r="M140" s="468">
        <f>'3a. OM_AG-i'!L140</f>
        <v>0</v>
      </c>
      <c r="N140" s="468"/>
      <c r="O140" s="468"/>
      <c r="P140" s="468"/>
      <c r="Q140" s="468"/>
      <c r="R140" s="468"/>
      <c r="S140" s="468"/>
      <c r="T140" s="468"/>
      <c r="U140" s="468"/>
      <c r="V140" s="468"/>
      <c r="W140" s="468"/>
      <c r="X140" s="468">
        <f>'3a. OM_AG-i'!M140</f>
        <v>0</v>
      </c>
      <c r="Y140" s="468"/>
      <c r="Z140" s="468"/>
      <c r="AA140" s="468">
        <f>'3a. OM_AG-i'!N140</f>
        <v>0</v>
      </c>
      <c r="AB140" s="468">
        <f>'3a. OM_AG-i'!O140</f>
        <v>0</v>
      </c>
      <c r="AC140" s="468"/>
      <c r="AD140" s="468"/>
      <c r="AE140" s="468"/>
      <c r="AF140" s="468">
        <f>'3a. OM_AG-i'!P140</f>
        <v>0</v>
      </c>
      <c r="AG140" s="468"/>
      <c r="AH140" s="468">
        <f>'3a. OM_AG-i'!Q140</f>
        <v>0</v>
      </c>
      <c r="AI140" s="62"/>
      <c r="AJ140" s="468">
        <f>'3a. OM_AG-i'!I140</f>
        <v>0</v>
      </c>
      <c r="AK140" s="62">
        <f t="shared" si="34"/>
        <v>0</v>
      </c>
      <c r="AL140" s="62">
        <f t="shared" ref="AL140:AL152" si="35">AJ140-AK140</f>
        <v>0</v>
      </c>
    </row>
    <row r="141" spans="1:38" x14ac:dyDescent="0.3">
      <c r="A141" s="461">
        <v>592</v>
      </c>
      <c r="B141" s="461" t="s">
        <v>658</v>
      </c>
      <c r="C141" s="461"/>
      <c r="D141" s="468">
        <f>'3a. OM_AG-i'!J141</f>
        <v>0</v>
      </c>
      <c r="E141" s="468"/>
      <c r="F141" s="630"/>
      <c r="G141" s="630"/>
      <c r="H141" s="630"/>
      <c r="I141" s="468"/>
      <c r="J141" s="468"/>
      <c r="K141" s="468"/>
      <c r="L141" s="468">
        <f>'3a. OM_AG-i'!K141</f>
        <v>0</v>
      </c>
      <c r="M141" s="468">
        <f>'3a. OM_AG-i'!L141</f>
        <v>5780399.1299999999</v>
      </c>
      <c r="N141" s="468">
        <f>$M141*'3c. OM_AG-sfaf'!N141/'3c. OM_AG-sfaf'!$M141</f>
        <v>5780399.1299999999</v>
      </c>
      <c r="O141" s="468">
        <f>$M141*'3c. OM_AG-sfaf'!O141/'3c. OM_AG-sfaf'!$M141</f>
        <v>0</v>
      </c>
      <c r="P141" s="468">
        <f>$M141*'3c. OM_AG-sfaf'!P141/'3c. OM_AG-sfaf'!$M141</f>
        <v>0</v>
      </c>
      <c r="Q141" s="468">
        <f>$M141*'3c. OM_AG-sfaf'!Q141/'3c. OM_AG-sfaf'!$M141</f>
        <v>0</v>
      </c>
      <c r="R141" s="468">
        <f>$M141*'3c. OM_AG-sfaf'!R141/'3c. OM_AG-sfaf'!$M141</f>
        <v>0</v>
      </c>
      <c r="S141" s="468">
        <f>$M141*'3c. OM_AG-sfaf'!S141/'3c. OM_AG-sfaf'!$M141</f>
        <v>0</v>
      </c>
      <c r="T141" s="468">
        <f>$M141*'3c. OM_AG-sfaf'!T141/'3c. OM_AG-sfaf'!$M141</f>
        <v>0</v>
      </c>
      <c r="U141" s="468">
        <f>$M141*'3c. OM_AG-sfaf'!U141/'3c. OM_AG-sfaf'!$M141</f>
        <v>0</v>
      </c>
      <c r="V141" s="468">
        <f>$M141*'3c. OM_AG-sfaf'!V141/'3c. OM_AG-sfaf'!$M141</f>
        <v>0</v>
      </c>
      <c r="W141" s="468">
        <f>$M141*'3c. OM_AG-sfaf'!W141/'3c. OM_AG-sfaf'!$M141</f>
        <v>0</v>
      </c>
      <c r="X141" s="468">
        <f>'3a. OM_AG-i'!M141</f>
        <v>0</v>
      </c>
      <c r="Y141" s="468"/>
      <c r="Z141" s="468"/>
      <c r="AA141" s="468">
        <f>'3a. OM_AG-i'!N141</f>
        <v>0</v>
      </c>
      <c r="AB141" s="468">
        <f>'3a. OM_AG-i'!O141</f>
        <v>0</v>
      </c>
      <c r="AC141" s="468"/>
      <c r="AD141" s="468"/>
      <c r="AE141" s="468"/>
      <c r="AF141" s="468">
        <f>'3a. OM_AG-i'!P141</f>
        <v>0</v>
      </c>
      <c r="AG141" s="468"/>
      <c r="AH141" s="468">
        <f>'3a. OM_AG-i'!Q141</f>
        <v>0</v>
      </c>
      <c r="AI141" s="62"/>
      <c r="AJ141" s="468">
        <f>'3a. OM_AG-i'!I141</f>
        <v>5780399.1299999999</v>
      </c>
      <c r="AK141" s="62">
        <f t="shared" si="34"/>
        <v>5780399.1299999999</v>
      </c>
      <c r="AL141" s="62">
        <f t="shared" si="35"/>
        <v>0</v>
      </c>
    </row>
    <row r="142" spans="1:38" x14ac:dyDescent="0.3">
      <c r="A142" s="461">
        <v>593</v>
      </c>
      <c r="B142" s="466" t="s">
        <v>660</v>
      </c>
      <c r="C142" s="466"/>
      <c r="D142" s="468">
        <f>'3a. OM_AG-i'!J142</f>
        <v>0</v>
      </c>
      <c r="E142" s="468"/>
      <c r="F142" s="630"/>
      <c r="G142" s="630"/>
      <c r="H142" s="630"/>
      <c r="I142" s="468"/>
      <c r="J142" s="468"/>
      <c r="K142" s="468"/>
      <c r="L142" s="468">
        <f>'3a. OM_AG-i'!K142</f>
        <v>0</v>
      </c>
      <c r="M142" s="468">
        <f>'3a. OM_AG-i'!L142</f>
        <v>32086363.030000001</v>
      </c>
      <c r="N142" s="468">
        <f>$M142*'3c. OM_AG-sfaf'!N142/'3c. OM_AG-sfaf'!$M142</f>
        <v>0</v>
      </c>
      <c r="O142" s="468">
        <f>$M142*'3c. OM_AG-sfaf'!O142/'3c. OM_AG-sfaf'!$M142</f>
        <v>11700174.408982636</v>
      </c>
      <c r="P142" s="468">
        <f>$M142*'3c. OM_AG-sfaf'!P142/'3c. OM_AG-sfaf'!$M142</f>
        <v>3406489.1085358416</v>
      </c>
      <c r="Q142" s="468">
        <f>$M142*'3c. OM_AG-sfaf'!Q142/'3c. OM_AG-sfaf'!$M142</f>
        <v>0</v>
      </c>
      <c r="R142" s="468">
        <f>$M142*'3c. OM_AG-sfaf'!R142/'3c. OM_AG-sfaf'!$M142</f>
        <v>12000483.178842144</v>
      </c>
      <c r="S142" s="468">
        <f>$M142*'3c. OM_AG-sfaf'!S142/'3c. OM_AG-sfaf'!$M142</f>
        <v>3440803.5218492537</v>
      </c>
      <c r="T142" s="468">
        <f>$M142*'3c. OM_AG-sfaf'!T142/'3c. OM_AG-sfaf'!$M142</f>
        <v>0</v>
      </c>
      <c r="U142" s="468">
        <f>$M142*'3c. OM_AG-sfaf'!U142/'3c. OM_AG-sfaf'!$M142</f>
        <v>0</v>
      </c>
      <c r="V142" s="468">
        <f>$M142*'3c. OM_AG-sfaf'!V142/'3c. OM_AG-sfaf'!$M142</f>
        <v>1538412.8117901245</v>
      </c>
      <c r="W142" s="468">
        <f>$M142*'3c. OM_AG-sfaf'!W142/'3c. OM_AG-sfaf'!$M142</f>
        <v>0</v>
      </c>
      <c r="X142" s="468">
        <f>'3a. OM_AG-i'!M142</f>
        <v>0</v>
      </c>
      <c r="Y142" s="468"/>
      <c r="Z142" s="468"/>
      <c r="AA142" s="468">
        <f>'3a. OM_AG-i'!N142</f>
        <v>0</v>
      </c>
      <c r="AB142" s="468">
        <f>'3a. OM_AG-i'!O142</f>
        <v>0</v>
      </c>
      <c r="AC142" s="468"/>
      <c r="AD142" s="468"/>
      <c r="AE142" s="468"/>
      <c r="AF142" s="468">
        <f>'3a. OM_AG-i'!P142</f>
        <v>0</v>
      </c>
      <c r="AG142" s="468"/>
      <c r="AH142" s="468">
        <f>'3a. OM_AG-i'!Q142</f>
        <v>0</v>
      </c>
      <c r="AI142" s="62"/>
      <c r="AJ142" s="468">
        <f>'3a. OM_AG-i'!I142</f>
        <v>32086363.030000001</v>
      </c>
      <c r="AK142" s="62">
        <f t="shared" si="34"/>
        <v>32086363.029999997</v>
      </c>
      <c r="AL142" s="62">
        <f t="shared" si="35"/>
        <v>0</v>
      </c>
    </row>
    <row r="143" spans="1:38" x14ac:dyDescent="0.3">
      <c r="A143" s="461">
        <v>594</v>
      </c>
      <c r="B143" s="461" t="s">
        <v>662</v>
      </c>
      <c r="C143" s="461"/>
      <c r="D143" s="468">
        <f>'3a. OM_AG-i'!J143</f>
        <v>0</v>
      </c>
      <c r="E143" s="468"/>
      <c r="F143" s="630"/>
      <c r="G143" s="630"/>
      <c r="H143" s="630"/>
      <c r="I143" s="468"/>
      <c r="J143" s="468"/>
      <c r="K143" s="468"/>
      <c r="L143" s="468">
        <f>'3a. OM_AG-i'!K143</f>
        <v>0</v>
      </c>
      <c r="M143" s="468">
        <f>'3a. OM_AG-i'!L143</f>
        <v>11574644.460000001</v>
      </c>
      <c r="N143" s="468">
        <f>$M143*'3c. OM_AG-sfaf'!N143/'3c. OM_AG-sfaf'!$M143</f>
        <v>0</v>
      </c>
      <c r="O143" s="468">
        <f>$M143*'3c. OM_AG-sfaf'!O143/'3c. OM_AG-sfaf'!$M143</f>
        <v>7088651.2388379676</v>
      </c>
      <c r="P143" s="468">
        <f>$M143*'3c. OM_AG-sfaf'!P143/'3c. OM_AG-sfaf'!$M143</f>
        <v>1810881.9947876085</v>
      </c>
      <c r="Q143" s="468">
        <f>$M143*'3c. OM_AG-sfaf'!Q143/'3c. OM_AG-sfaf'!$M143</f>
        <v>0</v>
      </c>
      <c r="R143" s="468">
        <f>$M143*'3c. OM_AG-sfaf'!R143/'3c. OM_AG-sfaf'!$M143</f>
        <v>2259851.680340311</v>
      </c>
      <c r="S143" s="468">
        <f>$M143*'3c. OM_AG-sfaf'!S143/'3c. OM_AG-sfaf'!$M143</f>
        <v>415259.54603411362</v>
      </c>
      <c r="T143" s="468">
        <f>$M143*'3c. OM_AG-sfaf'!T143/'3c. OM_AG-sfaf'!$M143</f>
        <v>0</v>
      </c>
      <c r="U143" s="468">
        <f>$M143*'3c. OM_AG-sfaf'!U143/'3c. OM_AG-sfaf'!$M143</f>
        <v>0</v>
      </c>
      <c r="V143" s="468">
        <f>$M143*'3c. OM_AG-sfaf'!V143/'3c. OM_AG-sfaf'!$M143</f>
        <v>0</v>
      </c>
      <c r="W143" s="468">
        <f>$M143*'3c. OM_AG-sfaf'!W143/'3c. OM_AG-sfaf'!$M143</f>
        <v>0</v>
      </c>
      <c r="X143" s="468">
        <f>'3a. OM_AG-i'!M143</f>
        <v>0</v>
      </c>
      <c r="Y143" s="468"/>
      <c r="Z143" s="468"/>
      <c r="AA143" s="468">
        <f>'3a. OM_AG-i'!N143</f>
        <v>0</v>
      </c>
      <c r="AB143" s="468">
        <f>'3a. OM_AG-i'!O143</f>
        <v>0</v>
      </c>
      <c r="AC143" s="468"/>
      <c r="AD143" s="468"/>
      <c r="AE143" s="468"/>
      <c r="AF143" s="468">
        <f>'3a. OM_AG-i'!P143</f>
        <v>0</v>
      </c>
      <c r="AG143" s="468"/>
      <c r="AH143" s="468">
        <f>'3a. OM_AG-i'!Q143</f>
        <v>0</v>
      </c>
      <c r="AI143" s="62"/>
      <c r="AJ143" s="468">
        <f>'3a. OM_AG-i'!I143</f>
        <v>11574644.460000001</v>
      </c>
      <c r="AK143" s="62">
        <f t="shared" si="34"/>
        <v>11574644.460000001</v>
      </c>
      <c r="AL143" s="62">
        <f t="shared" si="35"/>
        <v>0</v>
      </c>
    </row>
    <row r="144" spans="1:38" x14ac:dyDescent="0.3">
      <c r="A144" s="461">
        <v>595</v>
      </c>
      <c r="B144" s="461" t="s">
        <v>688</v>
      </c>
      <c r="C144" s="461"/>
      <c r="D144" s="468">
        <f>'3a. OM_AG-i'!J144</f>
        <v>0</v>
      </c>
      <c r="E144" s="468"/>
      <c r="F144" s="630"/>
      <c r="G144" s="630"/>
      <c r="H144" s="630"/>
      <c r="I144" s="468"/>
      <c r="J144" s="468"/>
      <c r="K144" s="468"/>
      <c r="L144" s="468">
        <f>'3a. OM_AG-i'!K144</f>
        <v>0</v>
      </c>
      <c r="M144" s="468">
        <f>'3a. OM_AG-i'!L144</f>
        <v>2262506.91</v>
      </c>
      <c r="N144" s="468">
        <f>$M144*'3c. OM_AG-sfaf'!N144/'3c. OM_AG-sfaf'!$M144</f>
        <v>0</v>
      </c>
      <c r="O144" s="468">
        <f>$M144*'3c. OM_AG-sfaf'!O144/'3c. OM_AG-sfaf'!$M144</f>
        <v>0</v>
      </c>
      <c r="P144" s="468">
        <f>$M144*'3c. OM_AG-sfaf'!P144/'3c. OM_AG-sfaf'!$M144</f>
        <v>0</v>
      </c>
      <c r="Q144" s="468">
        <f>$M144*'3c. OM_AG-sfaf'!Q144/'3c. OM_AG-sfaf'!$M144</f>
        <v>1080911.0827096831</v>
      </c>
      <c r="R144" s="468">
        <f>$M144*'3c. OM_AG-sfaf'!R144/'3c. OM_AG-sfaf'!$M144</f>
        <v>0</v>
      </c>
      <c r="S144" s="468">
        <f>$M144*'3c. OM_AG-sfaf'!S144/'3c. OM_AG-sfaf'!$M144</f>
        <v>0</v>
      </c>
      <c r="T144" s="468">
        <f>$M144*'3c. OM_AG-sfaf'!T144/'3c. OM_AG-sfaf'!$M144</f>
        <v>1181595.827290317</v>
      </c>
      <c r="U144" s="468">
        <f>$M144*'3c. OM_AG-sfaf'!U144/'3c. OM_AG-sfaf'!$M144</f>
        <v>0</v>
      </c>
      <c r="V144" s="468">
        <f>$M144*'3c. OM_AG-sfaf'!V144/'3c. OM_AG-sfaf'!$M144</f>
        <v>0</v>
      </c>
      <c r="W144" s="468">
        <f>$M144*'3c. OM_AG-sfaf'!W144/'3c. OM_AG-sfaf'!$M144</f>
        <v>0</v>
      </c>
      <c r="X144" s="468">
        <f>'3a. OM_AG-i'!M144</f>
        <v>0</v>
      </c>
      <c r="Y144" s="468"/>
      <c r="Z144" s="468"/>
      <c r="AA144" s="468">
        <f>'3a. OM_AG-i'!N144</f>
        <v>0</v>
      </c>
      <c r="AB144" s="468">
        <f>'3a. OM_AG-i'!O144</f>
        <v>0</v>
      </c>
      <c r="AC144" s="468"/>
      <c r="AD144" s="468"/>
      <c r="AE144" s="468"/>
      <c r="AF144" s="468">
        <f>'3a. OM_AG-i'!P144</f>
        <v>0</v>
      </c>
      <c r="AG144" s="468"/>
      <c r="AH144" s="468">
        <f>'3a. OM_AG-i'!Q144</f>
        <v>0</v>
      </c>
      <c r="AI144" s="62"/>
      <c r="AJ144" s="468">
        <f>'3a. OM_AG-i'!I144</f>
        <v>2262506.91</v>
      </c>
      <c r="AK144" s="62">
        <f t="shared" si="34"/>
        <v>2262506.91</v>
      </c>
      <c r="AL144" s="62">
        <f t="shared" si="35"/>
        <v>0</v>
      </c>
    </row>
    <row r="145" spans="1:38" x14ac:dyDescent="0.3">
      <c r="A145" s="461">
        <v>596</v>
      </c>
      <c r="B145" s="461" t="s">
        <v>690</v>
      </c>
      <c r="C145" s="461"/>
      <c r="D145" s="468">
        <f>'3a. OM_AG-i'!J145</f>
        <v>0</v>
      </c>
      <c r="E145" s="468"/>
      <c r="F145" s="630"/>
      <c r="G145" s="630"/>
      <c r="H145" s="630"/>
      <c r="I145" s="468"/>
      <c r="J145" s="468"/>
      <c r="K145" s="468"/>
      <c r="L145" s="468">
        <f>'3a. OM_AG-i'!K145</f>
        <v>0</v>
      </c>
      <c r="M145" s="468">
        <f>'3a. OM_AG-i'!L145</f>
        <v>127081.46</v>
      </c>
      <c r="N145" s="468">
        <f>$M145*'3c. OM_AG-sfaf'!N145/'3c. OM_AG-sfaf'!$M145</f>
        <v>0</v>
      </c>
      <c r="O145" s="468">
        <f>$M145*'3c. OM_AG-sfaf'!O145/'3c. OM_AG-sfaf'!$M145</f>
        <v>0</v>
      </c>
      <c r="P145" s="468">
        <f>$M145*'3c. OM_AG-sfaf'!P145/'3c. OM_AG-sfaf'!$M145</f>
        <v>0</v>
      </c>
      <c r="Q145" s="468">
        <f>$M145*'3c. OM_AG-sfaf'!Q145/'3c. OM_AG-sfaf'!$M145</f>
        <v>0</v>
      </c>
      <c r="R145" s="468">
        <f>$M145*'3c. OM_AG-sfaf'!R145/'3c. OM_AG-sfaf'!$M145</f>
        <v>0</v>
      </c>
      <c r="S145" s="468">
        <f>$M145*'3c. OM_AG-sfaf'!S145/'3c. OM_AG-sfaf'!$M145</f>
        <v>0</v>
      </c>
      <c r="T145" s="468">
        <f>$M145*'3c. OM_AG-sfaf'!T145/'3c. OM_AG-sfaf'!$M145</f>
        <v>0</v>
      </c>
      <c r="U145" s="468">
        <f>$M145*'3c. OM_AG-sfaf'!U145/'3c. OM_AG-sfaf'!$M145</f>
        <v>0</v>
      </c>
      <c r="V145" s="468">
        <f>$M145*'3c. OM_AG-sfaf'!V145/'3c. OM_AG-sfaf'!$M145</f>
        <v>127081.46</v>
      </c>
      <c r="W145" s="468">
        <f>$M145*'3c. OM_AG-sfaf'!W145/'3c. OM_AG-sfaf'!$M145</f>
        <v>0</v>
      </c>
      <c r="X145" s="468">
        <f>'3a. OM_AG-i'!M145</f>
        <v>0</v>
      </c>
      <c r="Y145" s="468"/>
      <c r="Z145" s="468"/>
      <c r="AA145" s="468">
        <f>'3a. OM_AG-i'!N145</f>
        <v>0</v>
      </c>
      <c r="AB145" s="468">
        <f>'3a. OM_AG-i'!O145</f>
        <v>0</v>
      </c>
      <c r="AC145" s="468"/>
      <c r="AD145" s="468"/>
      <c r="AE145" s="468"/>
      <c r="AF145" s="468">
        <f>'3a. OM_AG-i'!P145</f>
        <v>0</v>
      </c>
      <c r="AG145" s="468"/>
      <c r="AH145" s="468">
        <f>'3a. OM_AG-i'!Q145</f>
        <v>0</v>
      </c>
      <c r="AI145" s="62"/>
      <c r="AJ145" s="468">
        <f>'3a. OM_AG-i'!I145</f>
        <v>127081.46</v>
      </c>
      <c r="AK145" s="62">
        <f t="shared" si="34"/>
        <v>127081.46</v>
      </c>
      <c r="AL145" s="62">
        <f t="shared" si="35"/>
        <v>0</v>
      </c>
    </row>
    <row r="146" spans="1:38" x14ac:dyDescent="0.3">
      <c r="A146" s="461">
        <v>597</v>
      </c>
      <c r="B146" s="461" t="s">
        <v>692</v>
      </c>
      <c r="C146" s="461"/>
      <c r="D146" s="468">
        <f>'3a. OM_AG-i'!J146</f>
        <v>0</v>
      </c>
      <c r="E146" s="468"/>
      <c r="F146" s="630"/>
      <c r="G146" s="630"/>
      <c r="H146" s="630"/>
      <c r="I146" s="468"/>
      <c r="J146" s="468"/>
      <c r="K146" s="468"/>
      <c r="L146" s="468">
        <f>'3a. OM_AG-i'!K146</f>
        <v>0</v>
      </c>
      <c r="M146" s="468">
        <f>'3a. OM_AG-i'!L146</f>
        <v>0</v>
      </c>
      <c r="N146" s="468">
        <f>$M146*'3c. OM_AG-sfaf'!N146/'3c. OM_AG-sfaf'!$M146</f>
        <v>0</v>
      </c>
      <c r="O146" s="468">
        <f>$M146*'3c. OM_AG-sfaf'!O146/'3c. OM_AG-sfaf'!$M146</f>
        <v>0</v>
      </c>
      <c r="P146" s="468">
        <f>$M146*'3c. OM_AG-sfaf'!P146/'3c. OM_AG-sfaf'!$M146</f>
        <v>0</v>
      </c>
      <c r="Q146" s="468">
        <f>$M146*'3c. OM_AG-sfaf'!Q146/'3c. OM_AG-sfaf'!$M146</f>
        <v>0</v>
      </c>
      <c r="R146" s="468">
        <f>$M146*'3c. OM_AG-sfaf'!R146/'3c. OM_AG-sfaf'!$M146</f>
        <v>0</v>
      </c>
      <c r="S146" s="468">
        <f>$M146*'3c. OM_AG-sfaf'!S146/'3c. OM_AG-sfaf'!$M146</f>
        <v>0</v>
      </c>
      <c r="T146" s="468">
        <f>$M146*'3c. OM_AG-sfaf'!T146/'3c. OM_AG-sfaf'!$M146</f>
        <v>0</v>
      </c>
      <c r="U146" s="468">
        <f>$M146*'3c. OM_AG-sfaf'!U146/'3c. OM_AG-sfaf'!$M146</f>
        <v>0</v>
      </c>
      <c r="V146" s="468">
        <f>$M146*'3c. OM_AG-sfaf'!V146/'3c. OM_AG-sfaf'!$M146</f>
        <v>0</v>
      </c>
      <c r="W146" s="468">
        <f>$M146*'3c. OM_AG-sfaf'!W146/'3c. OM_AG-sfaf'!$M146</f>
        <v>0</v>
      </c>
      <c r="X146" s="468">
        <f>'3a. OM_AG-i'!M146</f>
        <v>1992574.36</v>
      </c>
      <c r="Y146" s="468">
        <f>$X146*'3c. OM_AG-sfaf'!Y146/'3c. OM_AG-sfaf'!$X146</f>
        <v>1992574.36</v>
      </c>
      <c r="Z146" s="468">
        <f>$X146*'3c. OM_AG-sfaf'!Z146/'3c. OM_AG-sfaf'!$X146</f>
        <v>0</v>
      </c>
      <c r="AA146" s="468">
        <f>'3a. OM_AG-i'!N146</f>
        <v>0</v>
      </c>
      <c r="AB146" s="468">
        <f>'3a. OM_AG-i'!O146</f>
        <v>0</v>
      </c>
      <c r="AC146" s="468"/>
      <c r="AD146" s="468"/>
      <c r="AE146" s="468"/>
      <c r="AF146" s="468">
        <f>'3a. OM_AG-i'!P146</f>
        <v>0</v>
      </c>
      <c r="AG146" s="468"/>
      <c r="AH146" s="468">
        <f>'3a. OM_AG-i'!Q146</f>
        <v>0</v>
      </c>
      <c r="AI146" s="62"/>
      <c r="AJ146" s="468">
        <f>'3a. OM_AG-i'!I146</f>
        <v>1992574.36</v>
      </c>
      <c r="AK146" s="62">
        <f t="shared" si="34"/>
        <v>1992574.36</v>
      </c>
      <c r="AL146" s="62">
        <f t="shared" si="35"/>
        <v>0</v>
      </c>
    </row>
    <row r="147" spans="1:38" x14ac:dyDescent="0.3">
      <c r="A147" s="461">
        <v>598</v>
      </c>
      <c r="B147" s="461" t="s">
        <v>694</v>
      </c>
      <c r="C147" s="461"/>
      <c r="D147" s="468">
        <f>'3a. OM_AG-i'!J147</f>
        <v>0</v>
      </c>
      <c r="E147" s="468"/>
      <c r="F147" s="630"/>
      <c r="G147" s="630"/>
      <c r="H147" s="630"/>
      <c r="I147" s="468"/>
      <c r="J147" s="468"/>
      <c r="K147" s="468"/>
      <c r="L147" s="468">
        <f>'3a. OM_AG-i'!K147</f>
        <v>0</v>
      </c>
      <c r="M147" s="468">
        <f>'3a. OM_AG-i'!L147</f>
        <v>133.16080805810029</v>
      </c>
      <c r="N147" s="468">
        <f>$M147*N$149/$M$149</f>
        <v>14.850624017494669</v>
      </c>
      <c r="O147" s="468">
        <f t="shared" ref="O147:W147" si="36">$M147*O$149/$M$149</f>
        <v>48.271024050556257</v>
      </c>
      <c r="P147" s="468">
        <f t="shared" si="36"/>
        <v>13.404129173896317</v>
      </c>
      <c r="Q147" s="468">
        <f t="shared" si="36"/>
        <v>2.7770061763303504</v>
      </c>
      <c r="R147" s="468">
        <f t="shared" si="36"/>
        <v>36.636721201169273</v>
      </c>
      <c r="S147" s="468">
        <f t="shared" si="36"/>
        <v>9.9067454549428167</v>
      </c>
      <c r="T147" s="468">
        <f t="shared" si="36"/>
        <v>3.0356788479637502</v>
      </c>
      <c r="U147" s="468">
        <f t="shared" si="36"/>
        <v>0</v>
      </c>
      <c r="V147" s="468">
        <f t="shared" si="36"/>
        <v>4.2788791357468448</v>
      </c>
      <c r="W147" s="468">
        <f t="shared" si="36"/>
        <v>0</v>
      </c>
      <c r="X147" s="468">
        <f>'3a. OM_AG-i'!M147</f>
        <v>5.1191919418997065</v>
      </c>
      <c r="Y147" s="468">
        <f>$X147*Y$149/$X$149</f>
        <v>5.1191919418997065</v>
      </c>
      <c r="Z147" s="468">
        <f>$X147*Z$149/$X$149</f>
        <v>0</v>
      </c>
      <c r="AA147" s="468">
        <f>'3a. OM_AG-i'!N147</f>
        <v>0</v>
      </c>
      <c r="AB147" s="468">
        <f>'3a. OM_AG-i'!O147</f>
        <v>0</v>
      </c>
      <c r="AC147" s="468"/>
      <c r="AD147" s="468"/>
      <c r="AE147" s="468"/>
      <c r="AF147" s="468">
        <f>'3a. OM_AG-i'!P147</f>
        <v>0</v>
      </c>
      <c r="AG147" s="468"/>
      <c r="AH147" s="468">
        <f>'3a. OM_AG-i'!Q147</f>
        <v>0</v>
      </c>
      <c r="AI147" s="62"/>
      <c r="AJ147" s="468">
        <f>'3a. OM_AG-i'!I147</f>
        <v>138.28</v>
      </c>
      <c r="AK147" s="62">
        <f t="shared" si="34"/>
        <v>138.28</v>
      </c>
      <c r="AL147" s="62">
        <f t="shared" si="35"/>
        <v>0</v>
      </c>
    </row>
    <row r="148" spans="1:38" x14ac:dyDescent="0.3">
      <c r="A148" s="461"/>
      <c r="B148" s="474" t="s">
        <v>524</v>
      </c>
      <c r="C148" s="474"/>
      <c r="D148" s="468">
        <f>SUM(D139:D147)</f>
        <v>0</v>
      </c>
      <c r="E148" s="468">
        <f t="shared" ref="E148:AH148" si="37">SUM(E139:E147)</f>
        <v>0</v>
      </c>
      <c r="F148" s="630"/>
      <c r="G148" s="630"/>
      <c r="H148" s="630"/>
      <c r="I148" s="468">
        <f t="shared" si="37"/>
        <v>0</v>
      </c>
      <c r="J148" s="468">
        <f t="shared" si="37"/>
        <v>0</v>
      </c>
      <c r="K148" s="468"/>
      <c r="L148" s="468">
        <f t="shared" si="37"/>
        <v>0</v>
      </c>
      <c r="M148" s="468">
        <f t="shared" si="37"/>
        <v>52988333.177183218</v>
      </c>
      <c r="N148" s="468">
        <f t="shared" si="37"/>
        <v>5909470.0971230567</v>
      </c>
      <c r="O148" s="468">
        <f t="shared" si="37"/>
        <v>19208362.74948623</v>
      </c>
      <c r="P148" s="468">
        <f t="shared" si="37"/>
        <v>5333870.1752734948</v>
      </c>
      <c r="Q148" s="468">
        <f t="shared" si="37"/>
        <v>1105046.827609252</v>
      </c>
      <c r="R148" s="468">
        <f t="shared" si="37"/>
        <v>14578754.949279819</v>
      </c>
      <c r="S148" s="468">
        <f t="shared" si="37"/>
        <v>3942165.3902777047</v>
      </c>
      <c r="T148" s="468">
        <f t="shared" si="37"/>
        <v>1207979.7694277053</v>
      </c>
      <c r="U148" s="468">
        <f t="shared" si="37"/>
        <v>0</v>
      </c>
      <c r="V148" s="468">
        <f t="shared" si="37"/>
        <v>1702683.2187059517</v>
      </c>
      <c r="W148" s="468">
        <f t="shared" si="37"/>
        <v>0</v>
      </c>
      <c r="X148" s="468">
        <f t="shared" si="37"/>
        <v>2037066.7028167851</v>
      </c>
      <c r="Y148" s="468">
        <f t="shared" si="37"/>
        <v>2037066.7028167851</v>
      </c>
      <c r="Z148" s="468">
        <f t="shared" si="37"/>
        <v>0</v>
      </c>
      <c r="AA148" s="468">
        <f t="shared" si="37"/>
        <v>0</v>
      </c>
      <c r="AB148" s="468">
        <f t="shared" si="37"/>
        <v>0</v>
      </c>
      <c r="AC148" s="468"/>
      <c r="AD148" s="468"/>
      <c r="AE148" s="468"/>
      <c r="AF148" s="468">
        <f t="shared" si="37"/>
        <v>0</v>
      </c>
      <c r="AG148" s="468"/>
      <c r="AH148" s="468">
        <f t="shared" si="37"/>
        <v>0</v>
      </c>
      <c r="AI148" s="62"/>
      <c r="AJ148" s="171">
        <f>SUM(AJ139:AJ147)</f>
        <v>55025399.880000003</v>
      </c>
      <c r="AK148" s="62">
        <f t="shared" si="34"/>
        <v>55025399.879999995</v>
      </c>
      <c r="AL148" s="62">
        <f t="shared" si="35"/>
        <v>0</v>
      </c>
    </row>
    <row r="149" spans="1:38" x14ac:dyDescent="0.3">
      <c r="A149" s="461" t="s">
        <v>1206</v>
      </c>
      <c r="B149" s="461" t="s">
        <v>825</v>
      </c>
      <c r="C149" s="461"/>
      <c r="D149" s="468">
        <f>SUM(D140:D146)</f>
        <v>0</v>
      </c>
      <c r="E149" s="468">
        <f t="shared" ref="E149:AJ149" si="38">SUM(E140:E146)</f>
        <v>0</v>
      </c>
      <c r="F149" s="630"/>
      <c r="G149" s="630"/>
      <c r="H149" s="630"/>
      <c r="I149" s="468">
        <f t="shared" si="38"/>
        <v>0</v>
      </c>
      <c r="J149" s="468">
        <f t="shared" si="38"/>
        <v>0</v>
      </c>
      <c r="K149" s="468"/>
      <c r="L149" s="468">
        <f t="shared" si="38"/>
        <v>0</v>
      </c>
      <c r="M149" s="468">
        <f t="shared" si="38"/>
        <v>51830994.990000002</v>
      </c>
      <c r="N149" s="468">
        <f t="shared" si="38"/>
        <v>5780399.1299999999</v>
      </c>
      <c r="O149" s="468">
        <f t="shared" si="38"/>
        <v>18788825.647820603</v>
      </c>
      <c r="P149" s="468">
        <f t="shared" si="38"/>
        <v>5217371.1033234503</v>
      </c>
      <c r="Q149" s="468">
        <f t="shared" si="38"/>
        <v>1080911.0827096831</v>
      </c>
      <c r="R149" s="468">
        <f t="shared" si="38"/>
        <v>14260334.859182455</v>
      </c>
      <c r="S149" s="468">
        <f t="shared" si="38"/>
        <v>3856063.0678833672</v>
      </c>
      <c r="T149" s="468">
        <f t="shared" si="38"/>
        <v>1181595.827290317</v>
      </c>
      <c r="U149" s="468">
        <f t="shared" si="38"/>
        <v>0</v>
      </c>
      <c r="V149" s="468">
        <f t="shared" si="38"/>
        <v>1665494.2717901245</v>
      </c>
      <c r="W149" s="468">
        <f t="shared" si="38"/>
        <v>0</v>
      </c>
      <c r="X149" s="468">
        <f t="shared" si="38"/>
        <v>1992574.36</v>
      </c>
      <c r="Y149" s="468">
        <f t="shared" si="38"/>
        <v>1992574.36</v>
      </c>
      <c r="Z149" s="468">
        <f t="shared" si="38"/>
        <v>0</v>
      </c>
      <c r="AA149" s="468">
        <f t="shared" si="38"/>
        <v>0</v>
      </c>
      <c r="AB149" s="468">
        <f t="shared" si="38"/>
        <v>0</v>
      </c>
      <c r="AC149" s="468"/>
      <c r="AD149" s="468"/>
      <c r="AE149" s="468"/>
      <c r="AF149" s="468">
        <f t="shared" si="38"/>
        <v>0</v>
      </c>
      <c r="AG149" s="468">
        <f>SUM(AG140:AG146)</f>
        <v>0</v>
      </c>
      <c r="AH149" s="468">
        <f t="shared" si="38"/>
        <v>0</v>
      </c>
      <c r="AI149" s="62"/>
      <c r="AJ149" s="62">
        <f t="shared" si="38"/>
        <v>53823569.350000001</v>
      </c>
      <c r="AK149" s="62">
        <f t="shared" si="34"/>
        <v>53823569.350000001</v>
      </c>
      <c r="AL149" s="62">
        <f>AJ149-AK149</f>
        <v>0</v>
      </c>
    </row>
    <row r="150" spans="1:38" x14ac:dyDescent="0.3">
      <c r="A150" s="461"/>
      <c r="B150" s="479" t="s">
        <v>542</v>
      </c>
      <c r="C150" s="479"/>
      <c r="D150" s="468">
        <f t="shared" ref="D150:AH150" si="39">D148+D136</f>
        <v>0</v>
      </c>
      <c r="E150" s="468">
        <f t="shared" si="39"/>
        <v>0</v>
      </c>
      <c r="F150" s="630"/>
      <c r="G150" s="630"/>
      <c r="H150" s="630"/>
      <c r="I150" s="468">
        <f t="shared" si="39"/>
        <v>0</v>
      </c>
      <c r="J150" s="468">
        <f t="shared" si="39"/>
        <v>0</v>
      </c>
      <c r="K150" s="468"/>
      <c r="L150" s="468">
        <f t="shared" si="39"/>
        <v>0</v>
      </c>
      <c r="M150" s="468">
        <f t="shared" si="39"/>
        <v>88810905.387649953</v>
      </c>
      <c r="N150" s="468">
        <f t="shared" si="39"/>
        <v>18567236.929002482</v>
      </c>
      <c r="O150" s="468">
        <f t="shared" si="39"/>
        <v>28230907.715102665</v>
      </c>
      <c r="P150" s="468">
        <f t="shared" si="39"/>
        <v>7768739.4674058827</v>
      </c>
      <c r="Q150" s="468">
        <f t="shared" si="39"/>
        <v>1105046.827609252</v>
      </c>
      <c r="R150" s="468">
        <f t="shared" si="39"/>
        <v>20029161.203761414</v>
      </c>
      <c r="S150" s="468">
        <f t="shared" si="39"/>
        <v>5328279.3604328306</v>
      </c>
      <c r="T150" s="468">
        <f t="shared" si="39"/>
        <v>1207979.7694277053</v>
      </c>
      <c r="U150" s="468">
        <f t="shared" si="39"/>
        <v>0</v>
      </c>
      <c r="V150" s="468">
        <f t="shared" si="39"/>
        <v>5117945.2002358725</v>
      </c>
      <c r="W150" s="468">
        <f>W148+W136</f>
        <v>1455608.914671842</v>
      </c>
      <c r="X150" s="468">
        <f t="shared" si="39"/>
        <v>11236208.182350054</v>
      </c>
      <c r="Y150" s="468">
        <f>Y148+Y136</f>
        <v>11236208.182350054</v>
      </c>
      <c r="Z150" s="468">
        <f>Z148+Z136</f>
        <v>0</v>
      </c>
      <c r="AA150" s="468">
        <f t="shared" si="39"/>
        <v>0</v>
      </c>
      <c r="AB150" s="468">
        <f t="shared" si="39"/>
        <v>0</v>
      </c>
      <c r="AC150" s="468"/>
      <c r="AD150" s="468"/>
      <c r="AE150" s="468"/>
      <c r="AF150" s="468">
        <f t="shared" si="39"/>
        <v>0</v>
      </c>
      <c r="AG150" s="468"/>
      <c r="AH150" s="468">
        <f t="shared" si="39"/>
        <v>0</v>
      </c>
      <c r="AI150" s="62"/>
      <c r="AJ150" s="171">
        <f>AJ148+AJ136</f>
        <v>100047113.56999999</v>
      </c>
      <c r="AK150" s="62">
        <f t="shared" si="34"/>
        <v>100047113.56999999</v>
      </c>
      <c r="AL150" s="62">
        <f t="shared" si="35"/>
        <v>0</v>
      </c>
    </row>
    <row r="151" spans="1:38" x14ac:dyDescent="0.3">
      <c r="A151" s="461"/>
      <c r="B151" s="479"/>
      <c r="C151" s="479"/>
      <c r="D151" s="468"/>
      <c r="E151" s="468"/>
      <c r="F151" s="630"/>
      <c r="G151" s="630"/>
      <c r="H151" s="630"/>
      <c r="I151" s="468"/>
      <c r="J151" s="468"/>
      <c r="K151" s="468"/>
      <c r="L151" s="468"/>
      <c r="M151" s="468"/>
      <c r="N151" s="468"/>
      <c r="O151" s="468"/>
      <c r="P151" s="468"/>
      <c r="Q151" s="468"/>
      <c r="R151" s="468"/>
      <c r="S151" s="468"/>
      <c r="T151" s="468"/>
      <c r="U151" s="468"/>
      <c r="V151" s="468"/>
      <c r="W151" s="468"/>
      <c r="X151" s="468"/>
      <c r="Y151" s="468"/>
      <c r="Z151" s="468"/>
      <c r="AA151" s="468"/>
      <c r="AB151" s="468"/>
      <c r="AC151" s="468"/>
      <c r="AD151" s="468"/>
      <c r="AE151" s="468"/>
      <c r="AF151" s="468"/>
      <c r="AG151" s="468"/>
      <c r="AH151" s="468"/>
      <c r="AI151" s="62"/>
      <c r="AJ151" s="171"/>
      <c r="AK151" s="62"/>
      <c r="AL151" s="62"/>
    </row>
    <row r="152" spans="1:38" x14ac:dyDescent="0.3">
      <c r="A152" s="461"/>
      <c r="B152" s="479" t="s">
        <v>695</v>
      </c>
      <c r="C152" s="479"/>
      <c r="D152" s="468">
        <f>D150+D122+D99</f>
        <v>906097319.02999997</v>
      </c>
      <c r="E152" s="468">
        <f t="shared" ref="E152:AH152" si="40">E150+E122+E99</f>
        <v>169811627.8249402</v>
      </c>
      <c r="F152" s="630"/>
      <c r="G152" s="630"/>
      <c r="H152" s="630"/>
      <c r="I152" s="468">
        <f t="shared" si="40"/>
        <v>57390038.745059818</v>
      </c>
      <c r="J152" s="468">
        <f t="shared" si="40"/>
        <v>678895652.46000004</v>
      </c>
      <c r="K152" s="468"/>
      <c r="L152" s="468">
        <f t="shared" si="40"/>
        <v>19376670.590000004</v>
      </c>
      <c r="M152" s="468">
        <f t="shared" si="40"/>
        <v>88810905.387649953</v>
      </c>
      <c r="N152" s="468">
        <f t="shared" si="40"/>
        <v>18567236.929002482</v>
      </c>
      <c r="O152" s="468">
        <f t="shared" si="40"/>
        <v>28230907.715102665</v>
      </c>
      <c r="P152" s="468">
        <f t="shared" si="40"/>
        <v>7768739.4674058827</v>
      </c>
      <c r="Q152" s="468">
        <f t="shared" si="40"/>
        <v>1105046.827609252</v>
      </c>
      <c r="R152" s="468">
        <f t="shared" si="40"/>
        <v>20029161.203761414</v>
      </c>
      <c r="S152" s="468">
        <f t="shared" si="40"/>
        <v>5328279.3604328306</v>
      </c>
      <c r="T152" s="468">
        <f t="shared" si="40"/>
        <v>1207979.7694277053</v>
      </c>
      <c r="U152" s="468">
        <f t="shared" si="40"/>
        <v>0</v>
      </c>
      <c r="V152" s="468">
        <f t="shared" si="40"/>
        <v>5117945.2002358725</v>
      </c>
      <c r="W152" s="468">
        <f>W150+W122+W99</f>
        <v>1455608.914671842</v>
      </c>
      <c r="X152" s="468">
        <f t="shared" si="40"/>
        <v>11236208.182350054</v>
      </c>
      <c r="Y152" s="468">
        <f t="shared" si="40"/>
        <v>11236208.182350054</v>
      </c>
      <c r="Z152" s="468">
        <f t="shared" si="40"/>
        <v>0</v>
      </c>
      <c r="AA152" s="468">
        <f t="shared" si="40"/>
        <v>0</v>
      </c>
      <c r="AB152" s="468">
        <f t="shared" si="40"/>
        <v>0</v>
      </c>
      <c r="AC152" s="468"/>
      <c r="AD152" s="468"/>
      <c r="AE152" s="468"/>
      <c r="AF152" s="468">
        <f t="shared" si="40"/>
        <v>0</v>
      </c>
      <c r="AG152" s="468"/>
      <c r="AH152" s="468">
        <f t="shared" si="40"/>
        <v>0</v>
      </c>
      <c r="AI152" s="62"/>
      <c r="AJ152" s="171">
        <f>AJ150+AJ122+AJ99</f>
        <v>1025521103.1899999</v>
      </c>
      <c r="AK152" s="62">
        <f>SUM(E152,I152:K152,L152,N152:W152,Y152:Z152,AA152:AA152,AC152:AE152,AG152:AH152)</f>
        <v>1025521103.1900003</v>
      </c>
      <c r="AL152" s="62">
        <f t="shared" si="35"/>
        <v>0</v>
      </c>
    </row>
    <row r="153" spans="1:38" x14ac:dyDescent="0.3">
      <c r="A153" s="461"/>
      <c r="B153" s="479"/>
      <c r="C153" s="479"/>
      <c r="D153" s="171"/>
      <c r="E153" s="481"/>
      <c r="F153" s="637"/>
      <c r="G153" s="637"/>
      <c r="H153" s="637"/>
      <c r="I153" s="481"/>
      <c r="J153" s="481"/>
      <c r="K153" s="481"/>
      <c r="L153" s="171"/>
      <c r="M153" s="171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62"/>
      <c r="AJ153" s="171"/>
      <c r="AK153" s="62"/>
      <c r="AL153" s="62"/>
    </row>
    <row r="154" spans="1:38" x14ac:dyDescent="0.3">
      <c r="A154" s="9"/>
      <c r="B154" s="31"/>
      <c r="C154" s="31"/>
      <c r="F154" s="638"/>
      <c r="G154" s="638"/>
      <c r="H154" s="638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</row>
    <row r="155" spans="1:38" hidden="1" x14ac:dyDescent="0.3">
      <c r="A155" s="52" t="s">
        <v>840</v>
      </c>
      <c r="B155" s="31"/>
      <c r="C155" s="31"/>
      <c r="D155" s="173"/>
      <c r="E155" s="174"/>
      <c r="F155" s="638"/>
      <c r="G155" s="638"/>
      <c r="H155" s="638"/>
      <c r="I155" s="174"/>
      <c r="J155" s="174"/>
      <c r="K155" s="174"/>
      <c r="L155" s="173"/>
      <c r="M155" s="173"/>
      <c r="N155" s="175"/>
      <c r="O155" s="175"/>
      <c r="P155" s="175"/>
      <c r="Q155" s="175"/>
      <c r="R155" s="175"/>
      <c r="S155" s="175"/>
      <c r="T155" s="175"/>
      <c r="U155" s="175"/>
      <c r="V155" s="175"/>
      <c r="W155" s="175"/>
      <c r="X155" s="173"/>
      <c r="Y155" s="173"/>
      <c r="Z155" s="173"/>
      <c r="AA155" s="173"/>
      <c r="AB155" s="173"/>
      <c r="AC155" s="173"/>
      <c r="AD155" s="173"/>
      <c r="AE155" s="173"/>
      <c r="AF155" s="173"/>
      <c r="AG155" s="173"/>
      <c r="AH155" s="173"/>
    </row>
    <row r="156" spans="1:38" hidden="1" x14ac:dyDescent="0.3">
      <c r="A156" s="9"/>
      <c r="B156" s="31"/>
      <c r="C156" s="31"/>
      <c r="D156" s="173"/>
      <c r="E156" s="174"/>
      <c r="F156" s="638"/>
      <c r="G156" s="638"/>
      <c r="H156" s="638"/>
      <c r="I156" s="174"/>
      <c r="J156" s="174"/>
      <c r="K156" s="174"/>
      <c r="L156" s="173"/>
      <c r="M156" s="173"/>
      <c r="N156" s="175"/>
      <c r="O156" s="175"/>
      <c r="P156" s="175"/>
      <c r="Q156" s="175"/>
      <c r="R156" s="175"/>
      <c r="S156" s="175"/>
      <c r="T156" s="175"/>
      <c r="U156" s="175"/>
      <c r="V156" s="175"/>
      <c r="W156" s="175"/>
      <c r="X156" s="173"/>
      <c r="Y156" s="173"/>
      <c r="Z156" s="173"/>
      <c r="AA156" s="173"/>
      <c r="AB156" s="173"/>
      <c r="AC156" s="173"/>
      <c r="AD156" s="173"/>
      <c r="AE156" s="173"/>
      <c r="AF156" s="173"/>
      <c r="AG156" s="173"/>
      <c r="AH156" s="173"/>
    </row>
    <row r="157" spans="1:38" hidden="1" x14ac:dyDescent="0.3">
      <c r="A157" s="52" t="s">
        <v>839</v>
      </c>
      <c r="B157" s="31"/>
      <c r="C157" s="31"/>
      <c r="D157" s="173"/>
      <c r="E157" s="174"/>
      <c r="F157" s="638"/>
      <c r="G157" s="638"/>
      <c r="H157" s="638"/>
      <c r="I157" s="174"/>
      <c r="J157" s="174"/>
      <c r="K157" s="174"/>
      <c r="L157" s="173"/>
      <c r="M157" s="173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3"/>
      <c r="Y157" s="173"/>
      <c r="Z157" s="173"/>
      <c r="AA157" s="173"/>
      <c r="AB157" s="173"/>
      <c r="AC157" s="173"/>
      <c r="AD157" s="173"/>
      <c r="AE157" s="173"/>
      <c r="AF157" s="173"/>
      <c r="AG157" s="173"/>
      <c r="AH157" s="173"/>
    </row>
    <row r="158" spans="1:38" hidden="1" x14ac:dyDescent="0.3">
      <c r="A158" s="9"/>
      <c r="B158" s="31"/>
      <c r="C158" s="31"/>
      <c r="D158" s="173"/>
      <c r="E158" s="174"/>
      <c r="F158" s="638"/>
      <c r="G158" s="638"/>
      <c r="H158" s="638"/>
      <c r="I158" s="174"/>
      <c r="J158" s="174"/>
      <c r="K158" s="174"/>
      <c r="L158" s="173"/>
      <c r="M158" s="173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3"/>
      <c r="Y158" s="173"/>
      <c r="Z158" s="173"/>
      <c r="AA158" s="173"/>
      <c r="AB158" s="173"/>
      <c r="AC158" s="173"/>
      <c r="AD158" s="173"/>
      <c r="AE158" s="173"/>
      <c r="AF158" s="173"/>
      <c r="AG158" s="173"/>
      <c r="AH158" s="173"/>
    </row>
    <row r="159" spans="1:38" hidden="1" x14ac:dyDescent="0.3">
      <c r="A159" s="9"/>
      <c r="B159" s="56" t="s">
        <v>810</v>
      </c>
      <c r="C159" s="31"/>
      <c r="D159" s="173"/>
      <c r="E159" s="174"/>
      <c r="F159" s="638"/>
      <c r="G159" s="638"/>
      <c r="H159" s="638"/>
      <c r="I159" s="174"/>
      <c r="J159" s="174"/>
      <c r="K159" s="174"/>
      <c r="L159" s="173"/>
      <c r="M159" s="173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3"/>
      <c r="Y159" s="173"/>
      <c r="Z159" s="173"/>
      <c r="AA159" s="173"/>
      <c r="AB159" s="173"/>
      <c r="AC159" s="173"/>
      <c r="AD159" s="173"/>
      <c r="AE159" s="173"/>
      <c r="AF159" s="173"/>
      <c r="AG159" s="173"/>
      <c r="AH159" s="173"/>
    </row>
    <row r="160" spans="1:38" s="1" customFormat="1" hidden="1" x14ac:dyDescent="0.3">
      <c r="A160" s="9">
        <v>803</v>
      </c>
      <c r="B160" s="9" t="s">
        <v>1183</v>
      </c>
      <c r="C160" s="9"/>
      <c r="D160" s="173"/>
      <c r="E160" s="174"/>
      <c r="F160" s="638"/>
      <c r="G160" s="638"/>
      <c r="H160" s="638"/>
      <c r="I160" s="174"/>
      <c r="J160" s="174"/>
      <c r="K160" s="174"/>
      <c r="L160" s="173"/>
      <c r="M160" s="173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3"/>
      <c r="Y160" s="173"/>
      <c r="Z160" s="173"/>
      <c r="AA160" s="173"/>
      <c r="AB160" s="173"/>
      <c r="AC160" s="173"/>
      <c r="AD160" s="173"/>
      <c r="AE160" s="173"/>
      <c r="AF160" s="173"/>
      <c r="AG160" s="173"/>
      <c r="AH160" s="173"/>
    </row>
    <row r="161" spans="1:34" s="1" customFormat="1" hidden="1" x14ac:dyDescent="0.3">
      <c r="A161" s="9">
        <v>804</v>
      </c>
      <c r="B161" s="9" t="s">
        <v>839</v>
      </c>
      <c r="C161" s="9"/>
      <c r="D161" s="173"/>
      <c r="E161" s="174"/>
      <c r="F161" s="638"/>
      <c r="G161" s="638"/>
      <c r="H161" s="638"/>
      <c r="I161" s="174"/>
      <c r="J161" s="174"/>
      <c r="K161" s="174"/>
      <c r="L161" s="173"/>
      <c r="M161" s="173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3"/>
      <c r="Y161" s="173"/>
      <c r="Z161" s="173"/>
      <c r="AA161" s="173"/>
      <c r="AB161" s="173"/>
      <c r="AC161" s="173"/>
      <c r="AD161" s="173"/>
      <c r="AE161" s="173"/>
      <c r="AF161" s="173"/>
      <c r="AG161" s="173"/>
      <c r="AH161" s="173"/>
    </row>
    <row r="162" spans="1:34" s="1" customFormat="1" hidden="1" x14ac:dyDescent="0.3">
      <c r="A162" s="9">
        <v>807</v>
      </c>
      <c r="B162" s="9" t="s">
        <v>842</v>
      </c>
      <c r="C162" s="9"/>
      <c r="D162" s="173"/>
      <c r="E162" s="174"/>
      <c r="F162" s="638"/>
      <c r="G162" s="638"/>
      <c r="H162" s="638"/>
      <c r="I162" s="174"/>
      <c r="J162" s="174"/>
      <c r="K162" s="174"/>
      <c r="L162" s="173"/>
      <c r="M162" s="173"/>
      <c r="N162" s="175"/>
      <c r="O162" s="175"/>
      <c r="P162" s="175"/>
      <c r="Q162" s="175"/>
      <c r="R162" s="175"/>
      <c r="S162" s="175"/>
      <c r="T162" s="175"/>
      <c r="U162" s="175"/>
      <c r="V162" s="175"/>
      <c r="W162" s="175"/>
      <c r="X162" s="173"/>
      <c r="Y162" s="173"/>
      <c r="Z162" s="173"/>
      <c r="AA162" s="173"/>
      <c r="AB162" s="173"/>
      <c r="AC162" s="173"/>
      <c r="AD162" s="173"/>
      <c r="AE162" s="173"/>
      <c r="AF162" s="173"/>
      <c r="AG162" s="173"/>
      <c r="AH162" s="173"/>
    </row>
    <row r="163" spans="1:34" s="1" customFormat="1" hidden="1" x14ac:dyDescent="0.3">
      <c r="A163" s="58">
        <v>810</v>
      </c>
      <c r="B163" s="18" t="s">
        <v>1185</v>
      </c>
      <c r="C163" s="9"/>
      <c r="D163" s="173"/>
      <c r="E163" s="174"/>
      <c r="F163" s="638"/>
      <c r="G163" s="638"/>
      <c r="H163" s="638"/>
      <c r="I163" s="174"/>
      <c r="J163" s="174"/>
      <c r="K163" s="174"/>
      <c r="L163" s="173"/>
      <c r="M163" s="173"/>
      <c r="N163" s="175"/>
      <c r="O163" s="175"/>
      <c r="P163" s="175"/>
      <c r="Q163" s="175"/>
      <c r="R163" s="175"/>
      <c r="S163" s="175"/>
      <c r="T163" s="175"/>
      <c r="U163" s="175"/>
      <c r="V163" s="175"/>
      <c r="W163" s="175"/>
      <c r="X163" s="173"/>
      <c r="Y163" s="173"/>
      <c r="Z163" s="173"/>
      <c r="AA163" s="173"/>
      <c r="AB163" s="173"/>
      <c r="AC163" s="173"/>
      <c r="AD163" s="173"/>
      <c r="AE163" s="173"/>
      <c r="AF163" s="173"/>
      <c r="AG163" s="173"/>
      <c r="AH163" s="173"/>
    </row>
    <row r="164" spans="1:34" s="1" customFormat="1" hidden="1" x14ac:dyDescent="0.3">
      <c r="A164" s="9">
        <v>812</v>
      </c>
      <c r="B164" s="9" t="s">
        <v>843</v>
      </c>
      <c r="C164" s="9"/>
      <c r="D164" s="173"/>
      <c r="E164" s="174"/>
      <c r="F164" s="638"/>
      <c r="G164" s="638"/>
      <c r="H164" s="638"/>
      <c r="I164" s="174"/>
      <c r="J164" s="174"/>
      <c r="K164" s="174"/>
      <c r="L164" s="173"/>
      <c r="M164" s="173"/>
      <c r="N164" s="175"/>
      <c r="O164" s="175"/>
      <c r="P164" s="175"/>
      <c r="Q164" s="175"/>
      <c r="R164" s="175"/>
      <c r="S164" s="175"/>
      <c r="T164" s="175"/>
      <c r="U164" s="175"/>
      <c r="V164" s="175"/>
      <c r="W164" s="175"/>
      <c r="X164" s="173"/>
      <c r="Y164" s="173"/>
      <c r="Z164" s="173"/>
      <c r="AA164" s="173"/>
      <c r="AB164" s="173"/>
      <c r="AC164" s="173"/>
      <c r="AD164" s="173"/>
      <c r="AE164" s="173"/>
      <c r="AF164" s="173"/>
      <c r="AG164" s="173"/>
      <c r="AH164" s="173"/>
    </row>
    <row r="165" spans="1:34" s="1" customFormat="1" hidden="1" x14ac:dyDescent="0.3">
      <c r="A165" s="9"/>
      <c r="B165" s="52" t="s">
        <v>861</v>
      </c>
      <c r="C165" s="9"/>
      <c r="D165" s="173"/>
      <c r="E165" s="174"/>
      <c r="F165" s="638"/>
      <c r="G165" s="638"/>
      <c r="H165" s="638"/>
      <c r="I165" s="174"/>
      <c r="J165" s="174"/>
      <c r="K165" s="174"/>
      <c r="L165" s="173"/>
      <c r="M165" s="173"/>
      <c r="N165" s="175"/>
      <c r="O165" s="175"/>
      <c r="P165" s="175"/>
      <c r="Q165" s="175"/>
      <c r="R165" s="175"/>
      <c r="S165" s="175"/>
      <c r="T165" s="175"/>
      <c r="U165" s="175"/>
      <c r="V165" s="175"/>
      <c r="W165" s="175"/>
      <c r="X165" s="173"/>
      <c r="Y165" s="173"/>
      <c r="Z165" s="173"/>
      <c r="AA165" s="173"/>
      <c r="AB165" s="173"/>
      <c r="AC165" s="173"/>
      <c r="AD165" s="173"/>
      <c r="AE165" s="173"/>
      <c r="AF165" s="173"/>
      <c r="AG165" s="173"/>
      <c r="AH165" s="173"/>
    </row>
    <row r="166" spans="1:34" s="1" customFormat="1" hidden="1" x14ac:dyDescent="0.3">
      <c r="A166" s="9"/>
      <c r="B166" s="9"/>
      <c r="C166" s="9"/>
      <c r="D166" s="173"/>
      <c r="E166" s="174"/>
      <c r="F166" s="638"/>
      <c r="G166" s="638"/>
      <c r="H166" s="638"/>
      <c r="I166" s="174"/>
      <c r="J166" s="174"/>
      <c r="K166" s="174"/>
      <c r="L166" s="173"/>
      <c r="M166" s="173"/>
      <c r="N166" s="175"/>
      <c r="O166" s="175"/>
      <c r="P166" s="175"/>
      <c r="Q166" s="175"/>
      <c r="R166" s="175"/>
      <c r="S166" s="175"/>
      <c r="T166" s="175"/>
      <c r="U166" s="175"/>
      <c r="V166" s="175"/>
      <c r="W166" s="175"/>
      <c r="X166" s="173"/>
      <c r="Y166" s="173"/>
      <c r="Z166" s="173"/>
      <c r="AA166" s="173"/>
      <c r="AB166" s="173"/>
      <c r="AC166" s="173"/>
      <c r="AD166" s="173"/>
      <c r="AE166" s="173"/>
      <c r="AF166" s="173"/>
      <c r="AG166" s="173"/>
      <c r="AH166" s="173"/>
    </row>
    <row r="167" spans="1:34" s="1" customFormat="1" hidden="1" x14ac:dyDescent="0.3">
      <c r="A167" s="9"/>
      <c r="B167" s="50" t="s">
        <v>366</v>
      </c>
      <c r="C167" s="9"/>
      <c r="D167" s="173"/>
      <c r="E167" s="174"/>
      <c r="F167" s="638"/>
      <c r="G167" s="638"/>
      <c r="H167" s="638"/>
      <c r="I167" s="174"/>
      <c r="J167" s="174"/>
      <c r="K167" s="174"/>
      <c r="L167" s="173"/>
      <c r="M167" s="173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3"/>
      <c r="Y167" s="173"/>
      <c r="Z167" s="173"/>
      <c r="AA167" s="173"/>
      <c r="AB167" s="173"/>
      <c r="AC167" s="173"/>
      <c r="AD167" s="173"/>
      <c r="AE167" s="173"/>
      <c r="AF167" s="173"/>
      <c r="AG167" s="173"/>
      <c r="AH167" s="173"/>
    </row>
    <row r="168" spans="1:34" s="1" customFormat="1" hidden="1" x14ac:dyDescent="0.3">
      <c r="A168" s="9">
        <v>823</v>
      </c>
      <c r="B168" s="9" t="s">
        <v>1187</v>
      </c>
      <c r="C168" s="9"/>
      <c r="D168" s="173"/>
      <c r="E168" s="174"/>
      <c r="F168" s="638"/>
      <c r="G168" s="638"/>
      <c r="H168" s="638"/>
      <c r="I168" s="174"/>
      <c r="J168" s="174"/>
      <c r="K168" s="174"/>
      <c r="L168" s="173"/>
      <c r="M168" s="173"/>
      <c r="N168" s="175"/>
      <c r="O168" s="175"/>
      <c r="P168" s="175"/>
      <c r="Q168" s="175"/>
      <c r="R168" s="175"/>
      <c r="S168" s="175"/>
      <c r="T168" s="175"/>
      <c r="U168" s="175"/>
      <c r="V168" s="175"/>
      <c r="W168" s="175"/>
      <c r="X168" s="173"/>
      <c r="Y168" s="173"/>
      <c r="Z168" s="173"/>
      <c r="AA168" s="173"/>
      <c r="AB168" s="173"/>
      <c r="AC168" s="173"/>
      <c r="AD168" s="173"/>
      <c r="AE168" s="173"/>
      <c r="AF168" s="173"/>
      <c r="AG168" s="173"/>
      <c r="AH168" s="173"/>
    </row>
    <row r="169" spans="1:34" s="1" customFormat="1" hidden="1" x14ac:dyDescent="0.3">
      <c r="A169" s="9">
        <v>850</v>
      </c>
      <c r="B169" s="9" t="s">
        <v>1065</v>
      </c>
      <c r="C169" s="9"/>
      <c r="D169" s="173"/>
      <c r="E169" s="174"/>
      <c r="F169" s="638"/>
      <c r="G169" s="638"/>
      <c r="H169" s="638"/>
      <c r="I169" s="174"/>
      <c r="J169" s="174"/>
      <c r="K169" s="174"/>
      <c r="L169" s="173"/>
      <c r="M169" s="173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3"/>
      <c r="Y169" s="173"/>
      <c r="Z169" s="173"/>
      <c r="AA169" s="173"/>
      <c r="AB169" s="173"/>
      <c r="AC169" s="173"/>
      <c r="AD169" s="173"/>
      <c r="AE169" s="173"/>
      <c r="AF169" s="173"/>
      <c r="AG169" s="173"/>
      <c r="AH169" s="173"/>
    </row>
    <row r="170" spans="1:34" s="1" customFormat="1" hidden="1" x14ac:dyDescent="0.3">
      <c r="A170" s="9">
        <v>851</v>
      </c>
      <c r="B170" s="9" t="s">
        <v>1189</v>
      </c>
      <c r="C170" s="9"/>
      <c r="D170" s="173"/>
      <c r="E170" s="174"/>
      <c r="F170" s="638"/>
      <c r="G170" s="638"/>
      <c r="H170" s="638"/>
      <c r="I170" s="174"/>
      <c r="J170" s="174"/>
      <c r="K170" s="174"/>
      <c r="L170" s="173"/>
      <c r="M170" s="173"/>
      <c r="N170" s="175"/>
      <c r="O170" s="175"/>
      <c r="P170" s="175"/>
      <c r="Q170" s="175"/>
      <c r="R170" s="175"/>
      <c r="S170" s="175"/>
      <c r="T170" s="175"/>
      <c r="U170" s="175"/>
      <c r="V170" s="175"/>
      <c r="W170" s="175"/>
      <c r="X170" s="173"/>
      <c r="Y170" s="173"/>
      <c r="Z170" s="173"/>
      <c r="AA170" s="173"/>
      <c r="AB170" s="173"/>
      <c r="AC170" s="173"/>
      <c r="AD170" s="173"/>
      <c r="AE170" s="173"/>
      <c r="AF170" s="173"/>
      <c r="AG170" s="173"/>
      <c r="AH170" s="173"/>
    </row>
    <row r="171" spans="1:34" s="1" customFormat="1" hidden="1" x14ac:dyDescent="0.3">
      <c r="A171" s="9">
        <v>853</v>
      </c>
      <c r="B171" s="9" t="s">
        <v>1061</v>
      </c>
      <c r="C171" s="9"/>
      <c r="D171" s="173"/>
      <c r="E171" s="174"/>
      <c r="F171" s="638"/>
      <c r="G171" s="638"/>
      <c r="H171" s="638"/>
      <c r="I171" s="174"/>
      <c r="J171" s="174"/>
      <c r="K171" s="174"/>
      <c r="L171" s="173"/>
      <c r="M171" s="173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3"/>
      <c r="Y171" s="173"/>
      <c r="Z171" s="173"/>
      <c r="AA171" s="173"/>
      <c r="AB171" s="173"/>
      <c r="AC171" s="173"/>
      <c r="AD171" s="173"/>
      <c r="AE171" s="173"/>
      <c r="AF171" s="173"/>
      <c r="AG171" s="173"/>
      <c r="AH171" s="173"/>
    </row>
    <row r="172" spans="1:34" s="1" customFormat="1" hidden="1" x14ac:dyDescent="0.3">
      <c r="A172" s="58">
        <v>856</v>
      </c>
      <c r="B172" s="58" t="s">
        <v>1191</v>
      </c>
      <c r="C172" s="9"/>
      <c r="D172" s="173"/>
      <c r="E172" s="174"/>
      <c r="F172" s="638"/>
      <c r="G172" s="638"/>
      <c r="H172" s="638"/>
      <c r="I172" s="174"/>
      <c r="J172" s="174"/>
      <c r="K172" s="174"/>
      <c r="L172" s="173"/>
      <c r="M172" s="173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3"/>
      <c r="Y172" s="173"/>
      <c r="Z172" s="173"/>
      <c r="AA172" s="173"/>
      <c r="AB172" s="173"/>
      <c r="AC172" s="173"/>
      <c r="AD172" s="173"/>
      <c r="AE172" s="173"/>
      <c r="AF172" s="173"/>
      <c r="AG172" s="173"/>
      <c r="AH172" s="173"/>
    </row>
    <row r="173" spans="1:34" s="1" customFormat="1" hidden="1" x14ac:dyDescent="0.3">
      <c r="A173" s="9">
        <v>857</v>
      </c>
      <c r="B173" s="9" t="s">
        <v>1062</v>
      </c>
      <c r="C173" s="9"/>
      <c r="D173" s="173"/>
      <c r="E173" s="174"/>
      <c r="F173" s="638"/>
      <c r="G173" s="638"/>
      <c r="H173" s="638"/>
      <c r="I173" s="174"/>
      <c r="J173" s="174"/>
      <c r="K173" s="174"/>
      <c r="L173" s="173"/>
      <c r="M173" s="173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3"/>
      <c r="Y173" s="173"/>
      <c r="Z173" s="173"/>
      <c r="AA173" s="173"/>
      <c r="AB173" s="173"/>
      <c r="AC173" s="173"/>
      <c r="AD173" s="173"/>
      <c r="AE173" s="173"/>
      <c r="AF173" s="173"/>
      <c r="AG173" s="173"/>
      <c r="AH173" s="173"/>
    </row>
    <row r="174" spans="1:34" s="1" customFormat="1" hidden="1" x14ac:dyDescent="0.3">
      <c r="A174" s="9">
        <v>859</v>
      </c>
      <c r="B174" s="9"/>
      <c r="C174" s="9"/>
      <c r="D174" s="173"/>
      <c r="E174" s="174"/>
      <c r="F174" s="638"/>
      <c r="G174" s="638"/>
      <c r="H174" s="638"/>
      <c r="I174" s="174"/>
      <c r="J174" s="174"/>
      <c r="K174" s="174"/>
      <c r="L174" s="173"/>
      <c r="M174" s="173"/>
      <c r="N174" s="175"/>
      <c r="O174" s="175"/>
      <c r="P174" s="175"/>
      <c r="Q174" s="175"/>
      <c r="R174" s="175"/>
      <c r="S174" s="175"/>
      <c r="T174" s="175"/>
      <c r="U174" s="175"/>
      <c r="V174" s="175"/>
      <c r="W174" s="175"/>
      <c r="X174" s="173"/>
      <c r="Y174" s="173"/>
      <c r="Z174" s="173"/>
      <c r="AA174" s="173"/>
      <c r="AB174" s="173"/>
      <c r="AC174" s="173"/>
      <c r="AD174" s="173"/>
      <c r="AE174" s="173"/>
      <c r="AF174" s="173"/>
      <c r="AG174" s="173"/>
      <c r="AH174" s="173"/>
    </row>
    <row r="175" spans="1:34" s="1" customFormat="1" hidden="1" x14ac:dyDescent="0.3">
      <c r="A175" s="9">
        <v>862</v>
      </c>
      <c r="B175" s="9"/>
      <c r="C175" s="9"/>
      <c r="D175" s="173"/>
      <c r="E175" s="174"/>
      <c r="F175" s="638"/>
      <c r="G175" s="638"/>
      <c r="H175" s="638"/>
      <c r="I175" s="174"/>
      <c r="J175" s="174"/>
      <c r="K175" s="174"/>
      <c r="L175" s="173"/>
      <c r="M175" s="173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3"/>
      <c r="Y175" s="173"/>
      <c r="Z175" s="173"/>
      <c r="AA175" s="173"/>
      <c r="AB175" s="173"/>
      <c r="AC175" s="173"/>
      <c r="AD175" s="173"/>
      <c r="AE175" s="173"/>
      <c r="AF175" s="173"/>
      <c r="AG175" s="173"/>
      <c r="AH175" s="173"/>
    </row>
    <row r="176" spans="1:34" s="1" customFormat="1" hidden="1" x14ac:dyDescent="0.3">
      <c r="A176" s="9">
        <v>863</v>
      </c>
      <c r="B176" s="9" t="s">
        <v>1063</v>
      </c>
      <c r="C176" s="9"/>
      <c r="D176" s="173"/>
      <c r="E176" s="174"/>
      <c r="F176" s="638"/>
      <c r="G176" s="638"/>
      <c r="H176" s="638"/>
      <c r="I176" s="174"/>
      <c r="J176" s="174"/>
      <c r="K176" s="174"/>
      <c r="L176" s="173"/>
      <c r="M176" s="173"/>
      <c r="N176" s="175"/>
      <c r="O176" s="175"/>
      <c r="P176" s="175"/>
      <c r="Q176" s="175"/>
      <c r="R176" s="175"/>
      <c r="S176" s="175"/>
      <c r="T176" s="175"/>
      <c r="U176" s="175"/>
      <c r="V176" s="175"/>
      <c r="W176" s="175"/>
      <c r="X176" s="173"/>
      <c r="Y176" s="173"/>
      <c r="Z176" s="173"/>
      <c r="AA176" s="173"/>
      <c r="AB176" s="173"/>
      <c r="AC176" s="173"/>
      <c r="AD176" s="173"/>
      <c r="AE176" s="173"/>
      <c r="AF176" s="173"/>
      <c r="AG176" s="173"/>
      <c r="AH176" s="173"/>
    </row>
    <row r="177" spans="1:34" s="1" customFormat="1" hidden="1" x14ac:dyDescent="0.3">
      <c r="A177" s="9">
        <v>865</v>
      </c>
      <c r="B177" s="9" t="s">
        <v>1064</v>
      </c>
      <c r="C177" s="9"/>
      <c r="D177" s="173"/>
      <c r="E177" s="174"/>
      <c r="F177" s="638"/>
      <c r="G177" s="638"/>
      <c r="H177" s="638"/>
      <c r="I177" s="174"/>
      <c r="J177" s="174"/>
      <c r="K177" s="174"/>
      <c r="L177" s="173"/>
      <c r="M177" s="173"/>
      <c r="N177" s="175"/>
      <c r="O177" s="175"/>
      <c r="P177" s="175"/>
      <c r="Q177" s="175"/>
      <c r="R177" s="175"/>
      <c r="S177" s="175"/>
      <c r="T177" s="175"/>
      <c r="U177" s="175"/>
      <c r="V177" s="175"/>
      <c r="W177" s="175"/>
      <c r="X177" s="173"/>
      <c r="Y177" s="173"/>
      <c r="Z177" s="173"/>
      <c r="AA177" s="173"/>
      <c r="AB177" s="173"/>
      <c r="AC177" s="173"/>
      <c r="AD177" s="173"/>
      <c r="AE177" s="173"/>
      <c r="AF177" s="173"/>
      <c r="AG177" s="173"/>
      <c r="AH177" s="173"/>
    </row>
    <row r="178" spans="1:34" s="1" customFormat="1" hidden="1" x14ac:dyDescent="0.3">
      <c r="A178" s="9">
        <v>867</v>
      </c>
      <c r="B178" s="9" t="s">
        <v>1193</v>
      </c>
      <c r="C178" s="9"/>
      <c r="D178" s="173"/>
      <c r="E178" s="174"/>
      <c r="F178" s="638"/>
      <c r="G178" s="638"/>
      <c r="H178" s="638"/>
      <c r="I178" s="174"/>
      <c r="J178" s="174"/>
      <c r="K178" s="174"/>
      <c r="L178" s="173"/>
      <c r="M178" s="173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3"/>
      <c r="Y178" s="173"/>
      <c r="Z178" s="173"/>
      <c r="AA178" s="173"/>
      <c r="AB178" s="173"/>
      <c r="AC178" s="173"/>
      <c r="AD178" s="173"/>
      <c r="AE178" s="173"/>
      <c r="AF178" s="173"/>
      <c r="AG178" s="173"/>
      <c r="AH178" s="173"/>
    </row>
    <row r="179" spans="1:34" s="1" customFormat="1" hidden="1" x14ac:dyDescent="0.3">
      <c r="A179" s="9"/>
      <c r="B179" s="52" t="s">
        <v>1066</v>
      </c>
      <c r="C179" s="9"/>
      <c r="D179" s="173"/>
      <c r="E179" s="174"/>
      <c r="F179" s="638"/>
      <c r="G179" s="638"/>
      <c r="H179" s="638"/>
      <c r="I179" s="174"/>
      <c r="J179" s="174"/>
      <c r="K179" s="174"/>
      <c r="L179" s="173"/>
      <c r="M179" s="173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3"/>
      <c r="Y179" s="173"/>
      <c r="Z179" s="173"/>
      <c r="AA179" s="173"/>
      <c r="AB179" s="173"/>
      <c r="AC179" s="173"/>
      <c r="AD179" s="173"/>
      <c r="AE179" s="173"/>
      <c r="AF179" s="173"/>
      <c r="AG179" s="173"/>
      <c r="AH179" s="173"/>
    </row>
    <row r="180" spans="1:34" s="1" customFormat="1" hidden="1" x14ac:dyDescent="0.3">
      <c r="A180" s="9"/>
      <c r="B180" s="9"/>
      <c r="C180" s="9"/>
      <c r="D180" s="173"/>
      <c r="E180" s="174"/>
      <c r="F180" s="638"/>
      <c r="G180" s="638"/>
      <c r="H180" s="638"/>
      <c r="I180" s="174"/>
      <c r="J180" s="174"/>
      <c r="K180" s="174"/>
      <c r="L180" s="173"/>
      <c r="M180" s="173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3"/>
      <c r="Y180" s="173"/>
      <c r="Z180" s="173"/>
      <c r="AA180" s="173"/>
      <c r="AB180" s="173"/>
      <c r="AC180" s="173"/>
      <c r="AD180" s="173"/>
      <c r="AE180" s="173"/>
      <c r="AF180" s="173"/>
      <c r="AG180" s="173"/>
      <c r="AH180" s="173"/>
    </row>
    <row r="181" spans="1:34" hidden="1" x14ac:dyDescent="0.3">
      <c r="A181" s="52" t="s">
        <v>846</v>
      </c>
      <c r="B181" s="56"/>
      <c r="C181" s="31"/>
      <c r="D181" s="173"/>
      <c r="E181" s="174"/>
      <c r="F181" s="638"/>
      <c r="G181" s="638"/>
      <c r="H181" s="638"/>
      <c r="I181" s="174"/>
      <c r="J181" s="174"/>
      <c r="K181" s="174"/>
      <c r="L181" s="173"/>
      <c r="M181" s="173"/>
      <c r="N181" s="175"/>
      <c r="O181" s="175"/>
      <c r="P181" s="175"/>
      <c r="Q181" s="175"/>
      <c r="R181" s="175"/>
      <c r="S181" s="175"/>
      <c r="T181" s="175"/>
      <c r="U181" s="175"/>
      <c r="V181" s="175"/>
      <c r="W181" s="175"/>
      <c r="X181" s="173"/>
      <c r="Y181" s="173"/>
      <c r="Z181" s="173"/>
      <c r="AA181" s="173"/>
      <c r="AB181" s="173"/>
      <c r="AC181" s="173"/>
      <c r="AD181" s="173"/>
      <c r="AE181" s="173"/>
      <c r="AF181" s="173"/>
      <c r="AG181" s="173"/>
      <c r="AH181" s="173"/>
    </row>
    <row r="182" spans="1:34" hidden="1" x14ac:dyDescent="0.3">
      <c r="A182" s="52"/>
      <c r="B182" s="56" t="s">
        <v>549</v>
      </c>
      <c r="C182" s="31"/>
      <c r="D182" s="173"/>
      <c r="E182" s="174"/>
      <c r="F182" s="638"/>
      <c r="G182" s="638"/>
      <c r="H182" s="638"/>
      <c r="I182" s="174"/>
      <c r="J182" s="174"/>
      <c r="K182" s="174"/>
      <c r="L182" s="173"/>
      <c r="M182" s="173"/>
      <c r="N182" s="175"/>
      <c r="O182" s="175"/>
      <c r="P182" s="175"/>
      <c r="Q182" s="175"/>
      <c r="R182" s="175"/>
      <c r="S182" s="175"/>
      <c r="T182" s="175"/>
      <c r="U182" s="175"/>
      <c r="V182" s="175"/>
      <c r="W182" s="175"/>
      <c r="X182" s="173"/>
      <c r="Y182" s="173"/>
      <c r="Z182" s="173"/>
      <c r="AA182" s="173"/>
      <c r="AB182" s="173"/>
      <c r="AC182" s="173"/>
      <c r="AD182" s="173"/>
      <c r="AE182" s="173"/>
      <c r="AF182" s="173"/>
      <c r="AG182" s="173"/>
      <c r="AH182" s="173"/>
    </row>
    <row r="183" spans="1:34" hidden="1" x14ac:dyDescent="0.3">
      <c r="A183" s="9">
        <v>870</v>
      </c>
      <c r="B183" s="31" t="s">
        <v>847</v>
      </c>
      <c r="C183" s="31"/>
      <c r="D183" s="173"/>
      <c r="E183" s="174"/>
      <c r="F183" s="638"/>
      <c r="G183" s="638"/>
      <c r="H183" s="638"/>
      <c r="I183" s="174"/>
      <c r="J183" s="174"/>
      <c r="K183" s="174"/>
      <c r="L183" s="173"/>
      <c r="M183" s="173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3"/>
      <c r="Y183" s="173"/>
      <c r="Z183" s="173"/>
      <c r="AA183" s="173"/>
      <c r="AB183" s="173"/>
      <c r="AC183" s="173"/>
      <c r="AD183" s="173"/>
      <c r="AE183" s="173"/>
      <c r="AF183" s="173"/>
      <c r="AG183" s="173"/>
      <c r="AH183" s="173"/>
    </row>
    <row r="184" spans="1:34" hidden="1" x14ac:dyDescent="0.3">
      <c r="A184" s="9">
        <v>871</v>
      </c>
      <c r="B184" s="31" t="s">
        <v>644</v>
      </c>
      <c r="C184" s="31"/>
      <c r="D184" s="173"/>
      <c r="E184" s="174"/>
      <c r="F184" s="638"/>
      <c r="G184" s="638"/>
      <c r="H184" s="638"/>
      <c r="I184" s="174"/>
      <c r="J184" s="174"/>
      <c r="K184" s="174"/>
      <c r="L184" s="173"/>
      <c r="M184" s="173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3"/>
      <c r="Y184" s="173"/>
      <c r="Z184" s="173"/>
      <c r="AA184" s="173"/>
      <c r="AB184" s="173"/>
      <c r="AC184" s="173"/>
      <c r="AD184" s="173"/>
      <c r="AE184" s="173"/>
      <c r="AF184" s="173"/>
      <c r="AG184" s="173"/>
      <c r="AH184" s="173"/>
    </row>
    <row r="185" spans="1:34" hidden="1" x14ac:dyDescent="0.3">
      <c r="A185" s="9">
        <v>872</v>
      </c>
      <c r="B185" s="31" t="s">
        <v>848</v>
      </c>
      <c r="C185" s="31"/>
      <c r="D185" s="173"/>
      <c r="E185" s="174"/>
      <c r="F185" s="638"/>
      <c r="G185" s="638"/>
      <c r="H185" s="638"/>
      <c r="I185" s="174"/>
      <c r="J185" s="174"/>
      <c r="K185" s="174"/>
      <c r="L185" s="173"/>
      <c r="M185" s="173"/>
      <c r="N185" s="175"/>
      <c r="O185" s="175"/>
      <c r="P185" s="175"/>
      <c r="Q185" s="175"/>
      <c r="R185" s="175"/>
      <c r="S185" s="175"/>
      <c r="T185" s="175"/>
      <c r="U185" s="175"/>
      <c r="V185" s="175"/>
      <c r="W185" s="175"/>
      <c r="X185" s="173"/>
      <c r="Y185" s="173"/>
      <c r="Z185" s="173"/>
      <c r="AA185" s="173"/>
      <c r="AB185" s="173"/>
      <c r="AC185" s="173"/>
      <c r="AD185" s="173"/>
      <c r="AE185" s="173"/>
      <c r="AF185" s="173"/>
      <c r="AG185" s="173"/>
      <c r="AH185" s="173"/>
    </row>
    <row r="186" spans="1:34" hidden="1" x14ac:dyDescent="0.3">
      <c r="A186" s="9">
        <v>873</v>
      </c>
      <c r="B186" s="31" t="s">
        <v>849</v>
      </c>
      <c r="C186" s="31"/>
      <c r="D186" s="173"/>
      <c r="E186" s="174"/>
      <c r="F186" s="638"/>
      <c r="G186" s="638"/>
      <c r="H186" s="638"/>
      <c r="I186" s="174"/>
      <c r="J186" s="174"/>
      <c r="K186" s="174"/>
      <c r="L186" s="173"/>
      <c r="M186" s="173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3"/>
      <c r="Y186" s="173"/>
      <c r="Z186" s="173"/>
      <c r="AA186" s="173"/>
      <c r="AB186" s="173"/>
      <c r="AC186" s="173"/>
      <c r="AD186" s="173"/>
      <c r="AE186" s="173"/>
      <c r="AF186" s="173"/>
      <c r="AG186" s="173"/>
      <c r="AH186" s="173"/>
    </row>
    <row r="187" spans="1:34" hidden="1" x14ac:dyDescent="0.3">
      <c r="A187" s="9">
        <v>874</v>
      </c>
      <c r="B187" s="31" t="s">
        <v>850</v>
      </c>
      <c r="C187" s="31"/>
      <c r="D187" s="173"/>
      <c r="E187" s="174"/>
      <c r="F187" s="638"/>
      <c r="G187" s="638"/>
      <c r="H187" s="638"/>
      <c r="I187" s="174"/>
      <c r="J187" s="174"/>
      <c r="K187" s="174"/>
      <c r="L187" s="173"/>
      <c r="M187" s="173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3"/>
      <c r="Y187" s="173"/>
      <c r="Z187" s="173"/>
      <c r="AA187" s="173"/>
      <c r="AB187" s="173"/>
      <c r="AC187" s="173"/>
      <c r="AD187" s="173"/>
      <c r="AE187" s="173"/>
      <c r="AF187" s="173"/>
      <c r="AG187" s="173"/>
      <c r="AH187" s="173"/>
    </row>
    <row r="188" spans="1:34" hidden="1" x14ac:dyDescent="0.3">
      <c r="A188" s="9">
        <v>875</v>
      </c>
      <c r="B188" s="31" t="s">
        <v>851</v>
      </c>
      <c r="C188" s="31"/>
      <c r="D188" s="173"/>
      <c r="E188" s="174"/>
      <c r="F188" s="638"/>
      <c r="G188" s="638"/>
      <c r="H188" s="638"/>
      <c r="I188" s="174"/>
      <c r="J188" s="174"/>
      <c r="K188" s="174"/>
      <c r="L188" s="173"/>
      <c r="M188" s="173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3"/>
      <c r="Y188" s="173"/>
      <c r="Z188" s="173"/>
      <c r="AA188" s="173"/>
      <c r="AB188" s="173"/>
      <c r="AC188" s="173"/>
      <c r="AD188" s="173"/>
      <c r="AE188" s="173"/>
      <c r="AF188" s="173"/>
      <c r="AG188" s="173"/>
      <c r="AH188" s="173"/>
    </row>
    <row r="189" spans="1:34" hidden="1" x14ac:dyDescent="0.3">
      <c r="A189" s="9">
        <v>876</v>
      </c>
      <c r="B189" s="31" t="s">
        <v>852</v>
      </c>
      <c r="C189" s="31"/>
      <c r="D189" s="173"/>
      <c r="E189" s="174"/>
      <c r="F189" s="638"/>
      <c r="G189" s="638"/>
      <c r="H189" s="638"/>
      <c r="I189" s="174"/>
      <c r="J189" s="174"/>
      <c r="K189" s="174"/>
      <c r="L189" s="173"/>
      <c r="M189" s="173"/>
      <c r="N189" s="175"/>
      <c r="O189" s="175"/>
      <c r="P189" s="175"/>
      <c r="Q189" s="175"/>
      <c r="R189" s="175"/>
      <c r="S189" s="175"/>
      <c r="T189" s="175"/>
      <c r="U189" s="175"/>
      <c r="V189" s="175"/>
      <c r="W189" s="175"/>
      <c r="X189" s="173"/>
      <c r="Y189" s="173"/>
      <c r="Z189" s="173"/>
      <c r="AA189" s="173"/>
      <c r="AB189" s="173"/>
      <c r="AC189" s="173"/>
      <c r="AD189" s="173"/>
      <c r="AE189" s="173"/>
      <c r="AF189" s="173"/>
      <c r="AG189" s="173"/>
      <c r="AH189" s="173"/>
    </row>
    <row r="190" spans="1:34" hidden="1" x14ac:dyDescent="0.3">
      <c r="A190" s="9">
        <v>877</v>
      </c>
      <c r="B190" s="31" t="s">
        <v>853</v>
      </c>
      <c r="C190" s="31"/>
      <c r="D190" s="173"/>
      <c r="E190" s="174"/>
      <c r="F190" s="638"/>
      <c r="G190" s="638"/>
      <c r="H190" s="638"/>
      <c r="I190" s="174"/>
      <c r="J190" s="174"/>
      <c r="K190" s="174"/>
      <c r="L190" s="173"/>
      <c r="M190" s="173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3"/>
      <c r="Y190" s="173"/>
      <c r="Z190" s="173"/>
      <c r="AA190" s="173"/>
      <c r="AB190" s="173"/>
      <c r="AC190" s="173"/>
      <c r="AD190" s="173"/>
      <c r="AE190" s="173"/>
      <c r="AF190" s="173"/>
      <c r="AG190" s="173"/>
      <c r="AH190" s="173"/>
    </row>
    <row r="191" spans="1:34" hidden="1" x14ac:dyDescent="0.3">
      <c r="A191" s="9">
        <v>878</v>
      </c>
      <c r="B191" s="31" t="s">
        <v>854</v>
      </c>
      <c r="C191" s="31"/>
      <c r="D191" s="173"/>
      <c r="E191" s="174"/>
      <c r="F191" s="638"/>
      <c r="G191" s="638"/>
      <c r="H191" s="638"/>
      <c r="I191" s="174"/>
      <c r="J191" s="174"/>
      <c r="K191" s="174"/>
      <c r="L191" s="173"/>
      <c r="M191" s="173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3"/>
      <c r="Y191" s="173"/>
      <c r="Z191" s="173"/>
      <c r="AA191" s="173"/>
      <c r="AB191" s="173"/>
      <c r="AC191" s="173"/>
      <c r="AD191" s="173"/>
      <c r="AE191" s="173"/>
      <c r="AF191" s="173"/>
      <c r="AG191" s="173"/>
      <c r="AH191" s="173"/>
    </row>
    <row r="192" spans="1:34" hidden="1" x14ac:dyDescent="0.3">
      <c r="A192" s="9">
        <v>879</v>
      </c>
      <c r="B192" s="31" t="s">
        <v>855</v>
      </c>
      <c r="C192" s="31"/>
      <c r="D192" s="173"/>
      <c r="E192" s="174"/>
      <c r="F192" s="638"/>
      <c r="G192" s="638"/>
      <c r="H192" s="638"/>
      <c r="I192" s="174"/>
      <c r="J192" s="174"/>
      <c r="K192" s="174"/>
      <c r="L192" s="173"/>
      <c r="M192" s="173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3"/>
      <c r="Y192" s="173"/>
      <c r="Z192" s="173"/>
      <c r="AA192" s="173"/>
      <c r="AB192" s="173"/>
      <c r="AC192" s="173"/>
      <c r="AD192" s="173"/>
      <c r="AE192" s="173"/>
      <c r="AF192" s="173"/>
      <c r="AG192" s="173"/>
      <c r="AH192" s="173"/>
    </row>
    <row r="193" spans="1:34" hidden="1" x14ac:dyDescent="0.3">
      <c r="A193" s="9">
        <v>880</v>
      </c>
      <c r="B193" s="31" t="s">
        <v>856</v>
      </c>
      <c r="C193" s="31"/>
      <c r="D193" s="173"/>
      <c r="E193" s="174"/>
      <c r="F193" s="638"/>
      <c r="G193" s="638"/>
      <c r="H193" s="638"/>
      <c r="I193" s="174"/>
      <c r="J193" s="174"/>
      <c r="K193" s="174"/>
      <c r="L193" s="173"/>
      <c r="M193" s="173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3"/>
      <c r="Y193" s="173"/>
      <c r="Z193" s="173"/>
      <c r="AA193" s="173"/>
      <c r="AB193" s="173"/>
      <c r="AC193" s="173"/>
      <c r="AD193" s="173"/>
      <c r="AE193" s="173"/>
      <c r="AF193" s="173"/>
      <c r="AG193" s="173"/>
      <c r="AH193" s="173"/>
    </row>
    <row r="194" spans="1:34" hidden="1" x14ac:dyDescent="0.3">
      <c r="A194" s="9"/>
      <c r="B194" s="45" t="s">
        <v>524</v>
      </c>
      <c r="C194" s="31"/>
      <c r="D194" s="173"/>
      <c r="E194" s="174"/>
      <c r="F194" s="638"/>
      <c r="G194" s="638"/>
      <c r="H194" s="638"/>
      <c r="I194" s="174"/>
      <c r="J194" s="174"/>
      <c r="K194" s="174"/>
      <c r="L194" s="173"/>
      <c r="M194" s="173"/>
      <c r="N194" s="175"/>
      <c r="O194" s="175"/>
      <c r="P194" s="175"/>
      <c r="Q194" s="175"/>
      <c r="R194" s="175"/>
      <c r="S194" s="175"/>
      <c r="T194" s="175"/>
      <c r="U194" s="175"/>
      <c r="V194" s="175"/>
      <c r="W194" s="175"/>
      <c r="X194" s="173"/>
      <c r="Y194" s="173"/>
      <c r="Z194" s="173"/>
      <c r="AA194" s="173"/>
      <c r="AB194" s="173"/>
      <c r="AC194" s="173"/>
      <c r="AD194" s="173"/>
      <c r="AE194" s="173"/>
      <c r="AF194" s="173"/>
      <c r="AG194" s="173"/>
      <c r="AH194" s="173"/>
    </row>
    <row r="195" spans="1:34" hidden="1" x14ac:dyDescent="0.3">
      <c r="A195" s="9"/>
      <c r="B195" s="31"/>
      <c r="C195" s="31"/>
      <c r="D195" s="173"/>
      <c r="E195" s="174"/>
      <c r="F195" s="638"/>
      <c r="G195" s="638"/>
      <c r="H195" s="638"/>
      <c r="I195" s="174"/>
      <c r="J195" s="174"/>
      <c r="K195" s="174"/>
      <c r="L195" s="173"/>
      <c r="M195" s="173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3"/>
      <c r="Y195" s="173"/>
      <c r="Z195" s="173"/>
      <c r="AA195" s="173"/>
      <c r="AB195" s="173"/>
      <c r="AC195" s="173"/>
      <c r="AD195" s="173"/>
      <c r="AE195" s="173"/>
      <c r="AF195" s="173"/>
      <c r="AG195" s="173"/>
      <c r="AH195" s="173"/>
    </row>
    <row r="196" spans="1:34" hidden="1" x14ac:dyDescent="0.3">
      <c r="A196" s="9"/>
      <c r="B196" s="56" t="s">
        <v>565</v>
      </c>
      <c r="C196" s="31"/>
      <c r="D196" s="173"/>
      <c r="E196" s="174"/>
      <c r="F196" s="638"/>
      <c r="G196" s="638"/>
      <c r="H196" s="638"/>
      <c r="I196" s="174"/>
      <c r="J196" s="174"/>
      <c r="K196" s="174"/>
      <c r="L196" s="173"/>
      <c r="M196" s="173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3"/>
      <c r="Y196" s="173"/>
      <c r="Z196" s="173"/>
      <c r="AA196" s="173"/>
      <c r="AB196" s="173"/>
      <c r="AC196" s="173"/>
      <c r="AD196" s="173"/>
      <c r="AE196" s="173"/>
      <c r="AF196" s="173"/>
      <c r="AG196" s="173"/>
      <c r="AH196" s="173"/>
    </row>
    <row r="197" spans="1:34" hidden="1" x14ac:dyDescent="0.3">
      <c r="A197" s="9">
        <v>885</v>
      </c>
      <c r="B197" s="31" t="s">
        <v>847</v>
      </c>
      <c r="C197" s="31"/>
      <c r="D197" s="173"/>
      <c r="E197" s="174"/>
      <c r="F197" s="638"/>
      <c r="G197" s="638"/>
      <c r="H197" s="638"/>
      <c r="I197" s="174"/>
      <c r="J197" s="174"/>
      <c r="K197" s="174"/>
      <c r="L197" s="173"/>
      <c r="M197" s="173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3"/>
      <c r="Y197" s="173"/>
      <c r="Z197" s="173"/>
      <c r="AA197" s="173"/>
      <c r="AB197" s="173"/>
      <c r="AC197" s="173"/>
      <c r="AD197" s="173"/>
      <c r="AE197" s="173"/>
      <c r="AF197" s="173"/>
      <c r="AG197" s="173"/>
      <c r="AH197" s="173"/>
    </row>
    <row r="198" spans="1:34" hidden="1" x14ac:dyDescent="0.3">
      <c r="A198" s="9">
        <v>886</v>
      </c>
      <c r="B198" s="31" t="s">
        <v>857</v>
      </c>
      <c r="C198" s="31"/>
      <c r="D198" s="173"/>
      <c r="E198" s="174"/>
      <c r="F198" s="638"/>
      <c r="G198" s="638"/>
      <c r="H198" s="638"/>
      <c r="I198" s="174"/>
      <c r="J198" s="174"/>
      <c r="K198" s="174"/>
      <c r="L198" s="173"/>
      <c r="M198" s="173"/>
      <c r="N198" s="175"/>
      <c r="O198" s="175"/>
      <c r="P198" s="175"/>
      <c r="Q198" s="175"/>
      <c r="R198" s="175"/>
      <c r="S198" s="175"/>
      <c r="T198" s="175"/>
      <c r="U198" s="175"/>
      <c r="V198" s="175"/>
      <c r="W198" s="175"/>
      <c r="X198" s="173"/>
      <c r="Y198" s="173"/>
      <c r="Z198" s="173"/>
      <c r="AA198" s="173"/>
      <c r="AB198" s="173"/>
      <c r="AC198" s="173"/>
      <c r="AD198" s="173"/>
      <c r="AE198" s="173"/>
      <c r="AF198" s="173"/>
      <c r="AG198" s="173"/>
      <c r="AH198" s="173"/>
    </row>
    <row r="199" spans="1:34" hidden="1" x14ac:dyDescent="0.3">
      <c r="A199" s="9">
        <v>887</v>
      </c>
      <c r="B199" s="31" t="s">
        <v>858</v>
      </c>
      <c r="C199" s="31"/>
      <c r="D199" s="173"/>
      <c r="E199" s="174"/>
      <c r="F199" s="638"/>
      <c r="G199" s="638"/>
      <c r="H199" s="638"/>
      <c r="I199" s="174"/>
      <c r="J199" s="174"/>
      <c r="K199" s="174"/>
      <c r="L199" s="173"/>
      <c r="M199" s="173"/>
      <c r="N199" s="175"/>
      <c r="O199" s="175"/>
      <c r="P199" s="175"/>
      <c r="Q199" s="175"/>
      <c r="R199" s="175"/>
      <c r="S199" s="175"/>
      <c r="T199" s="175"/>
      <c r="U199" s="175"/>
      <c r="V199" s="175"/>
      <c r="W199" s="175"/>
      <c r="X199" s="173"/>
      <c r="Y199" s="173"/>
      <c r="Z199" s="173"/>
      <c r="AA199" s="173"/>
      <c r="AB199" s="173"/>
      <c r="AC199" s="173"/>
      <c r="AD199" s="173"/>
      <c r="AE199" s="173"/>
      <c r="AF199" s="173"/>
      <c r="AG199" s="173"/>
      <c r="AH199" s="173"/>
    </row>
    <row r="200" spans="1:34" hidden="1" x14ac:dyDescent="0.3">
      <c r="A200" s="9">
        <v>888</v>
      </c>
      <c r="B200" s="31" t="s">
        <v>859</v>
      </c>
      <c r="C200" s="31"/>
      <c r="D200" s="173"/>
      <c r="E200" s="174"/>
      <c r="F200" s="638"/>
      <c r="G200" s="638"/>
      <c r="H200" s="638"/>
      <c r="I200" s="174"/>
      <c r="J200" s="174"/>
      <c r="K200" s="174"/>
      <c r="L200" s="173"/>
      <c r="M200" s="173"/>
      <c r="N200" s="175"/>
      <c r="O200" s="175"/>
      <c r="P200" s="175"/>
      <c r="Q200" s="175"/>
      <c r="R200" s="175"/>
      <c r="S200" s="175"/>
      <c r="T200" s="175"/>
      <c r="U200" s="175"/>
      <c r="V200" s="175"/>
      <c r="W200" s="175"/>
      <c r="X200" s="173"/>
      <c r="Y200" s="173"/>
      <c r="Z200" s="173"/>
      <c r="AA200" s="173"/>
      <c r="AB200" s="173"/>
      <c r="AC200" s="173"/>
      <c r="AD200" s="173"/>
      <c r="AE200" s="173"/>
      <c r="AF200" s="173"/>
      <c r="AG200" s="173"/>
      <c r="AH200" s="173"/>
    </row>
    <row r="201" spans="1:34" hidden="1" x14ac:dyDescent="0.3">
      <c r="A201" s="9">
        <v>889</v>
      </c>
      <c r="B201" s="31" t="s">
        <v>851</v>
      </c>
      <c r="C201" s="31"/>
      <c r="D201" s="173"/>
      <c r="E201" s="174"/>
      <c r="F201" s="638"/>
      <c r="G201" s="638"/>
      <c r="H201" s="638"/>
      <c r="I201" s="174"/>
      <c r="J201" s="174"/>
      <c r="K201" s="174"/>
      <c r="L201" s="173"/>
      <c r="M201" s="173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3"/>
      <c r="Y201" s="173"/>
      <c r="Z201" s="173"/>
      <c r="AA201" s="173"/>
      <c r="AB201" s="173"/>
      <c r="AC201" s="173"/>
      <c r="AD201" s="173"/>
      <c r="AE201" s="173"/>
      <c r="AF201" s="173"/>
      <c r="AG201" s="173"/>
      <c r="AH201" s="173"/>
    </row>
    <row r="202" spans="1:34" hidden="1" x14ac:dyDescent="0.3">
      <c r="A202" s="9">
        <v>890</v>
      </c>
      <c r="B202" s="31" t="s">
        <v>852</v>
      </c>
      <c r="C202" s="31"/>
      <c r="D202" s="173"/>
      <c r="E202" s="174"/>
      <c r="F202" s="638"/>
      <c r="G202" s="638"/>
      <c r="H202" s="638"/>
      <c r="I202" s="174"/>
      <c r="J202" s="174"/>
      <c r="K202" s="174"/>
      <c r="L202" s="173"/>
      <c r="M202" s="173"/>
      <c r="N202" s="175"/>
      <c r="O202" s="175"/>
      <c r="P202" s="175"/>
      <c r="Q202" s="175"/>
      <c r="R202" s="175"/>
      <c r="S202" s="175"/>
      <c r="T202" s="175"/>
      <c r="U202" s="175"/>
      <c r="V202" s="175"/>
      <c r="W202" s="175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</row>
    <row r="203" spans="1:34" hidden="1" x14ac:dyDescent="0.3">
      <c r="A203" s="9">
        <v>891</v>
      </c>
      <c r="B203" s="31" t="s">
        <v>853</v>
      </c>
      <c r="C203" s="31"/>
      <c r="D203" s="173"/>
      <c r="E203" s="174"/>
      <c r="F203" s="638"/>
      <c r="G203" s="638"/>
      <c r="H203" s="638"/>
      <c r="I203" s="174"/>
      <c r="J203" s="174"/>
      <c r="K203" s="174"/>
      <c r="L203" s="173"/>
      <c r="M203" s="173"/>
      <c r="N203" s="175"/>
      <c r="O203" s="175"/>
      <c r="P203" s="175"/>
      <c r="Q203" s="175"/>
      <c r="R203" s="175"/>
      <c r="S203" s="175"/>
      <c r="T203" s="175"/>
      <c r="U203" s="175"/>
      <c r="V203" s="175"/>
      <c r="W203" s="175"/>
      <c r="X203" s="173"/>
      <c r="Y203" s="173"/>
      <c r="Z203" s="173"/>
      <c r="AA203" s="173"/>
      <c r="AB203" s="173"/>
      <c r="AC203" s="173"/>
      <c r="AD203" s="173"/>
      <c r="AE203" s="173"/>
      <c r="AF203" s="173"/>
      <c r="AG203" s="173"/>
      <c r="AH203" s="173"/>
    </row>
    <row r="204" spans="1:34" hidden="1" x14ac:dyDescent="0.3">
      <c r="A204" s="9">
        <v>892</v>
      </c>
      <c r="B204" s="31" t="s">
        <v>456</v>
      </c>
      <c r="C204" s="31"/>
      <c r="D204" s="173"/>
      <c r="E204" s="174"/>
      <c r="F204" s="638"/>
      <c r="G204" s="638"/>
      <c r="H204" s="638"/>
      <c r="I204" s="174"/>
      <c r="J204" s="174"/>
      <c r="K204" s="174"/>
      <c r="L204" s="173"/>
      <c r="M204" s="173"/>
      <c r="N204" s="175"/>
      <c r="O204" s="175"/>
      <c r="P204" s="175"/>
      <c r="Q204" s="175"/>
      <c r="R204" s="175"/>
      <c r="S204" s="175"/>
      <c r="T204" s="175"/>
      <c r="U204" s="175"/>
      <c r="V204" s="175"/>
      <c r="W204" s="175"/>
      <c r="X204" s="173"/>
      <c r="Y204" s="173"/>
      <c r="Z204" s="173"/>
      <c r="AA204" s="173"/>
      <c r="AB204" s="173"/>
      <c r="AC204" s="173"/>
      <c r="AD204" s="173"/>
      <c r="AE204" s="173"/>
      <c r="AF204" s="173"/>
      <c r="AG204" s="173"/>
      <c r="AH204" s="173"/>
    </row>
    <row r="205" spans="1:34" hidden="1" x14ac:dyDescent="0.3">
      <c r="A205" s="9">
        <v>893</v>
      </c>
      <c r="B205" s="31" t="s">
        <v>854</v>
      </c>
      <c r="C205" s="31"/>
      <c r="D205" s="173"/>
      <c r="E205" s="174"/>
      <c r="F205" s="638"/>
      <c r="G205" s="638"/>
      <c r="H205" s="638"/>
      <c r="I205" s="174"/>
      <c r="J205" s="174"/>
      <c r="K205" s="174"/>
      <c r="L205" s="173"/>
      <c r="M205" s="173"/>
      <c r="N205" s="175"/>
      <c r="O205" s="175"/>
      <c r="P205" s="175"/>
      <c r="Q205" s="175"/>
      <c r="R205" s="175"/>
      <c r="S205" s="175"/>
      <c r="T205" s="175"/>
      <c r="U205" s="175"/>
      <c r="V205" s="175"/>
      <c r="W205" s="175"/>
      <c r="X205" s="173"/>
      <c r="Y205" s="173"/>
      <c r="Z205" s="173"/>
      <c r="AA205" s="173"/>
      <c r="AB205" s="173"/>
      <c r="AC205" s="173"/>
      <c r="AD205" s="173"/>
      <c r="AE205" s="173"/>
      <c r="AF205" s="173"/>
      <c r="AG205" s="173"/>
      <c r="AH205" s="173"/>
    </row>
    <row r="206" spans="1:34" hidden="1" x14ac:dyDescent="0.3">
      <c r="A206" s="9">
        <v>894</v>
      </c>
      <c r="B206" s="31" t="s">
        <v>860</v>
      </c>
      <c r="C206" s="31"/>
      <c r="D206" s="173"/>
      <c r="E206" s="174"/>
      <c r="F206" s="638"/>
      <c r="G206" s="638"/>
      <c r="H206" s="638"/>
      <c r="I206" s="174"/>
      <c r="J206" s="174"/>
      <c r="K206" s="174"/>
      <c r="L206" s="173"/>
      <c r="M206" s="173"/>
      <c r="N206" s="175"/>
      <c r="O206" s="175"/>
      <c r="P206" s="175"/>
      <c r="Q206" s="175"/>
      <c r="R206" s="175"/>
      <c r="S206" s="175"/>
      <c r="T206" s="175"/>
      <c r="U206" s="175"/>
      <c r="V206" s="175"/>
      <c r="W206" s="175"/>
      <c r="X206" s="173"/>
      <c r="Y206" s="173"/>
      <c r="Z206" s="173"/>
      <c r="AA206" s="173"/>
      <c r="AB206" s="173"/>
      <c r="AC206" s="173"/>
      <c r="AD206" s="173"/>
      <c r="AE206" s="173"/>
      <c r="AF206" s="173"/>
      <c r="AG206" s="173"/>
      <c r="AH206" s="173"/>
    </row>
    <row r="207" spans="1:34" hidden="1" x14ac:dyDescent="0.3">
      <c r="A207" s="9"/>
      <c r="B207" s="45" t="s">
        <v>524</v>
      </c>
      <c r="C207" s="31"/>
      <c r="D207" s="173"/>
      <c r="E207" s="174"/>
      <c r="F207" s="638"/>
      <c r="G207" s="638"/>
      <c r="H207" s="638"/>
      <c r="I207" s="174"/>
      <c r="J207" s="174"/>
      <c r="K207" s="174"/>
      <c r="L207" s="173"/>
      <c r="M207" s="173"/>
      <c r="N207" s="175"/>
      <c r="O207" s="175"/>
      <c r="P207" s="175"/>
      <c r="Q207" s="175"/>
      <c r="R207" s="175"/>
      <c r="S207" s="175"/>
      <c r="T207" s="175"/>
      <c r="U207" s="175"/>
      <c r="V207" s="175"/>
      <c r="W207" s="175"/>
      <c r="X207" s="173"/>
      <c r="Y207" s="173"/>
      <c r="Z207" s="173"/>
      <c r="AA207" s="173"/>
      <c r="AB207" s="173"/>
      <c r="AC207" s="173"/>
      <c r="AD207" s="173"/>
      <c r="AE207" s="173"/>
      <c r="AF207" s="173"/>
      <c r="AG207" s="173"/>
      <c r="AH207" s="173"/>
    </row>
    <row r="208" spans="1:34" hidden="1" x14ac:dyDescent="0.3">
      <c r="A208" s="9"/>
      <c r="B208" s="31"/>
      <c r="C208" s="31"/>
      <c r="D208" s="173"/>
      <c r="E208" s="174"/>
      <c r="F208" s="638"/>
      <c r="G208" s="638"/>
      <c r="H208" s="638"/>
      <c r="I208" s="174"/>
      <c r="J208" s="174"/>
      <c r="K208" s="174"/>
      <c r="L208" s="173"/>
      <c r="M208" s="173"/>
      <c r="N208" s="175"/>
      <c r="O208" s="175"/>
      <c r="P208" s="175"/>
      <c r="Q208" s="175"/>
      <c r="R208" s="175"/>
      <c r="S208" s="175"/>
      <c r="T208" s="175"/>
      <c r="U208" s="175"/>
      <c r="V208" s="175"/>
      <c r="W208" s="175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</row>
    <row r="209" spans="1:38" hidden="1" x14ac:dyDescent="0.3">
      <c r="A209" s="9"/>
      <c r="B209" s="57" t="s">
        <v>543</v>
      </c>
      <c r="C209" s="31"/>
      <c r="D209" s="173"/>
      <c r="E209" s="174"/>
      <c r="F209" s="638"/>
      <c r="G209" s="638"/>
      <c r="H209" s="638"/>
      <c r="I209" s="174"/>
      <c r="J209" s="174"/>
      <c r="K209" s="174"/>
      <c r="L209" s="173"/>
      <c r="M209" s="173"/>
      <c r="N209" s="175"/>
      <c r="O209" s="175"/>
      <c r="P209" s="175"/>
      <c r="Q209" s="175"/>
      <c r="R209" s="175"/>
      <c r="S209" s="175"/>
      <c r="T209" s="175"/>
      <c r="U209" s="175"/>
      <c r="V209" s="175"/>
      <c r="W209" s="175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</row>
    <row r="210" spans="1:38" hidden="1" x14ac:dyDescent="0.3">
      <c r="A210" s="9"/>
      <c r="B210" s="31"/>
      <c r="C210" s="31"/>
      <c r="D210" s="173"/>
      <c r="E210" s="174"/>
      <c r="F210" s="638"/>
      <c r="G210" s="638"/>
      <c r="H210" s="638"/>
      <c r="I210" s="174"/>
      <c r="J210" s="174"/>
      <c r="K210" s="174"/>
      <c r="L210" s="173"/>
      <c r="M210" s="173"/>
      <c r="N210" s="175"/>
      <c r="O210" s="175"/>
      <c r="P210" s="175"/>
      <c r="Q210" s="175"/>
      <c r="R210" s="175"/>
      <c r="S210" s="175"/>
      <c r="T210" s="175"/>
      <c r="U210" s="175"/>
      <c r="V210" s="175"/>
      <c r="W210" s="175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</row>
    <row r="211" spans="1:38" hidden="1" x14ac:dyDescent="0.3">
      <c r="A211" s="9"/>
      <c r="B211" s="57" t="s">
        <v>862</v>
      </c>
      <c r="C211" s="31"/>
      <c r="D211" s="173"/>
      <c r="E211" s="174"/>
      <c r="F211" s="638"/>
      <c r="G211" s="638"/>
      <c r="H211" s="638"/>
      <c r="I211" s="174"/>
      <c r="J211" s="174"/>
      <c r="K211" s="174"/>
      <c r="L211" s="173"/>
      <c r="M211" s="173"/>
      <c r="N211" s="175"/>
      <c r="O211" s="175"/>
      <c r="P211" s="175"/>
      <c r="Q211" s="175"/>
      <c r="R211" s="175"/>
      <c r="S211" s="175"/>
      <c r="T211" s="175"/>
      <c r="U211" s="175"/>
      <c r="V211" s="175"/>
      <c r="W211" s="175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</row>
    <row r="212" spans="1:38" hidden="1" x14ac:dyDescent="0.3">
      <c r="A212" s="9"/>
      <c r="B212" s="31"/>
      <c r="C212" s="31"/>
      <c r="D212" s="173"/>
      <c r="E212" s="174"/>
      <c r="F212" s="638"/>
      <c r="G212" s="638"/>
      <c r="H212" s="638"/>
      <c r="I212" s="174"/>
      <c r="J212" s="174"/>
      <c r="K212" s="174"/>
      <c r="L212" s="173"/>
      <c r="M212" s="173"/>
      <c r="N212" s="175"/>
      <c r="O212" s="175"/>
      <c r="P212" s="175"/>
      <c r="Q212" s="175"/>
      <c r="R212" s="175"/>
      <c r="S212" s="175"/>
      <c r="T212" s="175"/>
      <c r="U212" s="175"/>
      <c r="V212" s="175"/>
      <c r="W212" s="175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</row>
    <row r="213" spans="1:38" hidden="1" x14ac:dyDescent="0.3">
      <c r="A213" s="9"/>
      <c r="B213" s="31"/>
      <c r="C213" s="31"/>
      <c r="D213" s="173"/>
      <c r="E213" s="174"/>
      <c r="F213" s="638"/>
      <c r="G213" s="638"/>
      <c r="H213" s="638"/>
      <c r="I213" s="174"/>
      <c r="J213" s="174"/>
      <c r="K213" s="174"/>
      <c r="L213" s="173"/>
      <c r="M213" s="173"/>
      <c r="N213" s="175"/>
      <c r="O213" s="175"/>
      <c r="P213" s="175"/>
      <c r="Q213" s="175"/>
      <c r="R213" s="175"/>
      <c r="S213" s="175"/>
      <c r="T213" s="175"/>
      <c r="U213" s="175"/>
      <c r="V213" s="175"/>
      <c r="W213" s="175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</row>
    <row r="214" spans="1:38" x14ac:dyDescent="0.3">
      <c r="A214" s="52" t="s">
        <v>696</v>
      </c>
      <c r="B214" s="31"/>
      <c r="C214" s="31"/>
      <c r="F214" s="638"/>
      <c r="G214" s="638"/>
      <c r="H214" s="638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</row>
    <row r="215" spans="1:38" x14ac:dyDescent="0.3">
      <c r="A215" s="9"/>
      <c r="B215" s="31"/>
      <c r="C215" s="31"/>
      <c r="F215" s="638"/>
      <c r="G215" s="638"/>
      <c r="H215" s="638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</row>
    <row r="216" spans="1:38" x14ac:dyDescent="0.3">
      <c r="A216" s="9"/>
      <c r="B216" s="56" t="s">
        <v>697</v>
      </c>
      <c r="C216" s="56"/>
      <c r="F216" s="638"/>
      <c r="G216" s="638"/>
      <c r="H216" s="638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</row>
    <row r="217" spans="1:38" x14ac:dyDescent="0.3">
      <c r="A217" s="461">
        <v>901</v>
      </c>
      <c r="B217" s="461" t="s">
        <v>699</v>
      </c>
      <c r="C217" s="461"/>
      <c r="D217" s="468">
        <f>'3a. OM_AG-i'!J217</f>
        <v>0</v>
      </c>
      <c r="E217" s="468"/>
      <c r="F217" s="630"/>
      <c r="G217" s="630"/>
      <c r="H217" s="630"/>
      <c r="I217" s="468"/>
      <c r="J217" s="468"/>
      <c r="K217" s="468"/>
      <c r="L217" s="468">
        <f>'3a. OM_AG-i'!K217</f>
        <v>0</v>
      </c>
      <c r="M217" s="468">
        <f>'3a. OM_AG-i'!L217</f>
        <v>0</v>
      </c>
      <c r="N217" s="468"/>
      <c r="O217" s="468"/>
      <c r="P217" s="468"/>
      <c r="Q217" s="468"/>
      <c r="R217" s="468"/>
      <c r="S217" s="468"/>
      <c r="T217" s="468"/>
      <c r="U217" s="468"/>
      <c r="V217" s="468"/>
      <c r="W217" s="468"/>
      <c r="X217" s="468">
        <f>'3a. OM_AG-i'!M217</f>
        <v>91364.334867009733</v>
      </c>
      <c r="Y217" s="468">
        <f>$X217*'3c. OM_AG-sfaf'!Y217/'3c. OM_AG-sfaf'!$X217</f>
        <v>0</v>
      </c>
      <c r="Z217" s="468">
        <f>$X217*'3c. OM_AG-sfaf'!Z217/'3c. OM_AG-sfaf'!$X217</f>
        <v>91364.334867009733</v>
      </c>
      <c r="AA217" s="468">
        <f>'3a. OM_AG-i'!N217</f>
        <v>53316.107125022834</v>
      </c>
      <c r="AB217" s="468">
        <f>'3a. OM_AG-i'!O217</f>
        <v>171104.64800796742</v>
      </c>
      <c r="AC217" s="468">
        <f>$AB217*'3c. OM_AG-sfaf'!AC217/'3c. OM_AG-sfaf'!$AB217</f>
        <v>171104.64800796742</v>
      </c>
      <c r="AD217" s="468">
        <f>$AB217*'3c. OM_AG-sfaf'!AD217/'3c. OM_AG-sfaf'!$AB217</f>
        <v>0</v>
      </c>
      <c r="AE217" s="468">
        <f>$AB217*'3c. OM_AG-sfaf'!AE217/'3c. OM_AG-sfaf'!$AB217</f>
        <v>0</v>
      </c>
      <c r="AF217" s="468">
        <f>'3a. OM_AG-i'!P217</f>
        <v>0</v>
      </c>
      <c r="AG217" s="468"/>
      <c r="AH217" s="468">
        <f>'3a. OM_AG-i'!Q217</f>
        <v>0</v>
      </c>
      <c r="AI217" s="62"/>
      <c r="AJ217" s="468">
        <f>'3a. OM_AG-i'!I217</f>
        <v>315785.09000000003</v>
      </c>
      <c r="AK217" s="62">
        <f t="shared" ref="AK217:AK222" si="41">SUM(F217:K217,L217,N217:W217,Y217:Z217,AA217:AA217,AC217:AE217,AG217:AH217)</f>
        <v>315785.08999999997</v>
      </c>
      <c r="AL217" s="62">
        <f t="shared" ref="AL217:AL222" si="42">AJ217-AK217</f>
        <v>0</v>
      </c>
    </row>
    <row r="218" spans="1:38" x14ac:dyDescent="0.3">
      <c r="A218" s="461">
        <v>902</v>
      </c>
      <c r="B218" s="461" t="s">
        <v>701</v>
      </c>
      <c r="C218" s="461"/>
      <c r="D218" s="468">
        <f>'3a. OM_AG-i'!J218</f>
        <v>0</v>
      </c>
      <c r="E218" s="468"/>
      <c r="F218" s="630"/>
      <c r="G218" s="630"/>
      <c r="H218" s="630"/>
      <c r="I218" s="468"/>
      <c r="J218" s="468"/>
      <c r="K218" s="468"/>
      <c r="L218" s="468">
        <f>'3a. OM_AG-i'!K218</f>
        <v>0</v>
      </c>
      <c r="M218" s="468">
        <f>'3a. OM_AG-i'!L218</f>
        <v>0</v>
      </c>
      <c r="N218" s="468"/>
      <c r="O218" s="468"/>
      <c r="P218" s="468"/>
      <c r="Q218" s="468"/>
      <c r="R218" s="468"/>
      <c r="S218" s="468"/>
      <c r="T218" s="468"/>
      <c r="U218" s="468"/>
      <c r="V218" s="468"/>
      <c r="W218" s="468"/>
      <c r="X218" s="468">
        <f>'3a. OM_AG-i'!M218</f>
        <v>8918908.1000000015</v>
      </c>
      <c r="Y218" s="468">
        <f>$X218*'3c. OM_AG-sfaf'!Y218/'3c. OM_AG-sfaf'!$X218</f>
        <v>0</v>
      </c>
      <c r="Z218" s="468">
        <f>$X218*'3c. OM_AG-sfaf'!Z218/'3c. OM_AG-sfaf'!$X218</f>
        <v>8918908.1000000015</v>
      </c>
      <c r="AA218" s="468">
        <f>'3a. OM_AG-i'!N218</f>
        <v>0</v>
      </c>
      <c r="AB218" s="468">
        <f>'3a. OM_AG-i'!O218</f>
        <v>0</v>
      </c>
      <c r="AC218" s="468"/>
      <c r="AD218" s="468"/>
      <c r="AE218" s="468"/>
      <c r="AF218" s="468">
        <f>'3a. OM_AG-i'!P218</f>
        <v>0</v>
      </c>
      <c r="AG218" s="468"/>
      <c r="AH218" s="468">
        <f>'3a. OM_AG-i'!Q218</f>
        <v>0</v>
      </c>
      <c r="AI218" s="62"/>
      <c r="AJ218" s="468">
        <f>'3a. OM_AG-i'!I218</f>
        <v>8918908.1000000015</v>
      </c>
      <c r="AK218" s="62">
        <f t="shared" si="41"/>
        <v>8918908.1000000015</v>
      </c>
      <c r="AL218" s="62">
        <f t="shared" si="42"/>
        <v>0</v>
      </c>
    </row>
    <row r="219" spans="1:38" x14ac:dyDescent="0.3">
      <c r="A219" s="461">
        <v>903</v>
      </c>
      <c r="B219" s="461" t="s">
        <v>703</v>
      </c>
      <c r="C219" s="461"/>
      <c r="D219" s="468">
        <f>'3a. OM_AG-i'!J219</f>
        <v>0</v>
      </c>
      <c r="E219" s="468"/>
      <c r="F219" s="630"/>
      <c r="G219" s="630"/>
      <c r="H219" s="630"/>
      <c r="I219" s="468"/>
      <c r="J219" s="468"/>
      <c r="K219" s="468"/>
      <c r="L219" s="468">
        <f>'3a. OM_AG-i'!K219</f>
        <v>0</v>
      </c>
      <c r="M219" s="468">
        <f>'3a. OM_AG-i'!L219</f>
        <v>0</v>
      </c>
      <c r="N219" s="468"/>
      <c r="O219" s="468"/>
      <c r="P219" s="468"/>
      <c r="Q219" s="468"/>
      <c r="R219" s="468"/>
      <c r="S219" s="468"/>
      <c r="T219" s="468"/>
      <c r="U219" s="468"/>
      <c r="V219" s="468"/>
      <c r="W219" s="468"/>
      <c r="X219" s="468">
        <f>'3a. OM_AG-i'!M219</f>
        <v>0</v>
      </c>
      <c r="Y219" s="468"/>
      <c r="Z219" s="468"/>
      <c r="AA219" s="468">
        <f>'3a. OM_AG-i'!N219</f>
        <v>5204672.7028660011</v>
      </c>
      <c r="AB219" s="468">
        <f>'3a. OM_AG-i'!O219</f>
        <v>16703089.157133996</v>
      </c>
      <c r="AC219" s="468">
        <f>$AB219*'3c. OM_AG-sfaf'!AC219/'3c. OM_AG-sfaf'!$AB219</f>
        <v>16703089.157133996</v>
      </c>
      <c r="AD219" s="468">
        <f>$AB219*'3c. OM_AG-sfaf'!AD219/'3c. OM_AG-sfaf'!$AB219</f>
        <v>0</v>
      </c>
      <c r="AE219" s="468">
        <f>$AB219*'3c. OM_AG-sfaf'!AE219/'3c. OM_AG-sfaf'!$AB219</f>
        <v>0</v>
      </c>
      <c r="AF219" s="468">
        <f>'3a. OM_AG-i'!P219</f>
        <v>0</v>
      </c>
      <c r="AG219" s="468"/>
      <c r="AH219" s="468">
        <f>'3a. OM_AG-i'!Q219</f>
        <v>0</v>
      </c>
      <c r="AI219" s="62"/>
      <c r="AJ219" s="468">
        <f>'3a. OM_AG-i'!I219</f>
        <v>21907761.859999999</v>
      </c>
      <c r="AK219" s="62">
        <f t="shared" si="41"/>
        <v>21907761.859999999</v>
      </c>
      <c r="AL219" s="62">
        <f t="shared" si="42"/>
        <v>0</v>
      </c>
    </row>
    <row r="220" spans="1:38" x14ac:dyDescent="0.3">
      <c r="A220" s="461">
        <v>904</v>
      </c>
      <c r="B220" s="461" t="s">
        <v>705</v>
      </c>
      <c r="C220" s="461"/>
      <c r="D220" s="468">
        <f>'3a. OM_AG-i'!J220</f>
        <v>0</v>
      </c>
      <c r="E220" s="468"/>
      <c r="F220" s="630"/>
      <c r="G220" s="630"/>
      <c r="H220" s="630"/>
      <c r="I220" s="468"/>
      <c r="J220" s="468"/>
      <c r="K220" s="468"/>
      <c r="L220" s="468">
        <f>'3a. OM_AG-i'!K220</f>
        <v>0</v>
      </c>
      <c r="M220" s="468">
        <f>'3a. OM_AG-i'!L220</f>
        <v>0</v>
      </c>
      <c r="N220" s="468"/>
      <c r="O220" s="468"/>
      <c r="P220" s="468"/>
      <c r="Q220" s="468"/>
      <c r="R220" s="468"/>
      <c r="S220" s="468"/>
      <c r="T220" s="468"/>
      <c r="U220" s="468"/>
      <c r="V220" s="468"/>
      <c r="W220" s="468"/>
      <c r="X220" s="468">
        <f>'3a. OM_AG-i'!M220</f>
        <v>0</v>
      </c>
      <c r="Y220" s="468"/>
      <c r="Z220" s="468"/>
      <c r="AA220" s="468">
        <f>'3a. OM_AG-i'!N220</f>
        <v>0</v>
      </c>
      <c r="AB220" s="468">
        <f>'3a. OM_AG-i'!O220</f>
        <v>0</v>
      </c>
      <c r="AC220" s="468"/>
      <c r="AD220" s="468"/>
      <c r="AE220" s="468"/>
      <c r="AF220" s="468">
        <f>'3a. OM_AG-i'!P220</f>
        <v>0</v>
      </c>
      <c r="AG220" s="468"/>
      <c r="AH220" s="468">
        <f>'3a. OM_AG-i'!Q220</f>
        <v>0</v>
      </c>
      <c r="AI220" s="62"/>
      <c r="AJ220" s="468">
        <f>'3a. OM_AG-i'!I220</f>
        <v>0</v>
      </c>
      <c r="AK220" s="62">
        <f t="shared" si="41"/>
        <v>0</v>
      </c>
      <c r="AL220" s="62">
        <f t="shared" si="42"/>
        <v>0</v>
      </c>
    </row>
    <row r="221" spans="1:38" x14ac:dyDescent="0.3">
      <c r="A221" s="461">
        <v>905</v>
      </c>
      <c r="B221" s="466" t="s">
        <v>707</v>
      </c>
      <c r="C221" s="466"/>
      <c r="D221" s="468">
        <f>'3a. OM_AG-i'!J221</f>
        <v>0</v>
      </c>
      <c r="E221" s="468"/>
      <c r="F221" s="630"/>
      <c r="G221" s="630"/>
      <c r="H221" s="630"/>
      <c r="I221" s="468"/>
      <c r="J221" s="468"/>
      <c r="K221" s="468"/>
      <c r="L221" s="468">
        <f>'3a. OM_AG-i'!K221</f>
        <v>0</v>
      </c>
      <c r="M221" s="468">
        <f>'3a. OM_AG-i'!L221</f>
        <v>0</v>
      </c>
      <c r="N221" s="468"/>
      <c r="O221" s="468"/>
      <c r="P221" s="468"/>
      <c r="Q221" s="468"/>
      <c r="R221" s="468"/>
      <c r="S221" s="468"/>
      <c r="T221" s="468"/>
      <c r="U221" s="468"/>
      <c r="V221" s="468"/>
      <c r="W221" s="468"/>
      <c r="X221" s="468">
        <f>'3a. OM_AG-i'!M221</f>
        <v>-148024.97411296121</v>
      </c>
      <c r="Y221" s="468">
        <f>$X221*'3c. OM_AG-sfaf'!Y221/'3c. OM_AG-sfaf'!$X221</f>
        <v>0</v>
      </c>
      <c r="Z221" s="468">
        <f>$X221*'3c. OM_AG-sfaf'!Z221/'3c. OM_AG-sfaf'!$X221</f>
        <v>-148024.97411296121</v>
      </c>
      <c r="AA221" s="468">
        <f>'3a. OM_AG-i'!N221</f>
        <v>-86380.701927871138</v>
      </c>
      <c r="AB221" s="468">
        <f>'3a. OM_AG-i'!O221</f>
        <v>-277217.15622243518</v>
      </c>
      <c r="AC221" s="468">
        <f>$AB221*'3c. OM_AG-sfaf'!AC221/'3c. OM_AG-sfaf'!$AB221</f>
        <v>-277217.15622243518</v>
      </c>
      <c r="AD221" s="468">
        <f>$AB221*'3c. OM_AG-sfaf'!AD221/'3c. OM_AG-sfaf'!$AB221</f>
        <v>0</v>
      </c>
      <c r="AE221" s="468">
        <f>$AB221*'3c. OM_AG-sfaf'!AE221/'3c. OM_AG-sfaf'!$AB221</f>
        <v>0</v>
      </c>
      <c r="AF221" s="468">
        <f>'3a. OM_AG-i'!P221</f>
        <v>0</v>
      </c>
      <c r="AG221" s="468"/>
      <c r="AH221" s="468">
        <f>'3a. OM_AG-i'!Q221</f>
        <v>0</v>
      </c>
      <c r="AI221" s="62"/>
      <c r="AJ221" s="468">
        <f>'3a. OM_AG-i'!I221</f>
        <v>-511622.8322632676</v>
      </c>
      <c r="AK221" s="62">
        <f t="shared" si="41"/>
        <v>-511622.83226326754</v>
      </c>
      <c r="AL221" s="62">
        <f t="shared" si="42"/>
        <v>0</v>
      </c>
    </row>
    <row r="222" spans="1:38" x14ac:dyDescent="0.3">
      <c r="A222" s="461"/>
      <c r="B222" s="474" t="s">
        <v>524</v>
      </c>
      <c r="C222" s="474"/>
      <c r="D222" s="468">
        <f>SUM(D217:D221)</f>
        <v>0</v>
      </c>
      <c r="E222" s="468">
        <f>SUM(E217:E221)</f>
        <v>0</v>
      </c>
      <c r="F222" s="630"/>
      <c r="G222" s="630"/>
      <c r="H222" s="630"/>
      <c r="I222" s="468">
        <f>SUM(I217:I221)</f>
        <v>0</v>
      </c>
      <c r="J222" s="468">
        <f>SUM(J217:J221)</f>
        <v>0</v>
      </c>
      <c r="K222" s="468"/>
      <c r="L222" s="468">
        <f>SUM(L217:L221)</f>
        <v>0</v>
      </c>
      <c r="M222" s="468">
        <f>SUM(M217:M221)</f>
        <v>0</v>
      </c>
      <c r="N222" s="468"/>
      <c r="O222" s="468"/>
      <c r="P222" s="468"/>
      <c r="Q222" s="468"/>
      <c r="R222" s="468"/>
      <c r="S222" s="468"/>
      <c r="T222" s="468"/>
      <c r="U222" s="468"/>
      <c r="V222" s="468"/>
      <c r="W222" s="468"/>
      <c r="X222" s="468">
        <f t="shared" ref="X222:AF222" si="43">SUM(X217:X221)</f>
        <v>8862247.4607540499</v>
      </c>
      <c r="Y222" s="468">
        <f t="shared" si="43"/>
        <v>0</v>
      </c>
      <c r="Z222" s="468">
        <f t="shared" si="43"/>
        <v>8862247.4607540499</v>
      </c>
      <c r="AA222" s="468">
        <f t="shared" si="43"/>
        <v>5171608.1080631521</v>
      </c>
      <c r="AB222" s="468">
        <f t="shared" si="43"/>
        <v>16596976.648919528</v>
      </c>
      <c r="AC222" s="468">
        <f t="shared" si="43"/>
        <v>16596976.648919528</v>
      </c>
      <c r="AD222" s="468">
        <f t="shared" si="43"/>
        <v>0</v>
      </c>
      <c r="AE222" s="468">
        <f t="shared" si="43"/>
        <v>0</v>
      </c>
      <c r="AF222" s="468">
        <f t="shared" si="43"/>
        <v>0</v>
      </c>
      <c r="AG222" s="468"/>
      <c r="AH222" s="468">
        <f>SUM(AH217:AH221)</f>
        <v>0</v>
      </c>
      <c r="AI222" s="171">
        <f>SUM(AI217:AI221)</f>
        <v>0</v>
      </c>
      <c r="AJ222" s="171">
        <f>SUM(AJ217:AJ221)</f>
        <v>30630832.217736732</v>
      </c>
      <c r="AK222" s="62">
        <f t="shared" si="41"/>
        <v>30630832.217736728</v>
      </c>
      <c r="AL222" s="62">
        <f t="shared" si="42"/>
        <v>0</v>
      </c>
    </row>
    <row r="223" spans="1:38" x14ac:dyDescent="0.3">
      <c r="A223" s="461" t="s">
        <v>1207</v>
      </c>
      <c r="B223" s="461"/>
      <c r="C223" s="461"/>
      <c r="D223" s="468"/>
      <c r="E223" s="468"/>
      <c r="F223" s="630"/>
      <c r="G223" s="630"/>
      <c r="H223" s="630"/>
      <c r="I223" s="468"/>
      <c r="J223" s="468"/>
      <c r="K223" s="468"/>
      <c r="L223" s="468"/>
      <c r="M223" s="468"/>
      <c r="N223" s="468"/>
      <c r="O223" s="468"/>
      <c r="P223" s="468"/>
      <c r="Q223" s="468"/>
      <c r="R223" s="468"/>
      <c r="S223" s="468"/>
      <c r="T223" s="468"/>
      <c r="U223" s="468"/>
      <c r="V223" s="468"/>
      <c r="W223" s="468"/>
      <c r="X223" s="468"/>
      <c r="Y223" s="468"/>
      <c r="Z223" s="468"/>
      <c r="AA223" s="468"/>
      <c r="AB223" s="468"/>
      <c r="AC223" s="468"/>
      <c r="AD223" s="468"/>
      <c r="AE223" s="468"/>
      <c r="AF223" s="468"/>
      <c r="AG223" s="468"/>
      <c r="AH223" s="468"/>
      <c r="AI223" s="62"/>
      <c r="AJ223" s="62"/>
      <c r="AK223" s="62"/>
      <c r="AL223" s="62"/>
    </row>
    <row r="224" spans="1:38" x14ac:dyDescent="0.3">
      <c r="A224" s="461"/>
      <c r="B224" s="464" t="s">
        <v>708</v>
      </c>
      <c r="C224" s="464"/>
      <c r="D224" s="468"/>
      <c r="E224" s="468"/>
      <c r="F224" s="630"/>
      <c r="G224" s="630"/>
      <c r="H224" s="630"/>
      <c r="I224" s="468"/>
      <c r="J224" s="468"/>
      <c r="K224" s="468"/>
      <c r="L224" s="468"/>
      <c r="M224" s="468"/>
      <c r="N224" s="468"/>
      <c r="O224" s="468"/>
      <c r="P224" s="468"/>
      <c r="Q224" s="468"/>
      <c r="R224" s="468"/>
      <c r="S224" s="468"/>
      <c r="T224" s="468"/>
      <c r="U224" s="468"/>
      <c r="V224" s="468"/>
      <c r="W224" s="468"/>
      <c r="X224" s="468"/>
      <c r="Y224" s="468"/>
      <c r="Z224" s="468"/>
      <c r="AA224" s="468"/>
      <c r="AB224" s="468"/>
      <c r="AC224" s="468"/>
      <c r="AD224" s="468"/>
      <c r="AE224" s="468"/>
      <c r="AF224" s="468"/>
      <c r="AG224" s="468"/>
      <c r="AH224" s="468"/>
      <c r="AI224" s="62"/>
      <c r="AJ224" s="62"/>
      <c r="AK224" s="62"/>
      <c r="AL224" s="62"/>
    </row>
    <row r="225" spans="1:38" x14ac:dyDescent="0.3">
      <c r="A225" s="461">
        <v>906</v>
      </c>
      <c r="B225" s="461" t="s">
        <v>710</v>
      </c>
      <c r="C225" s="461"/>
      <c r="D225" s="468">
        <f>'3a. OM_AG-i'!J225</f>
        <v>0</v>
      </c>
      <c r="E225" s="468"/>
      <c r="F225" s="630"/>
      <c r="G225" s="630"/>
      <c r="H225" s="630"/>
      <c r="I225" s="468"/>
      <c r="J225" s="468"/>
      <c r="K225" s="468"/>
      <c r="L225" s="468">
        <f>'3a. OM_AG-i'!K225</f>
        <v>0</v>
      </c>
      <c r="M225" s="468">
        <f>'3a. OM_AG-i'!L225</f>
        <v>0</v>
      </c>
      <c r="N225" s="468"/>
      <c r="O225" s="468"/>
      <c r="P225" s="468"/>
      <c r="Q225" s="468"/>
      <c r="R225" s="468"/>
      <c r="S225" s="468"/>
      <c r="T225" s="468"/>
      <c r="U225" s="468"/>
      <c r="V225" s="468"/>
      <c r="W225" s="468"/>
      <c r="X225" s="468">
        <f>'3a. OM_AG-i'!M225</f>
        <v>0</v>
      </c>
      <c r="Y225" s="468"/>
      <c r="Z225" s="468"/>
      <c r="AA225" s="468">
        <f>'3a. OM_AG-i'!N225</f>
        <v>0</v>
      </c>
      <c r="AB225" s="468">
        <f>'3a. OM_AG-i'!O225</f>
        <v>0</v>
      </c>
      <c r="AC225" s="468">
        <f>$AB225*'3c. OM_AG-sfaf'!AC225/'3c. OM_AG-sfaf'!$AB225</f>
        <v>0</v>
      </c>
      <c r="AD225" s="468">
        <f>$AB225*'3c. OM_AG-sfaf'!AD225/'3c. OM_AG-sfaf'!$AB225</f>
        <v>0</v>
      </c>
      <c r="AE225" s="468">
        <f>$AB225*'3c. OM_AG-sfaf'!AE225/'3c. OM_AG-sfaf'!$AB225</f>
        <v>0</v>
      </c>
      <c r="AF225" s="468">
        <f>'3a. OM_AG-i'!P225</f>
        <v>0</v>
      </c>
      <c r="AG225" s="468"/>
      <c r="AH225" s="468">
        <f>'3a. OM_AG-i'!Q225</f>
        <v>0</v>
      </c>
      <c r="AI225" s="62"/>
      <c r="AJ225" s="468">
        <f>'3a. OM_AG-i'!I225</f>
        <v>0</v>
      </c>
      <c r="AK225" s="62">
        <f t="shared" ref="AK225:AK227" si="44">SUM(F225:K225,L225,N225:W225,Y225:Z225,AA225:AA225,AC225:AE225,AG225:AH225)</f>
        <v>0</v>
      </c>
      <c r="AL225" s="62">
        <f t="shared" ref="AL225:AL230" si="45">AJ225-AK225</f>
        <v>0</v>
      </c>
    </row>
    <row r="226" spans="1:38" x14ac:dyDescent="0.3">
      <c r="A226" s="461">
        <v>907</v>
      </c>
      <c r="B226" s="461" t="s">
        <v>699</v>
      </c>
      <c r="C226" s="461"/>
      <c r="D226" s="468">
        <f>'3a. OM_AG-i'!J226</f>
        <v>0</v>
      </c>
      <c r="E226" s="468"/>
      <c r="F226" s="630"/>
      <c r="G226" s="630"/>
      <c r="H226" s="630"/>
      <c r="I226" s="468"/>
      <c r="J226" s="468"/>
      <c r="K226" s="468"/>
      <c r="L226" s="468">
        <f>'3a. OM_AG-i'!K226</f>
        <v>0</v>
      </c>
      <c r="M226" s="468">
        <f>'3a. OM_AG-i'!L226</f>
        <v>0</v>
      </c>
      <c r="N226" s="468"/>
      <c r="O226" s="468"/>
      <c r="P226" s="468"/>
      <c r="Q226" s="468"/>
      <c r="R226" s="468"/>
      <c r="S226" s="468"/>
      <c r="T226" s="468"/>
      <c r="U226" s="468"/>
      <c r="V226" s="468"/>
      <c r="W226" s="468"/>
      <c r="X226" s="468">
        <f>'3a. OM_AG-i'!M226</f>
        <v>0</v>
      </c>
      <c r="Y226" s="468"/>
      <c r="Z226" s="468"/>
      <c r="AA226" s="468">
        <f>'3a. OM_AG-i'!N226</f>
        <v>0</v>
      </c>
      <c r="AB226" s="468">
        <f>'3a. OM_AG-i'!O226</f>
        <v>0</v>
      </c>
      <c r="AC226" s="468">
        <f>$AB226*'3c. OM_AG-sfaf'!AC226/'3c. OM_AG-sfaf'!$AB226</f>
        <v>0</v>
      </c>
      <c r="AD226" s="468">
        <f>$AB226*'3c. OM_AG-sfaf'!AD226/'3c. OM_AG-sfaf'!$AB226</f>
        <v>0</v>
      </c>
      <c r="AE226" s="468">
        <f>$AB226*'3c. OM_AG-sfaf'!AE226/'3c. OM_AG-sfaf'!$AB226</f>
        <v>0</v>
      </c>
      <c r="AF226" s="468">
        <f>'3a. OM_AG-i'!P226</f>
        <v>0</v>
      </c>
      <c r="AG226" s="468">
        <f>$AF226*'3c. OM_AG-sfaf'!AG226</f>
        <v>0</v>
      </c>
      <c r="AH226" s="468">
        <f>'3a. OM_AG-i'!Q226</f>
        <v>0</v>
      </c>
      <c r="AI226" s="62"/>
      <c r="AJ226" s="468">
        <f>'3a. OM_AG-i'!I226</f>
        <v>0</v>
      </c>
      <c r="AK226" s="62">
        <f t="shared" si="44"/>
        <v>0</v>
      </c>
      <c r="AL226" s="62">
        <f t="shared" si="45"/>
        <v>0</v>
      </c>
    </row>
    <row r="227" spans="1:38" x14ac:dyDescent="0.3">
      <c r="A227" s="461">
        <v>908</v>
      </c>
      <c r="B227" s="466" t="s">
        <v>713</v>
      </c>
      <c r="C227" s="466"/>
      <c r="D227" s="468">
        <f>'3a. OM_AG-i'!J227</f>
        <v>0</v>
      </c>
      <c r="E227" s="468"/>
      <c r="F227" s="630"/>
      <c r="G227" s="630"/>
      <c r="H227" s="630"/>
      <c r="I227" s="468"/>
      <c r="J227" s="468"/>
      <c r="K227" s="468"/>
      <c r="L227" s="468">
        <f>'3a. OM_AG-i'!K227</f>
        <v>0</v>
      </c>
      <c r="M227" s="468">
        <f>'3a. OM_AG-i'!L227</f>
        <v>0</v>
      </c>
      <c r="N227" s="468"/>
      <c r="O227" s="468"/>
      <c r="P227" s="468"/>
      <c r="Q227" s="468"/>
      <c r="R227" s="468"/>
      <c r="S227" s="468"/>
      <c r="T227" s="468"/>
      <c r="U227" s="468"/>
      <c r="V227" s="468"/>
      <c r="W227" s="468"/>
      <c r="X227" s="468">
        <f>'3a. OM_AG-i'!M227</f>
        <v>0</v>
      </c>
      <c r="Y227" s="468"/>
      <c r="Z227" s="468"/>
      <c r="AA227" s="468">
        <f>'3a. OM_AG-i'!N227</f>
        <v>0</v>
      </c>
      <c r="AB227" s="468">
        <f>'3a. OM_AG-i'!O227</f>
        <v>0</v>
      </c>
      <c r="AC227" s="468">
        <f>$AB227*'3c. OM_AG-sfaf'!AC227/'3c. OM_AG-sfaf'!$AB227</f>
        <v>0</v>
      </c>
      <c r="AD227" s="468">
        <f>$AB227*'3c. OM_AG-sfaf'!AD227/'3c. OM_AG-sfaf'!$AB227</f>
        <v>0</v>
      </c>
      <c r="AE227" s="468">
        <f>$AB227*'3c. OM_AG-sfaf'!AE227/'3c. OM_AG-sfaf'!$AB227</f>
        <v>0</v>
      </c>
      <c r="AF227" s="468">
        <f>'3a. OM_AG-i'!P227</f>
        <v>0</v>
      </c>
      <c r="AG227" s="468">
        <f>$AF227*'3c. OM_AG-sfaf'!AG227</f>
        <v>0</v>
      </c>
      <c r="AH227" s="468">
        <f>'3a. OM_AG-i'!Q227</f>
        <v>0</v>
      </c>
      <c r="AI227" s="62"/>
      <c r="AJ227" s="468">
        <f>'3a. OM_AG-i'!I227</f>
        <v>0</v>
      </c>
      <c r="AK227" s="62">
        <f t="shared" si="44"/>
        <v>0</v>
      </c>
      <c r="AL227" s="62">
        <f t="shared" si="45"/>
        <v>0</v>
      </c>
    </row>
    <row r="228" spans="1:38" x14ac:dyDescent="0.3">
      <c r="A228" s="461">
        <v>909</v>
      </c>
      <c r="B228" s="461" t="s">
        <v>715</v>
      </c>
      <c r="C228" s="461"/>
      <c r="D228" s="468">
        <f>'3a. OM_AG-i'!J228</f>
        <v>0</v>
      </c>
      <c r="E228" s="468"/>
      <c r="F228" s="630"/>
      <c r="G228" s="630"/>
      <c r="H228" s="630"/>
      <c r="I228" s="468"/>
      <c r="J228" s="468"/>
      <c r="K228" s="468"/>
      <c r="L228" s="468">
        <f>'3a. OM_AG-i'!K228</f>
        <v>0</v>
      </c>
      <c r="M228" s="468">
        <f>'3a. OM_AG-i'!L228</f>
        <v>0</v>
      </c>
      <c r="N228" s="468"/>
      <c r="O228" s="468"/>
      <c r="P228" s="468"/>
      <c r="Q228" s="468"/>
      <c r="R228" s="468"/>
      <c r="S228" s="468"/>
      <c r="T228" s="468"/>
      <c r="U228" s="468"/>
      <c r="V228" s="468"/>
      <c r="W228" s="468"/>
      <c r="X228" s="468">
        <f>'3a. OM_AG-i'!M228</f>
        <v>0</v>
      </c>
      <c r="Y228" s="468"/>
      <c r="Z228" s="468"/>
      <c r="AA228" s="468">
        <f>'3a. OM_AG-i'!N228</f>
        <v>0</v>
      </c>
      <c r="AB228" s="468">
        <f>'3a. OM_AG-i'!O228</f>
        <v>0</v>
      </c>
      <c r="AC228" s="468">
        <f>$AB228*'3c. OM_AG-sfaf'!AC228/'3c. OM_AG-sfaf'!$AB228</f>
        <v>0</v>
      </c>
      <c r="AD228" s="468">
        <f>$AB228*'3c. OM_AG-sfaf'!AD228/'3c. OM_AG-sfaf'!$AB228</f>
        <v>0</v>
      </c>
      <c r="AE228" s="468">
        <f>$AB228*'3c. OM_AG-sfaf'!AE228/'3c. OM_AG-sfaf'!$AB228</f>
        <v>0</v>
      </c>
      <c r="AF228" s="468">
        <f>'3a. OM_AG-i'!P228</f>
        <v>0</v>
      </c>
      <c r="AG228" s="468"/>
      <c r="AH228" s="468">
        <f>'3a. OM_AG-i'!Q228</f>
        <v>0</v>
      </c>
      <c r="AI228" s="62"/>
      <c r="AJ228" s="468">
        <f>'3a. OM_AG-i'!I228</f>
        <v>0</v>
      </c>
      <c r="AK228" s="62" t="s">
        <v>546</v>
      </c>
      <c r="AL228" s="62" t="s">
        <v>546</v>
      </c>
    </row>
    <row r="229" spans="1:38" x14ac:dyDescent="0.3">
      <c r="A229" s="461">
        <v>910</v>
      </c>
      <c r="B229" s="461" t="s">
        <v>717</v>
      </c>
      <c r="C229" s="461"/>
      <c r="D229" s="468">
        <f>'3a. OM_AG-i'!J229</f>
        <v>0</v>
      </c>
      <c r="E229" s="468"/>
      <c r="F229" s="630"/>
      <c r="G229" s="630"/>
      <c r="H229" s="630"/>
      <c r="I229" s="468"/>
      <c r="J229" s="468"/>
      <c r="K229" s="468"/>
      <c r="L229" s="468">
        <f>'3a. OM_AG-i'!K229</f>
        <v>0</v>
      </c>
      <c r="M229" s="468">
        <f>'3a. OM_AG-i'!L229</f>
        <v>0</v>
      </c>
      <c r="N229" s="468"/>
      <c r="O229" s="468"/>
      <c r="P229" s="468"/>
      <c r="Q229" s="468"/>
      <c r="R229" s="468"/>
      <c r="S229" s="468"/>
      <c r="T229" s="468"/>
      <c r="U229" s="468"/>
      <c r="V229" s="468"/>
      <c r="W229" s="468"/>
      <c r="X229" s="468">
        <f>'3a. OM_AG-i'!M229</f>
        <v>0</v>
      </c>
      <c r="Y229" s="468"/>
      <c r="Z229" s="468"/>
      <c r="AA229" s="468">
        <f>'3a. OM_AG-i'!N229</f>
        <v>526922.75510151114</v>
      </c>
      <c r="AB229" s="468">
        <f>'3a. OM_AG-i'!O229</f>
        <v>1691026.1720274435</v>
      </c>
      <c r="AC229" s="468">
        <f>$AB229*'3c. OM_AG-sfaf'!AC229/'3c. OM_AG-sfaf'!$AB229</f>
        <v>1691026.1720274435</v>
      </c>
      <c r="AD229" s="468">
        <f>$AB229*'3c. OM_AG-sfaf'!AD229/'3c. OM_AG-sfaf'!$AB229</f>
        <v>0</v>
      </c>
      <c r="AE229" s="468">
        <f>$AB229*'3c. OM_AG-sfaf'!AE229/'3c. OM_AG-sfaf'!$AB229</f>
        <v>0</v>
      </c>
      <c r="AF229" s="468">
        <f>'3a. OM_AG-i'!P229</f>
        <v>0</v>
      </c>
      <c r="AG229" s="468"/>
      <c r="AH229" s="468">
        <f>'3a. OM_AG-i'!Q229</f>
        <v>0</v>
      </c>
      <c r="AI229" s="62"/>
      <c r="AJ229" s="468">
        <f>'3a. OM_AG-i'!I229</f>
        <v>2217948.9271289548</v>
      </c>
      <c r="AK229" s="62">
        <f t="shared" ref="AK229:AK230" si="46">SUM(F229:K229,L229,N229:W229,Y229:Z229,AA229:AA229,AC229:AE229,AG229:AH229)</f>
        <v>2217948.9271289548</v>
      </c>
      <c r="AL229" s="62">
        <f t="shared" si="45"/>
        <v>0</v>
      </c>
    </row>
    <row r="230" spans="1:38" x14ac:dyDescent="0.3">
      <c r="A230" s="461"/>
      <c r="B230" s="474" t="s">
        <v>524</v>
      </c>
      <c r="C230" s="474"/>
      <c r="D230" s="468">
        <f>SUM(D225:D229)</f>
        <v>0</v>
      </c>
      <c r="E230" s="468">
        <f>SUM(E225:E229)</f>
        <v>0</v>
      </c>
      <c r="F230" s="630"/>
      <c r="G230" s="630"/>
      <c r="H230" s="630"/>
      <c r="I230" s="468">
        <f>SUM(I225:I229)</f>
        <v>0</v>
      </c>
      <c r="J230" s="468">
        <f>SUM(J225:J229)</f>
        <v>0</v>
      </c>
      <c r="K230" s="468"/>
      <c r="L230" s="468">
        <f>SUM(L225:L229)</f>
        <v>0</v>
      </c>
      <c r="M230" s="468">
        <f>SUM(M225:M229)</f>
        <v>0</v>
      </c>
      <c r="N230" s="468"/>
      <c r="O230" s="468"/>
      <c r="P230" s="468"/>
      <c r="Q230" s="468"/>
      <c r="R230" s="468"/>
      <c r="S230" s="468"/>
      <c r="T230" s="468"/>
      <c r="U230" s="468"/>
      <c r="V230" s="468"/>
      <c r="W230" s="468"/>
      <c r="X230" s="468">
        <f t="shared" ref="X230:AH230" si="47">SUM(X225:X229)</f>
        <v>0</v>
      </c>
      <c r="Y230" s="468">
        <f t="shared" si="47"/>
        <v>0</v>
      </c>
      <c r="Z230" s="468">
        <f t="shared" si="47"/>
        <v>0</v>
      </c>
      <c r="AA230" s="468">
        <f t="shared" si="47"/>
        <v>526922.75510151114</v>
      </c>
      <c r="AB230" s="468">
        <f t="shared" si="47"/>
        <v>1691026.1720274435</v>
      </c>
      <c r="AC230" s="468">
        <f t="shared" si="47"/>
        <v>1691026.1720274435</v>
      </c>
      <c r="AD230" s="468">
        <f t="shared" si="47"/>
        <v>0</v>
      </c>
      <c r="AE230" s="468">
        <f t="shared" si="47"/>
        <v>0</v>
      </c>
      <c r="AF230" s="468">
        <f t="shared" si="47"/>
        <v>0</v>
      </c>
      <c r="AG230" s="468">
        <f t="shared" si="47"/>
        <v>0</v>
      </c>
      <c r="AH230" s="468">
        <f t="shared" si="47"/>
        <v>0</v>
      </c>
      <c r="AI230" s="171"/>
      <c r="AJ230" s="171">
        <f>SUM(AJ225:AJ229)</f>
        <v>2217948.9271289548</v>
      </c>
      <c r="AK230" s="62">
        <f t="shared" si="46"/>
        <v>2217948.9271289548</v>
      </c>
      <c r="AL230" s="62">
        <f t="shared" si="45"/>
        <v>0</v>
      </c>
    </row>
    <row r="231" spans="1:38" x14ac:dyDescent="0.3">
      <c r="A231" s="461" t="s">
        <v>1208</v>
      </c>
      <c r="B231" s="474"/>
      <c r="C231" s="474"/>
      <c r="D231" s="468"/>
      <c r="E231" s="468"/>
      <c r="F231" s="630"/>
      <c r="G231" s="630"/>
      <c r="H231" s="630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Z231" s="468"/>
      <c r="AA231" s="468"/>
      <c r="AB231" s="468"/>
      <c r="AC231" s="468"/>
      <c r="AD231" s="468"/>
      <c r="AE231" s="468"/>
      <c r="AF231" s="468"/>
      <c r="AG231" s="468"/>
      <c r="AH231" s="468"/>
      <c r="AI231" s="62"/>
      <c r="AJ231" s="62"/>
      <c r="AK231" s="62"/>
      <c r="AL231" s="62"/>
    </row>
    <row r="232" spans="1:38" x14ac:dyDescent="0.3">
      <c r="A232" s="461"/>
      <c r="B232" s="483" t="s">
        <v>718</v>
      </c>
      <c r="C232" s="483"/>
      <c r="D232" s="468"/>
      <c r="E232" s="468"/>
      <c r="F232" s="630"/>
      <c r="G232" s="630"/>
      <c r="H232" s="630"/>
      <c r="I232" s="468"/>
      <c r="J232" s="468"/>
      <c r="K232" s="468"/>
      <c r="L232" s="468"/>
      <c r="M232" s="468"/>
      <c r="N232" s="468"/>
      <c r="O232" s="468"/>
      <c r="P232" s="468"/>
      <c r="Q232" s="468"/>
      <c r="R232" s="468"/>
      <c r="S232" s="468"/>
      <c r="T232" s="468"/>
      <c r="U232" s="468"/>
      <c r="V232" s="468"/>
      <c r="W232" s="468"/>
      <c r="X232" s="468"/>
      <c r="Y232" s="468"/>
      <c r="Z232" s="468"/>
      <c r="AA232" s="468"/>
      <c r="AB232" s="468"/>
      <c r="AC232" s="468"/>
      <c r="AD232" s="468"/>
      <c r="AE232" s="468"/>
      <c r="AF232" s="468"/>
      <c r="AG232" s="468"/>
      <c r="AH232" s="468"/>
      <c r="AI232" s="62"/>
      <c r="AJ232" s="62"/>
      <c r="AK232" s="62"/>
      <c r="AL232" s="62"/>
    </row>
    <row r="233" spans="1:38" x14ac:dyDescent="0.3">
      <c r="A233" s="461">
        <v>911</v>
      </c>
      <c r="B233" s="484" t="s">
        <v>1068</v>
      </c>
      <c r="C233" s="483"/>
      <c r="D233" s="468">
        <f>'3a. OM_AG-i'!J233</f>
        <v>0</v>
      </c>
      <c r="E233" s="468"/>
      <c r="F233" s="630"/>
      <c r="G233" s="630"/>
      <c r="H233" s="630"/>
      <c r="I233" s="468"/>
      <c r="J233" s="468"/>
      <c r="K233" s="468"/>
      <c r="L233" s="468">
        <f>'3a. OM_AG-i'!K233</f>
        <v>0</v>
      </c>
      <c r="M233" s="468">
        <f>'3a. OM_AG-i'!L233</f>
        <v>0</v>
      </c>
      <c r="N233" s="468"/>
      <c r="O233" s="468"/>
      <c r="P233" s="468"/>
      <c r="Q233" s="468"/>
      <c r="R233" s="468"/>
      <c r="S233" s="468"/>
      <c r="T233" s="468"/>
      <c r="U233" s="468"/>
      <c r="V233" s="468"/>
      <c r="W233" s="468"/>
      <c r="X233" s="468">
        <f>'3a. OM_AG-i'!M233</f>
        <v>0</v>
      </c>
      <c r="Y233" s="468"/>
      <c r="Z233" s="468"/>
      <c r="AA233" s="468">
        <f>'3a. OM_AG-i'!N233</f>
        <v>0</v>
      </c>
      <c r="AB233" s="468">
        <f>'3a. OM_AG-i'!O233</f>
        <v>0</v>
      </c>
      <c r="AC233" s="468"/>
      <c r="AD233" s="468"/>
      <c r="AE233" s="468"/>
      <c r="AF233" s="468">
        <f>'3a. OM_AG-i'!P233</f>
        <v>0</v>
      </c>
      <c r="AG233" s="468">
        <f>$AF233*'3c. OM_AG-sfaf'!AG233</f>
        <v>0</v>
      </c>
      <c r="AH233" s="468">
        <f>'3a. OM_AG-i'!Q233</f>
        <v>0</v>
      </c>
      <c r="AI233" s="62"/>
      <c r="AJ233" s="468">
        <f>'3a. OM_AG-i'!I233</f>
        <v>0</v>
      </c>
      <c r="AK233" s="62">
        <f t="shared" ref="AK233:AK240" si="48">SUM(F233:K233,L233,N233:W233,Y233:Z233,AA233:AA233,AC233:AE233,AG233:AH233)</f>
        <v>0</v>
      </c>
      <c r="AL233" s="62">
        <f t="shared" ref="AL233" si="49">AJ233-AK233</f>
        <v>0</v>
      </c>
    </row>
    <row r="234" spans="1:38" x14ac:dyDescent="0.3">
      <c r="A234" s="465">
        <v>912</v>
      </c>
      <c r="B234" s="485" t="s">
        <v>719</v>
      </c>
      <c r="C234" s="483"/>
      <c r="D234" s="468"/>
      <c r="E234" s="468"/>
      <c r="F234" s="630"/>
      <c r="G234" s="630"/>
      <c r="H234" s="630"/>
      <c r="I234" s="468"/>
      <c r="J234" s="468"/>
      <c r="K234" s="468"/>
      <c r="L234" s="468"/>
      <c r="M234" s="468"/>
      <c r="N234" s="468"/>
      <c r="O234" s="468"/>
      <c r="P234" s="468"/>
      <c r="Q234" s="468"/>
      <c r="R234" s="468"/>
      <c r="S234" s="468"/>
      <c r="T234" s="468"/>
      <c r="U234" s="468"/>
      <c r="V234" s="468"/>
      <c r="W234" s="468"/>
      <c r="X234" s="468"/>
      <c r="Y234" s="468"/>
      <c r="Z234" s="468"/>
      <c r="AA234" s="468"/>
      <c r="AB234" s="468"/>
      <c r="AC234" s="468"/>
      <c r="AD234" s="468"/>
      <c r="AE234" s="468"/>
      <c r="AF234" s="468"/>
      <c r="AG234" s="468"/>
      <c r="AH234" s="468"/>
      <c r="AI234" s="62"/>
      <c r="AJ234" s="468"/>
      <c r="AK234" s="62"/>
      <c r="AL234" s="62"/>
    </row>
    <row r="235" spans="1:38" x14ac:dyDescent="0.3">
      <c r="A235" s="461">
        <v>913</v>
      </c>
      <c r="B235" s="243" t="s">
        <v>1331</v>
      </c>
      <c r="C235" s="243"/>
      <c r="D235" s="468">
        <f>'3a. OM_AG-i'!J235</f>
        <v>0</v>
      </c>
      <c r="E235" s="468"/>
      <c r="F235" s="630"/>
      <c r="G235" s="630"/>
      <c r="H235" s="630"/>
      <c r="I235" s="468"/>
      <c r="J235" s="468"/>
      <c r="K235" s="468"/>
      <c r="L235" s="468">
        <f>'3a. OM_AG-i'!K235</f>
        <v>0</v>
      </c>
      <c r="M235" s="468">
        <f>'3a. OM_AG-i'!L235</f>
        <v>0</v>
      </c>
      <c r="N235" s="468"/>
      <c r="O235" s="468"/>
      <c r="P235" s="468"/>
      <c r="Q235" s="468"/>
      <c r="R235" s="468"/>
      <c r="S235" s="468"/>
      <c r="T235" s="468"/>
      <c r="U235" s="468"/>
      <c r="V235" s="468"/>
      <c r="W235" s="468"/>
      <c r="X235" s="468">
        <f>'3a. OM_AG-i'!M235</f>
        <v>0</v>
      </c>
      <c r="Y235" s="468"/>
      <c r="Z235" s="468"/>
      <c r="AA235" s="468">
        <f>'3a. OM_AG-i'!N235</f>
        <v>0</v>
      </c>
      <c r="AB235" s="468">
        <f>'3a. OM_AG-i'!O235</f>
        <v>0</v>
      </c>
      <c r="AC235" s="468"/>
      <c r="AD235" s="468"/>
      <c r="AE235" s="468"/>
      <c r="AF235" s="468">
        <f>'3a. OM_AG-i'!P235</f>
        <v>0</v>
      </c>
      <c r="AG235" s="468"/>
      <c r="AH235" s="468">
        <f>'3a. OM_AG-i'!Q235</f>
        <v>0</v>
      </c>
      <c r="AI235" s="62"/>
      <c r="AJ235" s="468">
        <f>'3a. OM_AG-i'!I235</f>
        <v>0</v>
      </c>
      <c r="AK235" s="62">
        <f t="shared" si="48"/>
        <v>0</v>
      </c>
      <c r="AL235" s="62">
        <f t="shared" ref="AL235:AL239" si="50">AJ235-AK235</f>
        <v>0</v>
      </c>
    </row>
    <row r="236" spans="1:38" x14ac:dyDescent="0.3">
      <c r="A236" s="461">
        <v>915</v>
      </c>
      <c r="B236" s="243" t="s">
        <v>892</v>
      </c>
      <c r="C236" s="243"/>
      <c r="D236" s="468">
        <f>'3a. OM_AG-i'!J236</f>
        <v>0</v>
      </c>
      <c r="E236" s="468"/>
      <c r="F236" s="630"/>
      <c r="G236" s="630"/>
      <c r="H236" s="630"/>
      <c r="I236" s="468"/>
      <c r="J236" s="468"/>
      <c r="K236" s="468"/>
      <c r="L236" s="468">
        <f>'3a. OM_AG-i'!K236</f>
        <v>0</v>
      </c>
      <c r="M236" s="468">
        <f>'3a. OM_AG-i'!L236</f>
        <v>0</v>
      </c>
      <c r="N236" s="468"/>
      <c r="O236" s="468"/>
      <c r="P236" s="468"/>
      <c r="Q236" s="468"/>
      <c r="R236" s="468"/>
      <c r="S236" s="468"/>
      <c r="T236" s="468"/>
      <c r="U236" s="468"/>
      <c r="V236" s="468"/>
      <c r="W236" s="468"/>
      <c r="X236" s="468">
        <f>'3a. OM_AG-i'!M236</f>
        <v>0</v>
      </c>
      <c r="Y236" s="468"/>
      <c r="Z236" s="468"/>
      <c r="AA236" s="468">
        <f>'3a. OM_AG-i'!N236</f>
        <v>0</v>
      </c>
      <c r="AB236" s="468">
        <f>'3a. OM_AG-i'!O236</f>
        <v>0</v>
      </c>
      <c r="AC236" s="468"/>
      <c r="AD236" s="468"/>
      <c r="AE236" s="468"/>
      <c r="AF236" s="468">
        <f>'3a. OM_AG-i'!P236</f>
        <v>157364.88</v>
      </c>
      <c r="AG236" s="468">
        <f>$AF236*'3c. OM_AG-sfaf'!AG236</f>
        <v>157364.88</v>
      </c>
      <c r="AH236" s="468">
        <f>'3a. OM_AG-i'!Q236</f>
        <v>0</v>
      </c>
      <c r="AI236" s="62"/>
      <c r="AJ236" s="468">
        <f>'3a. OM_AG-i'!I236</f>
        <v>157364.88</v>
      </c>
      <c r="AK236" s="62">
        <f t="shared" si="48"/>
        <v>157364.88</v>
      </c>
      <c r="AL236" s="62">
        <f t="shared" si="50"/>
        <v>0</v>
      </c>
    </row>
    <row r="237" spans="1:38" x14ac:dyDescent="0.3">
      <c r="A237" s="461">
        <v>916</v>
      </c>
      <c r="B237" s="243" t="s">
        <v>719</v>
      </c>
      <c r="C237" s="243"/>
      <c r="D237" s="468">
        <f>'3a. OM_AG-i'!J237</f>
        <v>0</v>
      </c>
      <c r="E237" s="468"/>
      <c r="F237" s="630"/>
      <c r="G237" s="630"/>
      <c r="H237" s="630"/>
      <c r="I237" s="468"/>
      <c r="J237" s="468"/>
      <c r="K237" s="468"/>
      <c r="L237" s="468">
        <f>'3a. OM_AG-i'!K237</f>
        <v>0</v>
      </c>
      <c r="M237" s="468">
        <f>'3a. OM_AG-i'!L237</f>
        <v>0</v>
      </c>
      <c r="N237" s="468"/>
      <c r="O237" s="468"/>
      <c r="P237" s="468"/>
      <c r="Q237" s="468"/>
      <c r="R237" s="468"/>
      <c r="S237" s="468"/>
      <c r="T237" s="468"/>
      <c r="U237" s="468"/>
      <c r="V237" s="468"/>
      <c r="W237" s="468"/>
      <c r="X237" s="468">
        <f>'3a. OM_AG-i'!M237</f>
        <v>0</v>
      </c>
      <c r="Y237" s="468"/>
      <c r="Z237" s="468"/>
      <c r="AA237" s="468">
        <f>'3a. OM_AG-i'!N237</f>
        <v>0</v>
      </c>
      <c r="AB237" s="468">
        <f>'3a. OM_AG-i'!O237</f>
        <v>0</v>
      </c>
      <c r="AC237" s="468"/>
      <c r="AD237" s="468"/>
      <c r="AE237" s="468"/>
      <c r="AF237" s="468">
        <f>'3a. OM_AG-i'!P237</f>
        <v>1530043.16</v>
      </c>
      <c r="AG237" s="468">
        <f>$AF237*'3c. OM_AG-sfaf'!AG237</f>
        <v>1530043.16</v>
      </c>
      <c r="AH237" s="468">
        <f>'3a. OM_AG-i'!Q237</f>
        <v>0</v>
      </c>
      <c r="AI237" s="62"/>
      <c r="AJ237" s="468">
        <f>'3a. OM_AG-i'!I237</f>
        <v>1530043.16</v>
      </c>
      <c r="AK237" s="62">
        <f t="shared" si="48"/>
        <v>1530043.16</v>
      </c>
      <c r="AL237" s="62">
        <f t="shared" si="50"/>
        <v>0</v>
      </c>
    </row>
    <row r="238" spans="1:38" x14ac:dyDescent="0.3">
      <c r="A238" s="461">
        <v>917</v>
      </c>
      <c r="B238" s="243" t="s">
        <v>1009</v>
      </c>
      <c r="C238" s="243"/>
      <c r="D238" s="468">
        <f>'3a. OM_AG-i'!J238</f>
        <v>0</v>
      </c>
      <c r="E238" s="468"/>
      <c r="F238" s="630"/>
      <c r="G238" s="630"/>
      <c r="H238" s="630"/>
      <c r="I238" s="468"/>
      <c r="J238" s="468"/>
      <c r="K238" s="468"/>
      <c r="L238" s="468">
        <f>'3a. OM_AG-i'!K238</f>
        <v>0</v>
      </c>
      <c r="M238" s="468">
        <f>'3a. OM_AG-i'!L238</f>
        <v>0</v>
      </c>
      <c r="N238" s="468"/>
      <c r="O238" s="468"/>
      <c r="P238" s="468"/>
      <c r="Q238" s="468"/>
      <c r="R238" s="468"/>
      <c r="S238" s="468"/>
      <c r="T238" s="468"/>
      <c r="U238" s="468"/>
      <c r="V238" s="468"/>
      <c r="W238" s="468"/>
      <c r="X238" s="468">
        <f>'3a. OM_AG-i'!M238</f>
        <v>0</v>
      </c>
      <c r="Y238" s="468"/>
      <c r="Z238" s="468"/>
      <c r="AA238" s="468">
        <f>'3a. OM_AG-i'!N238</f>
        <v>0</v>
      </c>
      <c r="AB238" s="468">
        <f>'3a. OM_AG-i'!O238</f>
        <v>0</v>
      </c>
      <c r="AC238" s="468"/>
      <c r="AD238" s="468"/>
      <c r="AE238" s="468"/>
      <c r="AF238" s="468">
        <f>'3a. OM_AG-i'!P238</f>
        <v>680576.97</v>
      </c>
      <c r="AG238" s="468">
        <f>$AF238*'3c. OM_AG-sfaf'!AG238</f>
        <v>680576.97</v>
      </c>
      <c r="AH238" s="468">
        <f>'3a. OM_AG-i'!Q238</f>
        <v>0</v>
      </c>
      <c r="AI238" s="62"/>
      <c r="AJ238" s="468">
        <f>'3a. OM_AG-i'!I238</f>
        <v>680576.97</v>
      </c>
      <c r="AK238" s="62">
        <f t="shared" si="48"/>
        <v>680576.97</v>
      </c>
      <c r="AL238" s="62">
        <f t="shared" si="50"/>
        <v>0</v>
      </c>
    </row>
    <row r="239" spans="1:38" x14ac:dyDescent="0.3">
      <c r="A239" s="461">
        <v>918</v>
      </c>
      <c r="B239" s="243" t="s">
        <v>722</v>
      </c>
      <c r="C239" s="243"/>
      <c r="D239" s="468">
        <f>'3a. OM_AG-i'!J239</f>
        <v>0</v>
      </c>
      <c r="E239" s="468"/>
      <c r="F239" s="630"/>
      <c r="G239" s="630"/>
      <c r="H239" s="630"/>
      <c r="I239" s="468"/>
      <c r="J239" s="468"/>
      <c r="K239" s="468"/>
      <c r="L239" s="468">
        <f>'3a. OM_AG-i'!K239</f>
        <v>0</v>
      </c>
      <c r="M239" s="468">
        <f>'3a. OM_AG-i'!L239</f>
        <v>0</v>
      </c>
      <c r="N239" s="468"/>
      <c r="O239" s="468"/>
      <c r="P239" s="468"/>
      <c r="Q239" s="468"/>
      <c r="R239" s="468"/>
      <c r="S239" s="468"/>
      <c r="T239" s="468"/>
      <c r="U239" s="468"/>
      <c r="V239" s="468"/>
      <c r="W239" s="468"/>
      <c r="X239" s="468">
        <f>'3a. OM_AG-i'!M239</f>
        <v>0</v>
      </c>
      <c r="Y239" s="468"/>
      <c r="Z239" s="468"/>
      <c r="AA239" s="468">
        <f>'3a. OM_AG-i'!N239</f>
        <v>0</v>
      </c>
      <c r="AB239" s="468">
        <f>'3a. OM_AG-i'!O239</f>
        <v>0</v>
      </c>
      <c r="AC239" s="468"/>
      <c r="AD239" s="468"/>
      <c r="AE239" s="468"/>
      <c r="AF239" s="468">
        <f>'3a. OM_AG-i'!P239</f>
        <v>8932535.25</v>
      </c>
      <c r="AG239" s="468">
        <f>$AF239*'3c. OM_AG-sfaf'!AG239</f>
        <v>8932535.25</v>
      </c>
      <c r="AH239" s="468">
        <f>'3a. OM_AG-i'!Q239</f>
        <v>0</v>
      </c>
      <c r="AI239" s="62"/>
      <c r="AJ239" s="468">
        <f>'3a. OM_AG-i'!I239</f>
        <v>8932535.25</v>
      </c>
      <c r="AK239" s="62">
        <f t="shared" si="48"/>
        <v>8932535.25</v>
      </c>
      <c r="AL239" s="62">
        <f t="shared" si="50"/>
        <v>0</v>
      </c>
    </row>
    <row r="240" spans="1:38" x14ac:dyDescent="0.3">
      <c r="A240" s="461"/>
      <c r="B240" s="486" t="s">
        <v>524</v>
      </c>
      <c r="C240" s="486"/>
      <c r="D240" s="468">
        <f>SUM(D233:D239)</f>
        <v>0</v>
      </c>
      <c r="E240" s="468">
        <f t="shared" ref="E240:J240" si="51">SUM(E233:E239)</f>
        <v>0</v>
      </c>
      <c r="F240" s="630"/>
      <c r="G240" s="630"/>
      <c r="H240" s="630"/>
      <c r="I240" s="468">
        <f t="shared" si="51"/>
        <v>0</v>
      </c>
      <c r="J240" s="468">
        <f t="shared" si="51"/>
        <v>0</v>
      </c>
      <c r="K240" s="468"/>
      <c r="L240" s="468">
        <f t="shared" ref="L240" si="52">SUM(L233:L239)</f>
        <v>0</v>
      </c>
      <c r="M240" s="468">
        <f t="shared" ref="M240" si="53">SUM(M233:M239)</f>
        <v>0</v>
      </c>
      <c r="N240" s="468"/>
      <c r="O240" s="468"/>
      <c r="P240" s="468"/>
      <c r="Q240" s="468"/>
      <c r="R240" s="468"/>
      <c r="S240" s="468"/>
      <c r="T240" s="468"/>
      <c r="U240" s="468"/>
      <c r="V240" s="468"/>
      <c r="W240" s="468"/>
      <c r="X240" s="468">
        <f t="shared" ref="X240" si="54">SUM(X233:X239)</f>
        <v>0</v>
      </c>
      <c r="Y240" s="468">
        <f t="shared" ref="Y240" si="55">SUM(Y233:Y239)</f>
        <v>0</v>
      </c>
      <c r="Z240" s="468">
        <f t="shared" ref="Z240" si="56">SUM(Z233:Z239)</f>
        <v>0</v>
      </c>
      <c r="AA240" s="468">
        <f t="shared" ref="AA240" si="57">SUM(AA233:AA239)</f>
        <v>0</v>
      </c>
      <c r="AB240" s="468">
        <f t="shared" ref="AB240" si="58">SUM(AB233:AB239)</f>
        <v>0</v>
      </c>
      <c r="AC240" s="468"/>
      <c r="AD240" s="468"/>
      <c r="AE240" s="468"/>
      <c r="AF240" s="468">
        <f t="shared" ref="AF240" si="59">SUM(AF233:AF239)</f>
        <v>11300520.26</v>
      </c>
      <c r="AG240" s="468">
        <f t="shared" ref="AG240" si="60">SUM(AG233:AG239)</f>
        <v>11300520.26</v>
      </c>
      <c r="AH240" s="468">
        <f t="shared" ref="AH240" si="61">SUM(AH233:AH239)</f>
        <v>0</v>
      </c>
      <c r="AI240" s="62"/>
      <c r="AJ240" s="171">
        <f>SUM(AJ233:AJ239)</f>
        <v>11300520.26</v>
      </c>
      <c r="AK240" s="62">
        <f t="shared" si="48"/>
        <v>11300520.26</v>
      </c>
      <c r="AL240" s="171">
        <f t="shared" ref="AL240" si="62">SUM(AL233:AL239)</f>
        <v>0</v>
      </c>
    </row>
    <row r="241" spans="1:38" x14ac:dyDescent="0.3">
      <c r="A241" s="461">
        <v>912913917</v>
      </c>
      <c r="B241" s="474"/>
      <c r="C241" s="474"/>
      <c r="D241" s="468"/>
      <c r="E241" s="468"/>
      <c r="F241" s="630"/>
      <c r="G241" s="630"/>
      <c r="H241" s="630"/>
      <c r="I241" s="468"/>
      <c r="J241" s="468"/>
      <c r="K241" s="468"/>
      <c r="L241" s="468"/>
      <c r="M241" s="468">
        <f>SUM(M235,M238)</f>
        <v>0</v>
      </c>
      <c r="N241" s="468"/>
      <c r="O241" s="468"/>
      <c r="P241" s="468"/>
      <c r="Q241" s="468"/>
      <c r="R241" s="468"/>
      <c r="S241" s="468"/>
      <c r="T241" s="468"/>
      <c r="U241" s="468"/>
      <c r="V241" s="468"/>
      <c r="W241" s="468"/>
      <c r="X241" s="468"/>
      <c r="Y241" s="468"/>
      <c r="Z241" s="468"/>
      <c r="AA241" s="468"/>
      <c r="AB241" s="468"/>
      <c r="AC241" s="468"/>
      <c r="AD241" s="468"/>
      <c r="AE241" s="468"/>
      <c r="AF241" s="468"/>
      <c r="AG241" s="468"/>
      <c r="AH241" s="468"/>
      <c r="AI241" s="62"/>
      <c r="AJ241" s="62"/>
      <c r="AK241" s="62"/>
      <c r="AL241" s="62"/>
    </row>
    <row r="242" spans="1:38" x14ac:dyDescent="0.3">
      <c r="A242" s="461"/>
      <c r="B242" s="487" t="s">
        <v>940</v>
      </c>
      <c r="C242" s="487"/>
      <c r="D242" s="468">
        <f t="shared" ref="D242:V242" si="63">D240+D230+D222</f>
        <v>0</v>
      </c>
      <c r="E242" s="468">
        <f t="shared" si="63"/>
        <v>0</v>
      </c>
      <c r="F242" s="630"/>
      <c r="G242" s="630"/>
      <c r="H242" s="630"/>
      <c r="I242" s="468">
        <f t="shared" si="63"/>
        <v>0</v>
      </c>
      <c r="J242" s="468">
        <f t="shared" si="63"/>
        <v>0</v>
      </c>
      <c r="K242" s="468"/>
      <c r="L242" s="468">
        <f t="shared" si="63"/>
        <v>0</v>
      </c>
      <c r="M242" s="468">
        <f t="shared" si="63"/>
        <v>0</v>
      </c>
      <c r="N242" s="468">
        <f t="shared" si="63"/>
        <v>0</v>
      </c>
      <c r="O242" s="468">
        <f t="shared" si="63"/>
        <v>0</v>
      </c>
      <c r="P242" s="468">
        <f t="shared" si="63"/>
        <v>0</v>
      </c>
      <c r="Q242" s="468">
        <f t="shared" si="63"/>
        <v>0</v>
      </c>
      <c r="R242" s="468">
        <f t="shared" si="63"/>
        <v>0</v>
      </c>
      <c r="S242" s="468">
        <f t="shared" si="63"/>
        <v>0</v>
      </c>
      <c r="T242" s="468">
        <f t="shared" si="63"/>
        <v>0</v>
      </c>
      <c r="U242" s="468">
        <f t="shared" si="63"/>
        <v>0</v>
      </c>
      <c r="V242" s="468">
        <f t="shared" si="63"/>
        <v>0</v>
      </c>
      <c r="W242" s="468">
        <f>W240+W230+W222</f>
        <v>0</v>
      </c>
      <c r="X242" s="468">
        <f t="shared" ref="X242:AF242" si="64">X240+X230+X222</f>
        <v>8862247.4607540499</v>
      </c>
      <c r="Y242" s="468">
        <f t="shared" si="64"/>
        <v>0</v>
      </c>
      <c r="Z242" s="468">
        <f t="shared" si="64"/>
        <v>8862247.4607540499</v>
      </c>
      <c r="AA242" s="468">
        <f t="shared" si="64"/>
        <v>5698530.8631646633</v>
      </c>
      <c r="AB242" s="468">
        <f t="shared" si="64"/>
        <v>18288002.820946973</v>
      </c>
      <c r="AC242" s="468">
        <f t="shared" si="64"/>
        <v>18288002.820946973</v>
      </c>
      <c r="AD242" s="468">
        <f t="shared" si="64"/>
        <v>0</v>
      </c>
      <c r="AE242" s="468">
        <f t="shared" si="64"/>
        <v>0</v>
      </c>
      <c r="AF242" s="468">
        <f t="shared" si="64"/>
        <v>11300520.26</v>
      </c>
      <c r="AG242" s="468">
        <f>AG240+AG230+AG222</f>
        <v>11300520.26</v>
      </c>
      <c r="AH242" s="468">
        <f>AH240+AH230+AH222</f>
        <v>0</v>
      </c>
      <c r="AI242" s="62"/>
      <c r="AJ242" s="171">
        <f>AJ240+AJ230+AJ222</f>
        <v>44149301.404865682</v>
      </c>
      <c r="AK242" s="62">
        <f t="shared" ref="AK242" si="65">SUM(F242:K242,L242,N242:W242,Y242:Z242,AA242:AA242,AC242:AE242,AG242:AH242)</f>
        <v>44149301.404865682</v>
      </c>
      <c r="AL242" s="62">
        <f>AJ242-AK242</f>
        <v>0</v>
      </c>
    </row>
    <row r="243" spans="1:38" x14ac:dyDescent="0.3">
      <c r="A243" s="461" t="s">
        <v>836</v>
      </c>
      <c r="B243" s="479" t="s">
        <v>884</v>
      </c>
      <c r="C243" s="461"/>
      <c r="D243" s="468">
        <f>D152+D211+D242</f>
        <v>906097319.02999997</v>
      </c>
      <c r="E243" s="468">
        <f>E152+E211+E242</f>
        <v>169811627.8249402</v>
      </c>
      <c r="F243" s="630"/>
      <c r="G243" s="630"/>
      <c r="H243" s="630"/>
      <c r="I243" s="468">
        <f>I152+I211+I242</f>
        <v>57390038.745059818</v>
      </c>
      <c r="J243" s="468">
        <f>J152+J211+J242</f>
        <v>678895652.46000004</v>
      </c>
      <c r="K243" s="468"/>
      <c r="L243" s="468">
        <f t="shared" ref="L243:AH243" si="66">L152+L211+L242</f>
        <v>19376670.590000004</v>
      </c>
      <c r="M243" s="468">
        <f t="shared" si="66"/>
        <v>88810905.387649953</v>
      </c>
      <c r="N243" s="468">
        <f t="shared" si="66"/>
        <v>18567236.929002482</v>
      </c>
      <c r="O243" s="468">
        <f t="shared" si="66"/>
        <v>28230907.715102665</v>
      </c>
      <c r="P243" s="468">
        <f t="shared" si="66"/>
        <v>7768739.4674058827</v>
      </c>
      <c r="Q243" s="468">
        <f t="shared" si="66"/>
        <v>1105046.827609252</v>
      </c>
      <c r="R243" s="468">
        <f t="shared" si="66"/>
        <v>20029161.203761414</v>
      </c>
      <c r="S243" s="468">
        <f t="shared" si="66"/>
        <v>5328279.3604328306</v>
      </c>
      <c r="T243" s="468">
        <f t="shared" si="66"/>
        <v>1207979.7694277053</v>
      </c>
      <c r="U243" s="468">
        <f t="shared" si="66"/>
        <v>0</v>
      </c>
      <c r="V243" s="468">
        <f t="shared" si="66"/>
        <v>5117945.2002358725</v>
      </c>
      <c r="W243" s="468">
        <f t="shared" si="66"/>
        <v>1455608.914671842</v>
      </c>
      <c r="X243" s="468">
        <f t="shared" si="66"/>
        <v>20098455.643104106</v>
      </c>
      <c r="Y243" s="468">
        <f t="shared" si="66"/>
        <v>11236208.182350054</v>
      </c>
      <c r="Z243" s="468">
        <f t="shared" si="66"/>
        <v>8862247.4607540499</v>
      </c>
      <c r="AA243" s="468">
        <f t="shared" si="66"/>
        <v>5698530.8631646633</v>
      </c>
      <c r="AB243" s="468">
        <f t="shared" si="66"/>
        <v>18288002.820946973</v>
      </c>
      <c r="AC243" s="468">
        <f t="shared" si="66"/>
        <v>18288002.820946973</v>
      </c>
      <c r="AD243" s="468">
        <f t="shared" si="66"/>
        <v>0</v>
      </c>
      <c r="AE243" s="468">
        <f t="shared" si="66"/>
        <v>0</v>
      </c>
      <c r="AF243" s="468">
        <f t="shared" si="66"/>
        <v>11300520.26</v>
      </c>
      <c r="AG243" s="468">
        <f t="shared" si="66"/>
        <v>11300520.26</v>
      </c>
      <c r="AH243" s="468">
        <f t="shared" si="66"/>
        <v>0</v>
      </c>
      <c r="AI243" s="62"/>
      <c r="AJ243" s="171">
        <f>AJ152+AJ211+AJ242</f>
        <v>1069670404.5948656</v>
      </c>
      <c r="AK243" s="62">
        <f t="shared" ref="AK243:AK244" si="67">SUM(E243,I243:K243,L243,N243:W243,Y243:Z243,AA243:AA243,AC243:AE243,AG243:AH243)</f>
        <v>1069670404.5948659</v>
      </c>
      <c r="AL243" s="62">
        <f>AJ243-AK243</f>
        <v>0</v>
      </c>
    </row>
    <row r="244" spans="1:38" x14ac:dyDescent="0.3">
      <c r="A244" s="461" t="s">
        <v>919</v>
      </c>
      <c r="B244" s="479"/>
      <c r="C244" s="461"/>
      <c r="D244" s="695">
        <v>227201666.57000002</v>
      </c>
      <c r="E244" s="695">
        <v>169811627.8249402</v>
      </c>
      <c r="F244" s="695"/>
      <c r="G244" s="695"/>
      <c r="H244" s="695"/>
      <c r="I244" s="695">
        <v>57390038.745059818</v>
      </c>
      <c r="J244" s="695">
        <v>8.9406967163085938E-8</v>
      </c>
      <c r="K244" s="695"/>
      <c r="L244" s="695">
        <v>19376670.590000004</v>
      </c>
      <c r="M244" s="695">
        <v>88810905.387649953</v>
      </c>
      <c r="N244" s="695">
        <v>18567236.929002482</v>
      </c>
      <c r="O244" s="695">
        <v>28230907.715102665</v>
      </c>
      <c r="P244" s="695">
        <v>7768739.4674058827</v>
      </c>
      <c r="Q244" s="695">
        <v>1105046.827609252</v>
      </c>
      <c r="R244" s="695">
        <v>20029161.203761414</v>
      </c>
      <c r="S244" s="695">
        <v>5328279.3604328306</v>
      </c>
      <c r="T244" s="695">
        <v>1207979.7694277053</v>
      </c>
      <c r="U244" s="695">
        <v>0</v>
      </c>
      <c r="V244" s="695">
        <v>5117945.2002358725</v>
      </c>
      <c r="W244" s="695">
        <v>1455608.914671842</v>
      </c>
      <c r="X244" s="695">
        <v>20098455.643104106</v>
      </c>
      <c r="Y244" s="695">
        <v>11236208.182350054</v>
      </c>
      <c r="Z244" s="695">
        <v>8862247.4607540499</v>
      </c>
      <c r="AA244" s="695">
        <v>5698530.8631646633</v>
      </c>
      <c r="AB244" s="695">
        <v>18288002.820946973</v>
      </c>
      <c r="AC244" s="695">
        <v>18288002.820946973</v>
      </c>
      <c r="AD244" s="695">
        <v>0</v>
      </c>
      <c r="AE244" s="695">
        <v>0</v>
      </c>
      <c r="AF244" s="695">
        <v>11300520.26</v>
      </c>
      <c r="AG244" s="695">
        <v>11300520.26</v>
      </c>
      <c r="AH244" s="695">
        <v>0</v>
      </c>
      <c r="AI244" s="62"/>
      <c r="AJ244" s="171">
        <f>'3a. OM_AG-i'!H244</f>
        <v>390774752.13486576</v>
      </c>
      <c r="AK244" s="62">
        <f t="shared" si="67"/>
        <v>390774752.1348657</v>
      </c>
      <c r="AL244" s="62">
        <f>AJ244-AK244</f>
        <v>0</v>
      </c>
    </row>
    <row r="245" spans="1:38" x14ac:dyDescent="0.3">
      <c r="A245" s="461"/>
      <c r="B245" s="479"/>
      <c r="C245" s="461"/>
      <c r="D245" s="468"/>
      <c r="E245" s="468"/>
      <c r="F245" s="630"/>
      <c r="G245" s="630"/>
      <c r="H245" s="630"/>
      <c r="I245" s="468"/>
      <c r="J245" s="468"/>
      <c r="K245" s="468"/>
      <c r="L245" s="468"/>
      <c r="M245" s="468"/>
      <c r="N245" s="468"/>
      <c r="O245" s="468"/>
      <c r="P245" s="468"/>
      <c r="Q245" s="468"/>
      <c r="R245" s="468"/>
      <c r="S245" s="468"/>
      <c r="T245" s="468"/>
      <c r="U245" s="468"/>
      <c r="V245" s="468"/>
      <c r="W245" s="468"/>
      <c r="X245" s="468"/>
      <c r="Y245" s="468"/>
      <c r="Z245" s="468"/>
      <c r="AA245" s="468"/>
      <c r="AB245" s="468"/>
      <c r="AC245" s="468"/>
      <c r="AD245" s="468"/>
      <c r="AE245" s="468"/>
      <c r="AF245" s="468"/>
      <c r="AG245" s="468"/>
      <c r="AH245" s="468"/>
      <c r="AI245" s="62"/>
      <c r="AJ245" s="171"/>
      <c r="AK245" s="62"/>
      <c r="AL245" s="62"/>
    </row>
    <row r="246" spans="1:38" x14ac:dyDescent="0.3">
      <c r="A246" s="461"/>
      <c r="B246" s="479"/>
      <c r="C246" s="461"/>
      <c r="D246" s="468"/>
      <c r="E246" s="468"/>
      <c r="F246" s="630"/>
      <c r="G246" s="630"/>
      <c r="H246" s="630"/>
      <c r="I246" s="468"/>
      <c r="J246" s="468"/>
      <c r="K246" s="468"/>
      <c r="L246" s="468"/>
      <c r="M246" s="468"/>
      <c r="N246" s="468"/>
      <c r="O246" s="468"/>
      <c r="P246" s="468"/>
      <c r="Q246" s="468"/>
      <c r="R246" s="468"/>
      <c r="S246" s="468"/>
      <c r="T246" s="468"/>
      <c r="U246" s="468"/>
      <c r="V246" s="468"/>
      <c r="W246" s="468"/>
      <c r="X246" s="468"/>
      <c r="Y246" s="468"/>
      <c r="Z246" s="468"/>
      <c r="AA246" s="468"/>
      <c r="AB246" s="468"/>
      <c r="AC246" s="468"/>
      <c r="AD246" s="468"/>
      <c r="AE246" s="468"/>
      <c r="AF246" s="468"/>
      <c r="AG246" s="468"/>
      <c r="AH246" s="468"/>
      <c r="AI246" s="62"/>
      <c r="AJ246" s="171"/>
      <c r="AK246" s="62"/>
      <c r="AL246" s="62"/>
    </row>
    <row r="247" spans="1:38" x14ac:dyDescent="0.3">
      <c r="A247" s="461"/>
      <c r="B247" s="479"/>
      <c r="C247" s="461"/>
      <c r="D247" s="468"/>
      <c r="E247" s="468"/>
      <c r="F247" s="630"/>
      <c r="G247" s="630"/>
      <c r="H247" s="630"/>
      <c r="I247" s="468"/>
      <c r="J247" s="468"/>
      <c r="K247" s="468"/>
      <c r="L247" s="468"/>
      <c r="M247" s="468"/>
      <c r="N247" s="468"/>
      <c r="O247" s="468"/>
      <c r="P247" s="468"/>
      <c r="Q247" s="468"/>
      <c r="R247" s="468"/>
      <c r="S247" s="468"/>
      <c r="T247" s="468"/>
      <c r="U247" s="468"/>
      <c r="V247" s="468"/>
      <c r="W247" s="468"/>
      <c r="X247" s="468"/>
      <c r="Y247" s="468"/>
      <c r="Z247" s="468"/>
      <c r="AA247" s="468"/>
      <c r="AB247" s="468"/>
      <c r="AC247" s="468"/>
      <c r="AD247" s="468"/>
      <c r="AE247" s="468"/>
      <c r="AF247" s="468"/>
      <c r="AG247" s="468"/>
      <c r="AH247" s="468"/>
      <c r="AI247" s="62"/>
      <c r="AJ247" s="171"/>
      <c r="AK247" s="62"/>
      <c r="AL247" s="62"/>
    </row>
    <row r="248" spans="1:38" x14ac:dyDescent="0.3">
      <c r="A248" s="479" t="s">
        <v>1332</v>
      </c>
      <c r="B248" s="461"/>
      <c r="C248" s="461"/>
      <c r="D248" s="468"/>
      <c r="E248" s="468"/>
      <c r="F248" s="630"/>
      <c r="G248" s="630"/>
      <c r="H248" s="630"/>
      <c r="I248" s="468"/>
      <c r="J248" s="468"/>
      <c r="K248" s="468"/>
      <c r="L248" s="468"/>
      <c r="M248" s="468"/>
      <c r="N248" s="468"/>
      <c r="O248" s="468"/>
      <c r="P248" s="468"/>
      <c r="Q248" s="468"/>
      <c r="R248" s="468"/>
      <c r="S248" s="468"/>
      <c r="T248" s="468"/>
      <c r="U248" s="468"/>
      <c r="V248" s="468"/>
      <c r="W248" s="468"/>
      <c r="X248" s="468"/>
      <c r="Y248" s="468"/>
      <c r="Z248" s="468"/>
      <c r="AA248" s="468"/>
      <c r="AB248" s="468"/>
      <c r="AC248" s="468"/>
      <c r="AD248" s="468"/>
      <c r="AE248" s="468"/>
      <c r="AF248" s="468"/>
      <c r="AG248" s="468"/>
      <c r="AH248" s="468"/>
      <c r="AI248" s="62"/>
      <c r="AJ248" s="62"/>
      <c r="AK248" s="62"/>
      <c r="AL248" s="62"/>
    </row>
    <row r="249" spans="1:38" x14ac:dyDescent="0.3">
      <c r="A249" s="461">
        <v>920</v>
      </c>
      <c r="B249" s="461" t="s">
        <v>725</v>
      </c>
      <c r="C249" s="461" t="s">
        <v>835</v>
      </c>
      <c r="D249" s="468">
        <f>'3a. OM_AG-i'!J249</f>
        <v>8138489.4580057412</v>
      </c>
      <c r="E249" s="468">
        <f>$D249*'3c. OM_AG-sfaf'!E249/'3c. OM_AG-sfaf'!$D249</f>
        <v>5350374.235667387</v>
      </c>
      <c r="F249" s="630"/>
      <c r="G249" s="630"/>
      <c r="H249" s="630"/>
      <c r="I249" s="468">
        <f>$D249*'3c. OM_AG-sfaf'!I249/'3c. OM_AG-sfaf'!$D249</f>
        <v>2788115.2223383542</v>
      </c>
      <c r="J249" s="468">
        <f>$D249*'3c. OM_AG-sfaf'!J249/'3c. OM_AG-sfaf'!$D249</f>
        <v>0</v>
      </c>
      <c r="K249" s="468"/>
      <c r="L249" s="468">
        <f>'3a. OM_AG-i'!K249</f>
        <v>2773208.5374091538</v>
      </c>
      <c r="M249" s="468">
        <f>'3a. OM_AG-i'!L249</f>
        <v>11428675.049402852</v>
      </c>
      <c r="N249" s="468">
        <f>$M249*'3c. OM_AG-sfaf'!N249/'3c. OM_AG-sfaf'!$M249</f>
        <v>3589430.0481735012</v>
      </c>
      <c r="O249" s="468">
        <f>$M249*'3c. OM_AG-sfaf'!O249/'3c. OM_AG-sfaf'!$M249</f>
        <v>3268741.6965717026</v>
      </c>
      <c r="P249" s="468">
        <f>$M249*'3c. OM_AG-sfaf'!P249/'3c. OM_AG-sfaf'!$M249</f>
        <v>899714.93973542494</v>
      </c>
      <c r="Q249" s="468">
        <f>$M249*'3c. OM_AG-sfaf'!Q249/'3c. OM_AG-sfaf'!$M249</f>
        <v>176215.47178607556</v>
      </c>
      <c r="R249" s="468">
        <f>$M249*'3c. OM_AG-sfaf'!R249/'3c. OM_AG-sfaf'!$M249</f>
        <v>2323141.0967347426</v>
      </c>
      <c r="S249" s="468">
        <f>$M249*'3c. OM_AG-sfaf'!S249/'3c. OM_AG-sfaf'!$M249</f>
        <v>618287.77057144861</v>
      </c>
      <c r="T249" s="468">
        <f>$M249*'3c. OM_AG-sfaf'!T249/'3c. OM_AG-sfaf'!$M249</f>
        <v>192629.59691786705</v>
      </c>
      <c r="U249" s="468">
        <f>$M249*'3c. OM_AG-sfaf'!U249/'3c. OM_AG-sfaf'!$M249</f>
        <v>0</v>
      </c>
      <c r="V249" s="468">
        <f>$M249*'3c. OM_AG-sfaf'!V249/'3c. OM_AG-sfaf'!$M249</f>
        <v>324583.08563757472</v>
      </c>
      <c r="W249" s="468">
        <f>$M249*'3c. OM_AG-sfaf'!W249/'3c. OM_AG-sfaf'!$M249</f>
        <v>35931.343274514598</v>
      </c>
      <c r="X249" s="468">
        <f>'3a. OM_AG-i'!M249</f>
        <v>994492.19877997588</v>
      </c>
      <c r="Y249" s="468">
        <f>$X249*'3c. OM_AG-sfaf'!Y249/'3c. OM_AG-sfaf'!$X249</f>
        <v>483441.60520820972</v>
      </c>
      <c r="Z249" s="468">
        <f>$X249*'3c. OM_AG-sfaf'!Z249/'3c. OM_AG-sfaf'!$X249</f>
        <v>511050.59357176616</v>
      </c>
      <c r="AA249" s="468">
        <f>'3a. OM_AG-i'!N249</f>
        <v>378008.41403464414</v>
      </c>
      <c r="AB249" s="468">
        <f>'3a. OM_AG-i'!O249</f>
        <v>1127326.2537090811</v>
      </c>
      <c r="AC249" s="468">
        <f>$AB249*'3c. OM_AG-sfaf'!AC249/'3c. OM_AG-sfaf'!$AB249</f>
        <v>1022947.1250581085</v>
      </c>
      <c r="AD249" s="468">
        <f>$AB249*'3c. OM_AG-sfaf'!AD249/'3c. OM_AG-sfaf'!$AB249</f>
        <v>104379.12865097256</v>
      </c>
      <c r="AE249" s="468">
        <f>$AB249*'3c. OM_AG-sfaf'!AE249/'3c. OM_AG-sfaf'!$AB249</f>
        <v>0</v>
      </c>
      <c r="AF249" s="468">
        <f>'3a. OM_AG-i'!P249</f>
        <v>625212.10865855461</v>
      </c>
      <c r="AG249" s="468">
        <f>$AF249*'3c. OM_AG-sfaf'!AG249/'3c. OM_AG-sfaf'!$AF249</f>
        <v>625212.10865855461</v>
      </c>
      <c r="AH249" s="468">
        <f>'3a. OM_AG-i'!Q249</f>
        <v>0</v>
      </c>
      <c r="AI249" s="62"/>
      <c r="AJ249" s="468">
        <f>'3a. OM_AG-i'!I249</f>
        <v>25465412.02</v>
      </c>
      <c r="AK249" s="62">
        <f t="shared" ref="AK249:AK275" si="68">SUM(E249,I249:K249,L249,N249:W249,Y249:Z249,AA249:AA249,AC249:AE249,AG249:AH249)</f>
        <v>25465412.02</v>
      </c>
      <c r="AL249" s="62">
        <f>AJ249-AK249</f>
        <v>0</v>
      </c>
    </row>
    <row r="250" spans="1:38" x14ac:dyDescent="0.3">
      <c r="A250" s="461" t="s">
        <v>1209</v>
      </c>
      <c r="B250" s="461" t="s">
        <v>58</v>
      </c>
      <c r="C250" s="461"/>
      <c r="D250" s="669"/>
      <c r="E250" s="669"/>
      <c r="F250" s="669"/>
      <c r="G250" s="669"/>
      <c r="H250" s="669"/>
      <c r="I250" s="669"/>
      <c r="J250" s="669"/>
      <c r="K250" s="669"/>
      <c r="L250" s="669"/>
      <c r="M250" s="669"/>
      <c r="N250" s="669"/>
      <c r="O250" s="669"/>
      <c r="P250" s="669"/>
      <c r="Q250" s="669"/>
      <c r="R250" s="669"/>
      <c r="S250" s="669"/>
      <c r="T250" s="669"/>
      <c r="U250" s="669"/>
      <c r="V250" s="669"/>
      <c r="W250" s="669"/>
      <c r="X250" s="669"/>
      <c r="Y250" s="669"/>
      <c r="Z250" s="669"/>
      <c r="AA250" s="669"/>
      <c r="AB250" s="669"/>
      <c r="AC250" s="669"/>
      <c r="AD250" s="669"/>
      <c r="AE250" s="669"/>
      <c r="AF250" s="669"/>
      <c r="AG250" s="669"/>
      <c r="AH250" s="669"/>
      <c r="AI250" s="62"/>
      <c r="AJ250" s="468">
        <f>'3a. OM_AG-i'!I250</f>
        <v>0</v>
      </c>
      <c r="AK250" s="62">
        <f t="shared" si="68"/>
        <v>0</v>
      </c>
      <c r="AL250" s="62">
        <f t="shared" ref="AL250:AL274" si="69">AJ250-AK250</f>
        <v>0</v>
      </c>
    </row>
    <row r="251" spans="1:38" x14ac:dyDescent="0.3">
      <c r="A251" s="461">
        <v>921</v>
      </c>
      <c r="B251" s="461" t="s">
        <v>727</v>
      </c>
      <c r="C251" s="461" t="s">
        <v>835</v>
      </c>
      <c r="D251" s="468">
        <f>'3a. OM_AG-i'!J251</f>
        <v>764608.90520668414</v>
      </c>
      <c r="E251" s="468">
        <f>$D251*'3c. OM_AG-sfaf'!E251/'3c. OM_AG-sfaf'!$D251</f>
        <v>502666.22668601904</v>
      </c>
      <c r="F251" s="630"/>
      <c r="G251" s="630"/>
      <c r="H251" s="630"/>
      <c r="I251" s="468">
        <f>$D251*'3c. OM_AG-sfaf'!I251/'3c. OM_AG-sfaf'!$D251</f>
        <v>261942.67852066507</v>
      </c>
      <c r="J251" s="468">
        <f>$D251*'3c. OM_AG-sfaf'!J251/'3c. OM_AG-sfaf'!$D251</f>
        <v>0</v>
      </c>
      <c r="K251" s="468"/>
      <c r="L251" s="468">
        <f>'3a. OM_AG-i'!K251</f>
        <v>260542.19946336714</v>
      </c>
      <c r="M251" s="468">
        <f>'3a. OM_AG-i'!L251</f>
        <v>1073720.9604530395</v>
      </c>
      <c r="N251" s="468">
        <f>$M251*'3c. OM_AG-sfaf'!N251/'3c. OM_AG-sfaf'!$M251</f>
        <v>337225.9918270426</v>
      </c>
      <c r="O251" s="468">
        <f>$M251*'3c. OM_AG-sfaf'!O251/'3c. OM_AG-sfaf'!$M251</f>
        <v>307097.40706988162</v>
      </c>
      <c r="P251" s="468">
        <f>$M251*'3c. OM_AG-sfaf'!P251/'3c. OM_AG-sfaf'!$M251</f>
        <v>84527.97765714275</v>
      </c>
      <c r="Q251" s="468">
        <f>$M251*'3c. OM_AG-sfaf'!Q251/'3c. OM_AG-sfaf'!$M251</f>
        <v>16555.396386278091</v>
      </c>
      <c r="R251" s="468">
        <f>$M251*'3c. OM_AG-sfaf'!R251/'3c. OM_AG-sfaf'!$M251</f>
        <v>218258.48393373369</v>
      </c>
      <c r="S251" s="468">
        <f>$M251*'3c. OM_AG-sfaf'!S251/'3c. OM_AG-sfaf'!$M251</f>
        <v>58087.970476422939</v>
      </c>
      <c r="T251" s="468">
        <f>$M251*'3c. OM_AG-sfaf'!T251/'3c. OM_AG-sfaf'!$M251</f>
        <v>18097.499046938159</v>
      </c>
      <c r="U251" s="468">
        <f>$M251*'3c. OM_AG-sfaf'!U251/'3c. OM_AG-sfaf'!$M251</f>
        <v>0</v>
      </c>
      <c r="V251" s="468">
        <f>$M251*'3c. OM_AG-sfaf'!V251/'3c. OM_AG-sfaf'!$M251</f>
        <v>30494.493976867216</v>
      </c>
      <c r="W251" s="468">
        <f>$M251*'3c. OM_AG-sfaf'!W251/'3c. OM_AG-sfaf'!$M251</f>
        <v>3375.7400787325291</v>
      </c>
      <c r="X251" s="468">
        <f>'3a. OM_AG-i'!M251</f>
        <v>93432.275764361999</v>
      </c>
      <c r="Y251" s="468">
        <f>$X251*'3c. OM_AG-sfaf'!Y251/'3c. OM_AG-sfaf'!$X251</f>
        <v>45419.209350452227</v>
      </c>
      <c r="Z251" s="468">
        <f>$X251*'3c. OM_AG-sfaf'!Z251/'3c. OM_AG-sfaf'!$X251</f>
        <v>48013.066413909772</v>
      </c>
      <c r="AA251" s="468">
        <f>'3a. OM_AG-i'!N251</f>
        <v>35513.789273220718</v>
      </c>
      <c r="AB251" s="468">
        <f>'3a. OM_AG-i'!O251</f>
        <v>105911.99965386071</v>
      </c>
      <c r="AC251" s="468">
        <f>$AB251*'3c. OM_AG-sfaf'!AC251/'3c. OM_AG-sfaf'!$AB251</f>
        <v>96105.608468363702</v>
      </c>
      <c r="AD251" s="468">
        <f>$AB251*'3c. OM_AG-sfaf'!AD251/'3c. OM_AG-sfaf'!$AB251</f>
        <v>9806.3911854970029</v>
      </c>
      <c r="AE251" s="468">
        <f>$AB251*'3c. OM_AG-sfaf'!AE251/'3c. OM_AG-sfaf'!$AB251</f>
        <v>0</v>
      </c>
      <c r="AF251" s="468">
        <f>'3a. OM_AG-i'!P251</f>
        <v>58738.510185466243</v>
      </c>
      <c r="AG251" s="468">
        <f>$AF251*'3c. OM_AG-sfaf'!AG251/'3c. OM_AG-sfaf'!$AF251</f>
        <v>58738.510185466243</v>
      </c>
      <c r="AH251" s="468">
        <f>'3a. OM_AG-i'!Q251</f>
        <v>0</v>
      </c>
      <c r="AI251" s="62"/>
      <c r="AJ251" s="468">
        <f>'3a. OM_AG-i'!I251</f>
        <v>2392468.64</v>
      </c>
      <c r="AK251" s="62">
        <f t="shared" si="68"/>
        <v>2392468.64</v>
      </c>
      <c r="AL251" s="62">
        <f t="shared" si="69"/>
        <v>0</v>
      </c>
    </row>
    <row r="252" spans="1:38" x14ac:dyDescent="0.3">
      <c r="A252" s="461" t="s">
        <v>1210</v>
      </c>
      <c r="B252" s="461" t="s">
        <v>60</v>
      </c>
      <c r="C252" s="461"/>
      <c r="D252" s="669"/>
      <c r="E252" s="669"/>
      <c r="F252" s="669"/>
      <c r="G252" s="669"/>
      <c r="H252" s="669"/>
      <c r="I252" s="669"/>
      <c r="J252" s="669"/>
      <c r="K252" s="669"/>
      <c r="L252" s="669"/>
      <c r="M252" s="669"/>
      <c r="N252" s="669"/>
      <c r="O252" s="669"/>
      <c r="P252" s="669"/>
      <c r="Q252" s="669"/>
      <c r="R252" s="669"/>
      <c r="S252" s="669"/>
      <c r="T252" s="669"/>
      <c r="U252" s="669"/>
      <c r="V252" s="669"/>
      <c r="W252" s="669"/>
      <c r="X252" s="669"/>
      <c r="Y252" s="669"/>
      <c r="Z252" s="669"/>
      <c r="AA252" s="669"/>
      <c r="AB252" s="669"/>
      <c r="AC252" s="669"/>
      <c r="AD252" s="669"/>
      <c r="AE252" s="669"/>
      <c r="AF252" s="669"/>
      <c r="AG252" s="669"/>
      <c r="AH252" s="669"/>
      <c r="AI252" s="62"/>
      <c r="AJ252" s="468">
        <f>'3a. OM_AG-i'!I252</f>
        <v>0</v>
      </c>
      <c r="AK252" s="62">
        <f t="shared" si="68"/>
        <v>0</v>
      </c>
      <c r="AL252" s="62">
        <f t="shared" si="69"/>
        <v>0</v>
      </c>
    </row>
    <row r="253" spans="1:38" x14ac:dyDescent="0.3">
      <c r="A253" s="461">
        <v>922</v>
      </c>
      <c r="B253" s="461" t="s">
        <v>729</v>
      </c>
      <c r="C253" s="461"/>
      <c r="D253" s="468">
        <f>'3a. OM_AG-i'!J253</f>
        <v>0</v>
      </c>
      <c r="E253" s="468">
        <f>$D253*'3c. OM_AG-sfaf'!E253/'3c. OM_AG-sfaf'!$D253</f>
        <v>0</v>
      </c>
      <c r="F253" s="630"/>
      <c r="G253" s="630"/>
      <c r="H253" s="630"/>
      <c r="I253" s="468">
        <f>$D253*'3c. OM_AG-sfaf'!I253/'3c. OM_AG-sfaf'!$D253</f>
        <v>0</v>
      </c>
      <c r="J253" s="468">
        <f>$D253*'3c. OM_AG-sfaf'!J253/'3c. OM_AG-sfaf'!$D253</f>
        <v>0</v>
      </c>
      <c r="K253" s="468"/>
      <c r="L253" s="468">
        <f>'3a. OM_AG-i'!K253</f>
        <v>0</v>
      </c>
      <c r="M253" s="468">
        <f>'3a. OM_AG-i'!L253</f>
        <v>0</v>
      </c>
      <c r="N253" s="468">
        <f>$M253*'3c. OM_AG-sfaf'!N253/'3c. OM_AG-sfaf'!$M253</f>
        <v>0</v>
      </c>
      <c r="O253" s="468">
        <f>$M253*'3c. OM_AG-sfaf'!O253/'3c. OM_AG-sfaf'!$M253</f>
        <v>0</v>
      </c>
      <c r="P253" s="468">
        <f>$M253*'3c. OM_AG-sfaf'!P253/'3c. OM_AG-sfaf'!$M253</f>
        <v>0</v>
      </c>
      <c r="Q253" s="468">
        <f>$M253*'3c. OM_AG-sfaf'!Q253/'3c. OM_AG-sfaf'!$M253</f>
        <v>0</v>
      </c>
      <c r="R253" s="468">
        <f>$M253*'3c. OM_AG-sfaf'!R253/'3c. OM_AG-sfaf'!$M253</f>
        <v>0</v>
      </c>
      <c r="S253" s="468">
        <f>$M253*'3c. OM_AG-sfaf'!S253/'3c. OM_AG-sfaf'!$M253</f>
        <v>0</v>
      </c>
      <c r="T253" s="468">
        <f>$M253*'3c. OM_AG-sfaf'!T253/'3c. OM_AG-sfaf'!$M253</f>
        <v>0</v>
      </c>
      <c r="U253" s="468">
        <f>$M253*'3c. OM_AG-sfaf'!U253/'3c. OM_AG-sfaf'!$M253</f>
        <v>0</v>
      </c>
      <c r="V253" s="468">
        <f>$M253*'3c. OM_AG-sfaf'!V253/'3c. OM_AG-sfaf'!$M253</f>
        <v>0</v>
      </c>
      <c r="W253" s="468">
        <f>$M253*'3c. OM_AG-sfaf'!W253/'3c. OM_AG-sfaf'!$M253</f>
        <v>0</v>
      </c>
      <c r="X253" s="468">
        <f>'3a. OM_AG-i'!M253</f>
        <v>0</v>
      </c>
      <c r="Y253" s="468">
        <f>$X253*'3c. OM_AG-sfaf'!Y253/'3c. OM_AG-sfaf'!$X253</f>
        <v>0</v>
      </c>
      <c r="Z253" s="468">
        <f>$X253*'3c. OM_AG-sfaf'!Z253/'3c. OM_AG-sfaf'!$X253</f>
        <v>0</v>
      </c>
      <c r="AA253" s="468">
        <f>'3a. OM_AG-i'!N253</f>
        <v>0</v>
      </c>
      <c r="AB253" s="468">
        <f>'3a. OM_AG-i'!O253</f>
        <v>0</v>
      </c>
      <c r="AC253" s="468">
        <f>$AB253*'3c. OM_AG-sfaf'!AC253/'3c. OM_AG-sfaf'!$AB253</f>
        <v>0</v>
      </c>
      <c r="AD253" s="468">
        <f>$AB253*'3c. OM_AG-sfaf'!AD253/'3c. OM_AG-sfaf'!$AB253</f>
        <v>0</v>
      </c>
      <c r="AE253" s="468">
        <f>$AB253*'3c. OM_AG-sfaf'!AE253/'3c. OM_AG-sfaf'!$AB253</f>
        <v>0</v>
      </c>
      <c r="AF253" s="468">
        <f>'3a. OM_AG-i'!P253</f>
        <v>0</v>
      </c>
      <c r="AG253" s="468">
        <f>$AF253*'3c. OM_AG-sfaf'!AG253/'3c. OM_AG-sfaf'!$AF253</f>
        <v>0</v>
      </c>
      <c r="AH253" s="468">
        <f>'3a. OM_AG-i'!Q253</f>
        <v>0</v>
      </c>
      <c r="AI253" s="62"/>
      <c r="AJ253" s="468">
        <f>'3a. OM_AG-i'!I253</f>
        <v>0</v>
      </c>
      <c r="AK253" s="62">
        <f t="shared" si="68"/>
        <v>0</v>
      </c>
      <c r="AL253" s="62">
        <f t="shared" si="69"/>
        <v>0</v>
      </c>
    </row>
    <row r="254" spans="1:38" x14ac:dyDescent="0.3">
      <c r="A254" s="461">
        <v>923</v>
      </c>
      <c r="B254" s="466" t="s">
        <v>731</v>
      </c>
      <c r="C254" s="484" t="s">
        <v>835</v>
      </c>
      <c r="D254" s="468">
        <f>'3a. OM_AG-i'!J254</f>
        <v>23234730.187801741</v>
      </c>
      <c r="E254" s="468">
        <f>$D254*'3c. OM_AG-sfaf'!E254/'3c. OM_AG-sfaf'!$D254</f>
        <v>15274886.379217573</v>
      </c>
      <c r="F254" s="630"/>
      <c r="G254" s="630"/>
      <c r="H254" s="630"/>
      <c r="I254" s="468">
        <f>$D254*'3c. OM_AG-sfaf'!I254/'3c. OM_AG-sfaf'!$D254</f>
        <v>7959843.8085841686</v>
      </c>
      <c r="J254" s="468">
        <f>$D254*'3c. OM_AG-sfaf'!J254/'3c. OM_AG-sfaf'!$D254</f>
        <v>0</v>
      </c>
      <c r="K254" s="468"/>
      <c r="L254" s="468">
        <f>'3a. OM_AG-i'!K254</f>
        <v>1981551.1034460422</v>
      </c>
      <c r="M254" s="468">
        <f>'3a. OM_AG-i'!L254</f>
        <v>9082228.381369194</v>
      </c>
      <c r="N254" s="468">
        <f>$M254*'3c. OM_AG-sfaf'!N254/'3c. OM_AG-sfaf'!$M254</f>
        <v>2852476.1895443094</v>
      </c>
      <c r="O254" s="468">
        <f>$M254*'3c. OM_AG-sfaf'!O254/'3c. OM_AG-sfaf'!$M254</f>
        <v>2597629.0759548354</v>
      </c>
      <c r="P254" s="468">
        <f>$M254*'3c. OM_AG-sfaf'!P254/'3c. OM_AG-sfaf'!$M254</f>
        <v>714992.4663606484</v>
      </c>
      <c r="Q254" s="468">
        <f>$M254*'3c. OM_AG-sfaf'!Q254/'3c. OM_AG-sfaf'!$M254</f>
        <v>140036.28173639256</v>
      </c>
      <c r="R254" s="468">
        <f>$M254*'3c. OM_AG-sfaf'!R254/'3c. OM_AG-sfaf'!$M254</f>
        <v>1846171.8363225204</v>
      </c>
      <c r="S254" s="468">
        <f>$M254*'3c. OM_AG-sfaf'!S254/'3c. OM_AG-sfaf'!$M254</f>
        <v>491345.73460734641</v>
      </c>
      <c r="T254" s="468">
        <f>$M254*'3c. OM_AG-sfaf'!T254/'3c. OM_AG-sfaf'!$M254</f>
        <v>153080.38636644685</v>
      </c>
      <c r="U254" s="468">
        <f>$M254*'3c. OM_AG-sfaf'!U254/'3c. OM_AG-sfaf'!$M254</f>
        <v>0</v>
      </c>
      <c r="V254" s="468">
        <f>$M254*'3c. OM_AG-sfaf'!V254/'3c. OM_AG-sfaf'!$M254</f>
        <v>257942.21112656433</v>
      </c>
      <c r="W254" s="468">
        <f>$M254*'3c. OM_AG-sfaf'!W254/'3c. OM_AG-sfaf'!$M254</f>
        <v>28554.19935013085</v>
      </c>
      <c r="X254" s="468">
        <f>'3a. OM_AG-i'!M254</f>
        <v>2055364.2986379666</v>
      </c>
      <c r="Y254" s="468">
        <f>$X254*'3c. OM_AG-sfaf'!Y254/'3c. OM_AG-sfaf'!$X254</f>
        <v>999151.74502140272</v>
      </c>
      <c r="Z254" s="468">
        <f>$X254*'3c. OM_AG-sfaf'!Z254/'3c. OM_AG-sfaf'!$X254</f>
        <v>1056212.5536165638</v>
      </c>
      <c r="AA254" s="468">
        <f>'3a. OM_AG-i'!N254</f>
        <v>582759.04869605682</v>
      </c>
      <c r="AB254" s="468">
        <f>'3a. OM_AG-i'!O254</f>
        <v>1870218.7252114399</v>
      </c>
      <c r="AC254" s="468">
        <f>$AB254*'3c. OM_AG-sfaf'!AC254/'3c. OM_AG-sfaf'!$AB254</f>
        <v>1697055.1886735251</v>
      </c>
      <c r="AD254" s="468">
        <f>$AB254*'3c. OM_AG-sfaf'!AD254/'3c. OM_AG-sfaf'!$AB254</f>
        <v>173163.53653791457</v>
      </c>
      <c r="AE254" s="468">
        <f>$AB254*'3c. OM_AG-sfaf'!AE254/'3c. OM_AG-sfaf'!$AB254</f>
        <v>0</v>
      </c>
      <c r="AF254" s="468">
        <f>'3a. OM_AG-i'!P254</f>
        <v>1155645.3048375505</v>
      </c>
      <c r="AG254" s="468">
        <f>$AF254*'3c. OM_AG-sfaf'!AG254/'3c. OM_AG-sfaf'!$AF254</f>
        <v>1155645.3048375505</v>
      </c>
      <c r="AH254" s="468">
        <f>'3a. OM_AG-i'!Q254</f>
        <v>0</v>
      </c>
      <c r="AI254" s="62"/>
      <c r="AJ254" s="468">
        <f>'3a. OM_AG-i'!I254</f>
        <v>39962497.049999997</v>
      </c>
      <c r="AK254" s="62">
        <f t="shared" si="68"/>
        <v>39962497.049999997</v>
      </c>
      <c r="AL254" s="62">
        <f t="shared" si="69"/>
        <v>0</v>
      </c>
    </row>
    <row r="255" spans="1:38" x14ac:dyDescent="0.3">
      <c r="A255" s="461" t="s">
        <v>1211</v>
      </c>
      <c r="B255" s="466" t="s">
        <v>62</v>
      </c>
      <c r="C255" s="466"/>
      <c r="D255" s="669"/>
      <c r="E255" s="669"/>
      <c r="F255" s="669"/>
      <c r="G255" s="669"/>
      <c r="H255" s="669"/>
      <c r="I255" s="669"/>
      <c r="J255" s="669"/>
      <c r="K255" s="669"/>
      <c r="L255" s="669"/>
      <c r="M255" s="669"/>
      <c r="N255" s="669"/>
      <c r="O255" s="669"/>
      <c r="P255" s="669"/>
      <c r="Q255" s="669"/>
      <c r="R255" s="669"/>
      <c r="S255" s="669"/>
      <c r="T255" s="669"/>
      <c r="U255" s="669"/>
      <c r="V255" s="669"/>
      <c r="W255" s="669"/>
      <c r="X255" s="669"/>
      <c r="Y255" s="669"/>
      <c r="Z255" s="669"/>
      <c r="AA255" s="669"/>
      <c r="AB255" s="669"/>
      <c r="AC255" s="669"/>
      <c r="AD255" s="669"/>
      <c r="AE255" s="669"/>
      <c r="AF255" s="669"/>
      <c r="AG255" s="669"/>
      <c r="AH255" s="669"/>
      <c r="AI255" s="62"/>
      <c r="AJ255" s="468">
        <f>'3a. OM_AG-i'!I255</f>
        <v>0</v>
      </c>
      <c r="AK255" s="62">
        <f t="shared" si="68"/>
        <v>0</v>
      </c>
      <c r="AL255" s="62">
        <f t="shared" si="69"/>
        <v>0</v>
      </c>
    </row>
    <row r="256" spans="1:38" x14ac:dyDescent="0.3">
      <c r="A256" s="461">
        <v>924</v>
      </c>
      <c r="B256" s="461" t="s">
        <v>1204</v>
      </c>
      <c r="C256" s="461" t="s">
        <v>835</v>
      </c>
      <c r="D256" s="669"/>
      <c r="E256" s="669"/>
      <c r="F256" s="669"/>
      <c r="G256" s="669"/>
      <c r="H256" s="669"/>
      <c r="I256" s="669"/>
      <c r="J256" s="669"/>
      <c r="K256" s="669"/>
      <c r="L256" s="669"/>
      <c r="M256" s="669"/>
      <c r="N256" s="669"/>
      <c r="O256" s="669"/>
      <c r="P256" s="669"/>
      <c r="Q256" s="669"/>
      <c r="R256" s="669"/>
      <c r="S256" s="669"/>
      <c r="T256" s="669"/>
      <c r="U256" s="669"/>
      <c r="V256" s="669"/>
      <c r="W256" s="669"/>
      <c r="X256" s="669"/>
      <c r="Y256" s="669"/>
      <c r="Z256" s="669"/>
      <c r="AA256" s="669"/>
      <c r="AB256" s="669"/>
      <c r="AC256" s="669"/>
      <c r="AD256" s="669"/>
      <c r="AE256" s="669"/>
      <c r="AF256" s="669"/>
      <c r="AG256" s="669"/>
      <c r="AH256" s="669"/>
      <c r="AI256" s="62"/>
      <c r="AJ256" s="468">
        <f>'3a. OM_AG-i'!I256</f>
        <v>0</v>
      </c>
      <c r="AK256" s="62">
        <f t="shared" si="68"/>
        <v>0</v>
      </c>
      <c r="AL256" s="62">
        <f t="shared" si="69"/>
        <v>0</v>
      </c>
    </row>
    <row r="257" spans="1:38" x14ac:dyDescent="0.3">
      <c r="A257" s="461"/>
      <c r="B257" s="461" t="s">
        <v>1203</v>
      </c>
      <c r="C257" s="461" t="s">
        <v>184</v>
      </c>
      <c r="D257" s="669"/>
      <c r="E257" s="669"/>
      <c r="F257" s="669"/>
      <c r="G257" s="669"/>
      <c r="H257" s="669"/>
      <c r="I257" s="669"/>
      <c r="J257" s="669"/>
      <c r="K257" s="669"/>
      <c r="L257" s="669"/>
      <c r="M257" s="669"/>
      <c r="N257" s="669"/>
      <c r="O257" s="669"/>
      <c r="P257" s="669"/>
      <c r="Q257" s="669"/>
      <c r="R257" s="669"/>
      <c r="S257" s="669"/>
      <c r="T257" s="669"/>
      <c r="U257" s="669"/>
      <c r="V257" s="669"/>
      <c r="W257" s="669"/>
      <c r="X257" s="669"/>
      <c r="Y257" s="669"/>
      <c r="Z257" s="669"/>
      <c r="AA257" s="669"/>
      <c r="AB257" s="669"/>
      <c r="AC257" s="669"/>
      <c r="AD257" s="669"/>
      <c r="AE257" s="669"/>
      <c r="AF257" s="669"/>
      <c r="AG257" s="669"/>
      <c r="AH257" s="669"/>
      <c r="AI257" s="62"/>
      <c r="AJ257" s="468">
        <f>'3a. OM_AG-i'!I257</f>
        <v>0</v>
      </c>
      <c r="AK257" s="62">
        <f t="shared" si="68"/>
        <v>0</v>
      </c>
      <c r="AL257" s="62">
        <f t="shared" si="69"/>
        <v>0</v>
      </c>
    </row>
    <row r="258" spans="1:38" x14ac:dyDescent="0.3">
      <c r="A258" s="461"/>
      <c r="B258" s="461" t="s">
        <v>735</v>
      </c>
      <c r="C258" s="461" t="s">
        <v>185</v>
      </c>
      <c r="D258" s="669"/>
      <c r="E258" s="669"/>
      <c r="F258" s="669"/>
      <c r="G258" s="669"/>
      <c r="H258" s="669"/>
      <c r="I258" s="669"/>
      <c r="J258" s="669"/>
      <c r="K258" s="669"/>
      <c r="L258" s="669"/>
      <c r="M258" s="669"/>
      <c r="N258" s="669"/>
      <c r="O258" s="669"/>
      <c r="P258" s="669"/>
      <c r="Q258" s="669"/>
      <c r="R258" s="669"/>
      <c r="S258" s="669"/>
      <c r="T258" s="669"/>
      <c r="U258" s="669"/>
      <c r="V258" s="669"/>
      <c r="W258" s="669"/>
      <c r="X258" s="669"/>
      <c r="Y258" s="669"/>
      <c r="Z258" s="669"/>
      <c r="AA258" s="669"/>
      <c r="AB258" s="669"/>
      <c r="AC258" s="669"/>
      <c r="AD258" s="669"/>
      <c r="AE258" s="669"/>
      <c r="AF258" s="669"/>
      <c r="AG258" s="669"/>
      <c r="AH258" s="669"/>
      <c r="AI258" s="62"/>
      <c r="AJ258" s="468">
        <f>'3a. OM_AG-i'!I258</f>
        <v>0</v>
      </c>
      <c r="AK258" s="62">
        <f t="shared" si="68"/>
        <v>0</v>
      </c>
      <c r="AL258" s="62">
        <f t="shared" si="69"/>
        <v>0</v>
      </c>
    </row>
    <row r="259" spans="1:38" x14ac:dyDescent="0.3">
      <c r="A259" s="461"/>
      <c r="B259" s="461" t="s">
        <v>736</v>
      </c>
      <c r="C259" s="461" t="s">
        <v>182</v>
      </c>
      <c r="D259" s="669"/>
      <c r="E259" s="669"/>
      <c r="F259" s="669"/>
      <c r="G259" s="669"/>
      <c r="H259" s="669"/>
      <c r="I259" s="669"/>
      <c r="J259" s="669"/>
      <c r="K259" s="669"/>
      <c r="L259" s="669"/>
      <c r="M259" s="669"/>
      <c r="N259" s="669"/>
      <c r="O259" s="669"/>
      <c r="P259" s="669"/>
      <c r="Q259" s="669"/>
      <c r="R259" s="669"/>
      <c r="S259" s="669"/>
      <c r="T259" s="669"/>
      <c r="U259" s="669"/>
      <c r="V259" s="669"/>
      <c r="W259" s="669"/>
      <c r="X259" s="669"/>
      <c r="Y259" s="669"/>
      <c r="Z259" s="669"/>
      <c r="AA259" s="669"/>
      <c r="AB259" s="669"/>
      <c r="AC259" s="669"/>
      <c r="AD259" s="669"/>
      <c r="AE259" s="669"/>
      <c r="AF259" s="669"/>
      <c r="AG259" s="669"/>
      <c r="AH259" s="669"/>
      <c r="AI259" s="62"/>
      <c r="AJ259" s="468">
        <f>'3a. OM_AG-i'!I259</f>
        <v>0</v>
      </c>
      <c r="AK259" s="62">
        <f t="shared" si="68"/>
        <v>0</v>
      </c>
      <c r="AL259" s="62">
        <f t="shared" si="69"/>
        <v>0</v>
      </c>
    </row>
    <row r="260" spans="1:38" x14ac:dyDescent="0.3">
      <c r="A260" s="461"/>
      <c r="B260" s="461" t="s">
        <v>155</v>
      </c>
      <c r="C260" s="461" t="s">
        <v>183</v>
      </c>
      <c r="D260" s="669"/>
      <c r="E260" s="669"/>
      <c r="F260" s="669"/>
      <c r="G260" s="669"/>
      <c r="H260" s="669"/>
      <c r="I260" s="669"/>
      <c r="J260" s="669"/>
      <c r="K260" s="669"/>
      <c r="L260" s="669"/>
      <c r="M260" s="669"/>
      <c r="N260" s="669"/>
      <c r="O260" s="669"/>
      <c r="P260" s="669"/>
      <c r="Q260" s="669"/>
      <c r="R260" s="669"/>
      <c r="S260" s="669"/>
      <c r="T260" s="669"/>
      <c r="U260" s="669"/>
      <c r="V260" s="669"/>
      <c r="W260" s="669"/>
      <c r="X260" s="669"/>
      <c r="Y260" s="669"/>
      <c r="Z260" s="669"/>
      <c r="AA260" s="669"/>
      <c r="AB260" s="669"/>
      <c r="AC260" s="669"/>
      <c r="AD260" s="669"/>
      <c r="AE260" s="669"/>
      <c r="AF260" s="669"/>
      <c r="AG260" s="669"/>
      <c r="AH260" s="669"/>
      <c r="AI260" s="62"/>
      <c r="AJ260" s="468">
        <f>'3a. OM_AG-i'!I260</f>
        <v>0</v>
      </c>
      <c r="AK260" s="62">
        <f t="shared" si="68"/>
        <v>0</v>
      </c>
      <c r="AL260" s="62">
        <f t="shared" si="69"/>
        <v>0</v>
      </c>
    </row>
    <row r="261" spans="1:38" x14ac:dyDescent="0.3">
      <c r="A261" s="461"/>
      <c r="B261" s="461" t="s">
        <v>737</v>
      </c>
      <c r="C261" s="461" t="s">
        <v>158</v>
      </c>
      <c r="D261" s="669"/>
      <c r="E261" s="669"/>
      <c r="F261" s="669"/>
      <c r="G261" s="669"/>
      <c r="H261" s="669"/>
      <c r="I261" s="669"/>
      <c r="J261" s="669"/>
      <c r="K261" s="669"/>
      <c r="L261" s="669"/>
      <c r="M261" s="669"/>
      <c r="N261" s="669"/>
      <c r="O261" s="669"/>
      <c r="P261" s="669"/>
      <c r="Q261" s="669"/>
      <c r="R261" s="669"/>
      <c r="S261" s="669"/>
      <c r="T261" s="669"/>
      <c r="U261" s="669"/>
      <c r="V261" s="669"/>
      <c r="W261" s="669"/>
      <c r="X261" s="669"/>
      <c r="Y261" s="669"/>
      <c r="Z261" s="669"/>
      <c r="AA261" s="669"/>
      <c r="AB261" s="669"/>
      <c r="AC261" s="669"/>
      <c r="AD261" s="669"/>
      <c r="AE261" s="669"/>
      <c r="AF261" s="669"/>
      <c r="AG261" s="669"/>
      <c r="AH261" s="669"/>
      <c r="AI261" s="62"/>
      <c r="AJ261" s="468">
        <f>'3a. OM_AG-i'!I261</f>
        <v>0</v>
      </c>
      <c r="AK261" s="62">
        <f t="shared" si="68"/>
        <v>0</v>
      </c>
      <c r="AL261" s="62">
        <f t="shared" si="69"/>
        <v>0</v>
      </c>
    </row>
    <row r="262" spans="1:38" x14ac:dyDescent="0.3">
      <c r="A262" s="461"/>
      <c r="B262" s="474" t="s">
        <v>738</v>
      </c>
      <c r="C262" s="474"/>
      <c r="D262" s="695">
        <v>4009443.61</v>
      </c>
      <c r="E262" s="695">
        <v>4009443.61</v>
      </c>
      <c r="F262" s="695"/>
      <c r="G262" s="695"/>
      <c r="H262" s="695"/>
      <c r="I262" s="695">
        <v>0</v>
      </c>
      <c r="J262" s="695"/>
      <c r="K262" s="695"/>
      <c r="L262" s="695">
        <v>200970.12</v>
      </c>
      <c r="M262" s="695">
        <v>289559.2</v>
      </c>
      <c r="N262" s="695">
        <v>45871.848337197203</v>
      </c>
      <c r="O262" s="695">
        <v>82422.008750893539</v>
      </c>
      <c r="P262" s="695">
        <v>22009.679031724372</v>
      </c>
      <c r="Q262" s="695">
        <v>24064.045700665509</v>
      </c>
      <c r="R262" s="695">
        <v>45172.156822558165</v>
      </c>
      <c r="S262" s="695">
        <v>11123.798299882268</v>
      </c>
      <c r="T262" s="695">
        <v>26305.564298915426</v>
      </c>
      <c r="U262" s="695">
        <v>17788.083004328451</v>
      </c>
      <c r="V262" s="695">
        <v>14802.015753835072</v>
      </c>
      <c r="W262" s="695">
        <v>0</v>
      </c>
      <c r="X262" s="695">
        <v>0</v>
      </c>
      <c r="Y262" s="695">
        <v>0</v>
      </c>
      <c r="Z262" s="695">
        <v>0</v>
      </c>
      <c r="AA262" s="695">
        <v>0</v>
      </c>
      <c r="AB262" s="695">
        <v>0</v>
      </c>
      <c r="AC262" s="695">
        <v>0</v>
      </c>
      <c r="AD262" s="695">
        <v>0</v>
      </c>
      <c r="AE262" s="695">
        <v>0</v>
      </c>
      <c r="AF262" s="695">
        <v>8142.72</v>
      </c>
      <c r="AG262" s="695">
        <v>8142.72</v>
      </c>
      <c r="AH262" s="695">
        <v>0</v>
      </c>
      <c r="AI262" s="62"/>
      <c r="AJ262" s="468">
        <f>'3a. OM_AG-i'!I262</f>
        <v>4508115.6500000004</v>
      </c>
      <c r="AK262" s="62">
        <f t="shared" si="68"/>
        <v>4508115.6499999994</v>
      </c>
      <c r="AL262" s="62">
        <f t="shared" si="69"/>
        <v>0</v>
      </c>
    </row>
    <row r="263" spans="1:38" x14ac:dyDescent="0.3">
      <c r="A263" s="461">
        <v>925</v>
      </c>
      <c r="B263" s="461" t="s">
        <v>740</v>
      </c>
      <c r="C263" s="461" t="s">
        <v>835</v>
      </c>
      <c r="D263" s="468">
        <f>'3a. OM_AG-i'!J263</f>
        <v>1471702.95</v>
      </c>
      <c r="E263" s="468">
        <f>$D263*'3c. OM_AG-sfaf'!E263/'3c. OM_AG-sfaf'!$D263</f>
        <v>967521.25647714187</v>
      </c>
      <c r="F263" s="630"/>
      <c r="G263" s="630"/>
      <c r="H263" s="630"/>
      <c r="I263" s="468">
        <f>$D263*'3c. OM_AG-sfaf'!I263/'3c. OM_AG-sfaf'!$D263</f>
        <v>504181.69352285803</v>
      </c>
      <c r="J263" s="468">
        <f>$D263*'3c. OM_AG-sfaf'!J263/'3c. OM_AG-sfaf'!$D263</f>
        <v>0</v>
      </c>
      <c r="K263" s="468"/>
      <c r="L263" s="468">
        <f>'3a. OM_AG-i'!K263</f>
        <v>1067641.1599999999</v>
      </c>
      <c r="M263" s="468">
        <f>'3a. OM_AG-i'!L263</f>
        <v>3399583.25</v>
      </c>
      <c r="N263" s="468">
        <f>$M263*'3c. OM_AG-sfaf'!N263/'3c. OM_AG-sfaf'!$M263</f>
        <v>1067714.8677400635</v>
      </c>
      <c r="O263" s="468">
        <f>$M263*'3c. OM_AG-sfaf'!O263/'3c. OM_AG-sfaf'!$M263</f>
        <v>972322.64214410086</v>
      </c>
      <c r="P263" s="468">
        <f>$M263*'3c. OM_AG-sfaf'!P263/'3c. OM_AG-sfaf'!$M263</f>
        <v>267629.9593502857</v>
      </c>
      <c r="Q263" s="468">
        <f>$M263*'3c. OM_AG-sfaf'!Q263/'3c. OM_AG-sfaf'!$M263</f>
        <v>52417.201791566462</v>
      </c>
      <c r="R263" s="468">
        <f>$M263*'3c. OM_AG-sfaf'!R263/'3c. OM_AG-sfaf'!$M263</f>
        <v>691043.49591764063</v>
      </c>
      <c r="S263" s="468">
        <f>$M263*'3c. OM_AG-sfaf'!S263/'3c. OM_AG-sfaf'!$M263</f>
        <v>183916.39795764122</v>
      </c>
      <c r="T263" s="468">
        <f>$M263*'3c. OM_AG-sfaf'!T263/'3c. OM_AG-sfaf'!$M263</f>
        <v>57299.761197641965</v>
      </c>
      <c r="U263" s="468">
        <f>$M263*'3c. OM_AG-sfaf'!U263/'3c. OM_AG-sfaf'!$M263</f>
        <v>0</v>
      </c>
      <c r="V263" s="468">
        <f>$M263*'3c. OM_AG-sfaf'!V263/'3c. OM_AG-sfaf'!$M263</f>
        <v>96550.756443501275</v>
      </c>
      <c r="W263" s="468">
        <f>$M263*'3c. OM_AG-sfaf'!W263/'3c. OM_AG-sfaf'!$M263</f>
        <v>10688.167457558642</v>
      </c>
      <c r="X263" s="468">
        <f>'3a. OM_AG-i'!M263</f>
        <v>0</v>
      </c>
      <c r="Y263" s="468">
        <f>$X263*'3c. OM_AG-sfaf'!Y263/'3c. OM_AG-sfaf'!$X263</f>
        <v>0</v>
      </c>
      <c r="Z263" s="468">
        <f>$X263*'3c. OM_AG-sfaf'!Z263/'3c. OM_AG-sfaf'!$X263</f>
        <v>0</v>
      </c>
      <c r="AA263" s="468">
        <f>'3a. OM_AG-i'!N263</f>
        <v>0</v>
      </c>
      <c r="AB263" s="468">
        <f>'3a. OM_AG-i'!O263</f>
        <v>0</v>
      </c>
      <c r="AC263" s="468">
        <f>$AB263*'3c. OM_AG-sfaf'!AC263/'3c. OM_AG-sfaf'!$AB263</f>
        <v>0</v>
      </c>
      <c r="AD263" s="468">
        <f>$AB263*'3c. OM_AG-sfaf'!AD263/'3c. OM_AG-sfaf'!$AB263</f>
        <v>0</v>
      </c>
      <c r="AE263" s="468">
        <f>$AB263*'3c. OM_AG-sfaf'!AE263/'3c. OM_AG-sfaf'!$AB263</f>
        <v>0</v>
      </c>
      <c r="AF263" s="468">
        <f>'3a. OM_AG-i'!P263</f>
        <v>208433.8</v>
      </c>
      <c r="AG263" s="468">
        <f>$AF263*'3c. OM_AG-sfaf'!AG263/'3c. OM_AG-sfaf'!$AF263</f>
        <v>208433.8</v>
      </c>
      <c r="AH263" s="468">
        <f>'3a. OM_AG-i'!Q263</f>
        <v>0</v>
      </c>
      <c r="AI263" s="62"/>
      <c r="AJ263" s="468">
        <f>'3a. OM_AG-i'!I263</f>
        <v>6147361.1599999983</v>
      </c>
      <c r="AK263" s="62">
        <f t="shared" si="68"/>
        <v>6147361.1600000011</v>
      </c>
      <c r="AL263" s="62">
        <f t="shared" si="69"/>
        <v>0</v>
      </c>
    </row>
    <row r="264" spans="1:38" x14ac:dyDescent="0.3">
      <c r="A264" s="461" t="s">
        <v>1212</v>
      </c>
      <c r="B264" s="461" t="s">
        <v>64</v>
      </c>
      <c r="C264" s="461"/>
      <c r="D264" s="669"/>
      <c r="E264" s="669"/>
      <c r="F264" s="669"/>
      <c r="G264" s="669"/>
      <c r="H264" s="669"/>
      <c r="I264" s="669"/>
      <c r="J264" s="669"/>
      <c r="K264" s="669"/>
      <c r="L264" s="669"/>
      <c r="M264" s="669"/>
      <c r="N264" s="669"/>
      <c r="O264" s="669"/>
      <c r="P264" s="669"/>
      <c r="Q264" s="669"/>
      <c r="R264" s="669"/>
      <c r="S264" s="669"/>
      <c r="T264" s="669"/>
      <c r="U264" s="669"/>
      <c r="V264" s="669"/>
      <c r="W264" s="669"/>
      <c r="X264" s="669"/>
      <c r="Y264" s="669"/>
      <c r="Z264" s="669"/>
      <c r="AA264" s="669"/>
      <c r="AB264" s="669"/>
      <c r="AC264" s="669"/>
      <c r="AD264" s="669"/>
      <c r="AE264" s="669"/>
      <c r="AF264" s="669"/>
      <c r="AG264" s="669"/>
      <c r="AH264" s="669"/>
      <c r="AI264" s="62"/>
      <c r="AJ264" s="468">
        <f>'3a. OM_AG-i'!I264</f>
        <v>0</v>
      </c>
      <c r="AK264" s="62">
        <f t="shared" si="68"/>
        <v>0</v>
      </c>
      <c r="AL264" s="62">
        <f t="shared" si="69"/>
        <v>0</v>
      </c>
    </row>
    <row r="265" spans="1:38" x14ac:dyDescent="0.3">
      <c r="A265" s="461">
        <v>926</v>
      </c>
      <c r="B265" s="461" t="s">
        <v>742</v>
      </c>
      <c r="C265" s="461" t="s">
        <v>835</v>
      </c>
      <c r="D265" s="468">
        <f>'3a. OM_AG-i'!J265</f>
        <v>9362850.0600000005</v>
      </c>
      <c r="E265" s="468">
        <f>$D265*'3c. OM_AG-sfaf'!E265/'3c. OM_AG-sfaf'!$D265</f>
        <v>6155288.6431723768</v>
      </c>
      <c r="F265" s="630"/>
      <c r="G265" s="630"/>
      <c r="H265" s="630"/>
      <c r="I265" s="468">
        <f>$D265*'3c. OM_AG-sfaf'!I265/'3c. OM_AG-sfaf'!$D265</f>
        <v>3207561.4168276237</v>
      </c>
      <c r="J265" s="468">
        <f>$D265*'3c. OM_AG-sfaf'!J265/'3c. OM_AG-sfaf'!$D265</f>
        <v>0</v>
      </c>
      <c r="K265" s="468"/>
      <c r="L265" s="468">
        <f>'3a. OM_AG-i'!K265</f>
        <v>1565138.75</v>
      </c>
      <c r="M265" s="468">
        <f>'3a. OM_AG-i'!L265</f>
        <v>10868845.789999999</v>
      </c>
      <c r="N265" s="468">
        <f>$M265*'3c. OM_AG-sfaf'!N265/'3c. OM_AG-sfaf'!$M265</f>
        <v>3413603.1953790202</v>
      </c>
      <c r="O265" s="468">
        <f>$M265*'3c. OM_AG-sfaf'!O265/'3c. OM_AG-sfaf'!$M265</f>
        <v>3108623.6395562859</v>
      </c>
      <c r="P265" s="468">
        <f>$M265*'3c. OM_AG-sfaf'!P265/'3c. OM_AG-sfaf'!$M265</f>
        <v>855642.74884641333</v>
      </c>
      <c r="Q265" s="468">
        <f>$M265*'3c. OM_AG-sfaf'!Q265/'3c. OM_AG-sfaf'!$M265</f>
        <v>167583.62455628865</v>
      </c>
      <c r="R265" s="468">
        <f>$M265*'3c. OM_AG-sfaf'!R265/'3c. OM_AG-sfaf'!$M265</f>
        <v>2209342.9220512044</v>
      </c>
      <c r="S265" s="468">
        <f>$M265*'3c. OM_AG-sfaf'!S265/'3c. OM_AG-sfaf'!$M265</f>
        <v>588001.18151360843</v>
      </c>
      <c r="T265" s="468">
        <f>$M265*'3c. OM_AG-sfaf'!T265/'3c. OM_AG-sfaf'!$M265</f>
        <v>183193.7100704906</v>
      </c>
      <c r="U265" s="468">
        <f>$M265*'3c. OM_AG-sfaf'!U265/'3c. OM_AG-sfaf'!$M265</f>
        <v>0</v>
      </c>
      <c r="V265" s="468">
        <f>$M265*'3c. OM_AG-sfaf'!V265/'3c. OM_AG-sfaf'!$M265</f>
        <v>308683.50780710077</v>
      </c>
      <c r="W265" s="468">
        <f>$M265*'3c. OM_AG-sfaf'!W265/'3c. OM_AG-sfaf'!$M265</f>
        <v>34171.260219587573</v>
      </c>
      <c r="X265" s="468">
        <f>'3a. OM_AG-i'!M265</f>
        <v>0</v>
      </c>
      <c r="Y265" s="468">
        <f>$X265*'3c. OM_AG-sfaf'!Y265/'3c. OM_AG-sfaf'!$X265</f>
        <v>0</v>
      </c>
      <c r="Z265" s="468">
        <f>$X265*'3c. OM_AG-sfaf'!Z265/'3c. OM_AG-sfaf'!$X265</f>
        <v>0</v>
      </c>
      <c r="AA265" s="468">
        <f>'3a. OM_AG-i'!N265</f>
        <v>0</v>
      </c>
      <c r="AB265" s="468">
        <f>'3a. OM_AG-i'!O265</f>
        <v>0</v>
      </c>
      <c r="AC265" s="468">
        <f>$AB265*'3c. OM_AG-sfaf'!AC265/'3c. OM_AG-sfaf'!$AB265</f>
        <v>0</v>
      </c>
      <c r="AD265" s="468">
        <f>$AB265*'3c. OM_AG-sfaf'!AD265/'3c. OM_AG-sfaf'!$AB265</f>
        <v>0</v>
      </c>
      <c r="AE265" s="468">
        <f>$AB265*'3c. OM_AG-sfaf'!AE265/'3c. OM_AG-sfaf'!$AB265</f>
        <v>0</v>
      </c>
      <c r="AF265" s="468">
        <f>'3a. OM_AG-i'!P265</f>
        <v>946252.07</v>
      </c>
      <c r="AG265" s="468">
        <f>$AF265*'3c. OM_AG-sfaf'!AG265/'3c. OM_AG-sfaf'!$AF265</f>
        <v>946252.07</v>
      </c>
      <c r="AH265" s="468">
        <f>'3a. OM_AG-i'!Q265</f>
        <v>-7486.1</v>
      </c>
      <c r="AI265" s="62"/>
      <c r="AJ265" s="468">
        <f>'3a. OM_AG-i'!I265</f>
        <v>22735600.57</v>
      </c>
      <c r="AK265" s="62">
        <f t="shared" si="68"/>
        <v>22735600.569999997</v>
      </c>
      <c r="AL265" s="62">
        <f t="shared" si="69"/>
        <v>0</v>
      </c>
    </row>
    <row r="266" spans="1:38" x14ac:dyDescent="0.3">
      <c r="A266" s="461" t="s">
        <v>1213</v>
      </c>
      <c r="B266" s="461" t="s">
        <v>66</v>
      </c>
      <c r="C266" s="461"/>
      <c r="D266" s="669"/>
      <c r="E266" s="669"/>
      <c r="F266" s="669"/>
      <c r="G266" s="669"/>
      <c r="H266" s="669"/>
      <c r="I266" s="669"/>
      <c r="J266" s="669"/>
      <c r="K266" s="669"/>
      <c r="L266" s="669"/>
      <c r="M266" s="669"/>
      <c r="N266" s="669"/>
      <c r="O266" s="669"/>
      <c r="P266" s="669"/>
      <c r="Q266" s="669"/>
      <c r="R266" s="669"/>
      <c r="S266" s="669"/>
      <c r="T266" s="669"/>
      <c r="U266" s="669"/>
      <c r="V266" s="669"/>
      <c r="W266" s="669"/>
      <c r="X266" s="669"/>
      <c r="Y266" s="669"/>
      <c r="Z266" s="669"/>
      <c r="AA266" s="669"/>
      <c r="AB266" s="669"/>
      <c r="AC266" s="669"/>
      <c r="AD266" s="669"/>
      <c r="AE266" s="669"/>
      <c r="AF266" s="669"/>
      <c r="AG266" s="669"/>
      <c r="AH266" s="669"/>
      <c r="AI266" s="62"/>
      <c r="AJ266" s="468">
        <f>'3a. OM_AG-i'!I266</f>
        <v>0</v>
      </c>
      <c r="AK266" s="62">
        <f t="shared" si="68"/>
        <v>0</v>
      </c>
      <c r="AL266" s="62">
        <f t="shared" si="69"/>
        <v>0</v>
      </c>
    </row>
    <row r="267" spans="1:38" x14ac:dyDescent="0.3">
      <c r="A267" s="461">
        <v>927</v>
      </c>
      <c r="B267" s="461" t="s">
        <v>744</v>
      </c>
      <c r="C267" s="461" t="s">
        <v>835</v>
      </c>
      <c r="D267" s="468">
        <f>'3a. OM_AG-i'!J267</f>
        <v>0</v>
      </c>
      <c r="E267" s="468"/>
      <c r="F267" s="630"/>
      <c r="G267" s="630"/>
      <c r="H267" s="630"/>
      <c r="I267" s="468"/>
      <c r="J267" s="468"/>
      <c r="K267" s="468"/>
      <c r="L267" s="468">
        <f>'3a. OM_AG-i'!K267</f>
        <v>0</v>
      </c>
      <c r="M267" s="468">
        <f>'3a. OM_AG-i'!L267</f>
        <v>8684832.5800000001</v>
      </c>
      <c r="N267" s="468">
        <f>$M267*'3c. OM_AG-sfaf'!N267/'3c. OM_AG-sfaf'!$M267</f>
        <v>2727665.1835189783</v>
      </c>
      <c r="O267" s="468">
        <f>$M267*'3c. OM_AG-sfaf'!O267/'3c. OM_AG-sfaf'!$M267</f>
        <v>2483968.9867176423</v>
      </c>
      <c r="P267" s="468">
        <f>$M267*'3c. OM_AG-sfaf'!P267/'3c. OM_AG-sfaf'!$M267</f>
        <v>683707.74280919204</v>
      </c>
      <c r="Q267" s="468">
        <f>$M267*'3c. OM_AG-sfaf'!Q267/'3c. OM_AG-sfaf'!$M267</f>
        <v>133908.94953722073</v>
      </c>
      <c r="R267" s="468">
        <f>$M267*'3c. OM_AG-sfaf'!R267/'3c. OM_AG-sfaf'!$M267</f>
        <v>1765391.9984288139</v>
      </c>
      <c r="S267" s="468">
        <f>$M267*'3c. OM_AG-sfaf'!S267/'3c. OM_AG-sfaf'!$M267</f>
        <v>469846.74517935916</v>
      </c>
      <c r="T267" s="468">
        <f>$M267*'3c. OM_AG-sfaf'!T267/'3c. OM_AG-sfaf'!$M267</f>
        <v>146382.30520623396</v>
      </c>
      <c r="U267" s="468">
        <f>$M267*'3c. OM_AG-sfaf'!U267/'3c. OM_AG-sfaf'!$M267</f>
        <v>0</v>
      </c>
      <c r="V267" s="468">
        <f>$M267*'3c. OM_AG-sfaf'!V267/'3c. OM_AG-sfaf'!$M267</f>
        <v>246655.8673579077</v>
      </c>
      <c r="W267" s="468">
        <f>$M267*'3c. OM_AG-sfaf'!W267/'3c. OM_AG-sfaf'!$M267</f>
        <v>27304.801244652877</v>
      </c>
      <c r="X267" s="468">
        <f>'3a. OM_AG-i'!M267</f>
        <v>0</v>
      </c>
      <c r="Y267" s="468">
        <f>$X267*'3c. OM_AG-sfaf'!Y267/'3c. OM_AG-sfaf'!$X267</f>
        <v>0</v>
      </c>
      <c r="Z267" s="468">
        <f>$X267*'3c. OM_AG-sfaf'!Z267/'3c. OM_AG-sfaf'!$X267</f>
        <v>0</v>
      </c>
      <c r="AA267" s="468">
        <f>'3a. OM_AG-i'!N267</f>
        <v>0</v>
      </c>
      <c r="AB267" s="468">
        <f>'3a. OM_AG-i'!O267</f>
        <v>0</v>
      </c>
      <c r="AC267" s="468"/>
      <c r="AD267" s="468"/>
      <c r="AE267" s="468"/>
      <c r="AF267" s="468">
        <f>'3a. OM_AG-i'!P267</f>
        <v>0</v>
      </c>
      <c r="AG267" s="468">
        <f>$AF267*'3c. OM_AG-sfaf'!AG267/'3c. OM_AG-sfaf'!$AF267</f>
        <v>0</v>
      </c>
      <c r="AH267" s="468">
        <f>'3a. OM_AG-i'!Q267</f>
        <v>0</v>
      </c>
      <c r="AI267" s="62"/>
      <c r="AJ267" s="468">
        <f>'3a. OM_AG-i'!I267</f>
        <v>8684832.5800000001</v>
      </c>
      <c r="AK267" s="62">
        <f t="shared" si="68"/>
        <v>8684832.5800000019</v>
      </c>
      <c r="AL267" s="62">
        <f t="shared" si="69"/>
        <v>0</v>
      </c>
    </row>
    <row r="268" spans="1:38" x14ac:dyDescent="0.3">
      <c r="A268" s="461">
        <v>928</v>
      </c>
      <c r="B268" s="466" t="s">
        <v>746</v>
      </c>
      <c r="C268" s="466"/>
      <c r="D268" s="468">
        <f>'3a. OM_AG-i'!J268</f>
        <v>0</v>
      </c>
      <c r="E268" s="468"/>
      <c r="F268" s="630"/>
      <c r="G268" s="630"/>
      <c r="H268" s="630"/>
      <c r="I268" s="468"/>
      <c r="J268" s="468"/>
      <c r="K268" s="468"/>
      <c r="L268" s="468">
        <f>'3a. OM_AG-i'!K268</f>
        <v>0</v>
      </c>
      <c r="M268" s="468">
        <f>'3a. OM_AG-i'!L268</f>
        <v>0</v>
      </c>
      <c r="N268" s="468"/>
      <c r="O268" s="468"/>
      <c r="P268" s="468"/>
      <c r="Q268" s="468"/>
      <c r="R268" s="468"/>
      <c r="S268" s="468"/>
      <c r="T268" s="468"/>
      <c r="U268" s="468"/>
      <c r="V268" s="468"/>
      <c r="W268" s="468"/>
      <c r="X268" s="468">
        <f>'3a. OM_AG-i'!M268</f>
        <v>0</v>
      </c>
      <c r="Y268" s="468">
        <f>$X268*'3c. OM_AG-sfaf'!Y268/'3c. OM_AG-sfaf'!$X268</f>
        <v>0</v>
      </c>
      <c r="Z268" s="468">
        <f>$X268*'3c. OM_AG-sfaf'!Z268/'3c. OM_AG-sfaf'!$X268</f>
        <v>0</v>
      </c>
      <c r="AA268" s="468">
        <f>'3a. OM_AG-i'!N268</f>
        <v>0</v>
      </c>
      <c r="AB268" s="468">
        <f>'3a. OM_AG-i'!O268</f>
        <v>0</v>
      </c>
      <c r="AC268" s="468"/>
      <c r="AD268" s="468"/>
      <c r="AE268" s="468"/>
      <c r="AF268" s="468">
        <f>'3a. OM_AG-i'!P268</f>
        <v>0</v>
      </c>
      <c r="AG268" s="468">
        <f>$AF268*'3c. OM_AG-sfaf'!AG268/'3c. OM_AG-sfaf'!$AF268</f>
        <v>0</v>
      </c>
      <c r="AH268" s="468">
        <f>'3a. OM_AG-i'!Q268</f>
        <v>0</v>
      </c>
      <c r="AI268" s="62"/>
      <c r="AJ268" s="468">
        <f>'3a. OM_AG-i'!I268</f>
        <v>0</v>
      </c>
      <c r="AK268" s="62">
        <f t="shared" si="68"/>
        <v>0</v>
      </c>
      <c r="AL268" s="62">
        <f t="shared" si="69"/>
        <v>0</v>
      </c>
    </row>
    <row r="269" spans="1:38" x14ac:dyDescent="0.3">
      <c r="A269" s="461">
        <v>929</v>
      </c>
      <c r="B269" s="484" t="s">
        <v>748</v>
      </c>
      <c r="C269" s="484" t="s">
        <v>546</v>
      </c>
      <c r="D269" s="468">
        <f>'3a. OM_AG-i'!J269</f>
        <v>-2456869.41</v>
      </c>
      <c r="E269" s="468">
        <f>$D269*'3c. OM_AG-sfaf'!E269/'3c. OM_AG-sfaf'!$D269</f>
        <v>-1615185.5770646206</v>
      </c>
      <c r="F269" s="630"/>
      <c r="G269" s="630"/>
      <c r="H269" s="630"/>
      <c r="I269" s="468">
        <f>$D269*'3c. OM_AG-sfaf'!I269/'3c. OM_AG-sfaf'!$D269</f>
        <v>-841683.83293537959</v>
      </c>
      <c r="J269" s="468">
        <f>$D269*'3c. OM_AG-sfaf'!J269/'3c. OM_AG-sfaf'!$D269</f>
        <v>0</v>
      </c>
      <c r="K269" s="468"/>
      <c r="L269" s="468">
        <f>'3a. OM_AG-i'!K269</f>
        <v>0</v>
      </c>
      <c r="M269" s="468">
        <f>'3a. OM_AG-i'!L269</f>
        <v>-494341.27</v>
      </c>
      <c r="N269" s="468">
        <f>$M269*'3c. OM_AG-sfaf'!N269/'3c. OM_AG-sfaf'!$M269</f>
        <v>-155258.89054680601</v>
      </c>
      <c r="O269" s="468">
        <f>$M269*'3c. OM_AG-sfaf'!O269/'3c. OM_AG-sfaf'!$M269</f>
        <v>-141387.68620161616</v>
      </c>
      <c r="P269" s="468">
        <f>$M269*'3c. OM_AG-sfaf'!P269/'3c. OM_AG-sfaf'!$M269</f>
        <v>-38916.691919595913</v>
      </c>
      <c r="Q269" s="468">
        <f>$M269*'3c. OM_AG-sfaf'!Q269/'3c. OM_AG-sfaf'!$M269</f>
        <v>-7622.1066518930638</v>
      </c>
      <c r="R269" s="468">
        <f>$M269*'3c. OM_AG-sfaf'!R269/'3c. OM_AG-sfaf'!$M269</f>
        <v>-100486.23442216522</v>
      </c>
      <c r="S269" s="468">
        <f>$M269*'3c. OM_AG-sfaf'!S269/'3c. OM_AG-sfaf'!$M269</f>
        <v>-26743.709170883154</v>
      </c>
      <c r="T269" s="468">
        <f>$M269*'3c. OM_AG-sfaf'!T269/'3c. OM_AG-sfaf'!$M269</f>
        <v>-8332.0909176555833</v>
      </c>
      <c r="U269" s="468">
        <f>$M269*'3c. OM_AG-sfaf'!U269/'3c. OM_AG-sfaf'!$M269</f>
        <v>0</v>
      </c>
      <c r="V269" s="468">
        <f>$M269*'3c. OM_AG-sfaf'!V269/'3c. OM_AG-sfaf'!$M269</f>
        <v>-14039.668997587012</v>
      </c>
      <c r="W269" s="468">
        <f>$M269*'3c. OM_AG-sfaf'!W269/'3c. OM_AG-sfaf'!$M269</f>
        <v>-1554.1911717979581</v>
      </c>
      <c r="X269" s="468">
        <f>'3a. OM_AG-i'!M269</f>
        <v>0</v>
      </c>
      <c r="Y269" s="468">
        <f>$X269*'3c. OM_AG-sfaf'!Y269/'3c. OM_AG-sfaf'!$X269</f>
        <v>0</v>
      </c>
      <c r="Z269" s="468">
        <f>$X269*'3c. OM_AG-sfaf'!Z269/'3c. OM_AG-sfaf'!$X269</f>
        <v>0</v>
      </c>
      <c r="AA269" s="468">
        <f>'3a. OM_AG-i'!N269</f>
        <v>0</v>
      </c>
      <c r="AB269" s="468">
        <f>'3a. OM_AG-i'!O269</f>
        <v>0</v>
      </c>
      <c r="AC269" s="468"/>
      <c r="AD269" s="468"/>
      <c r="AE269" s="468"/>
      <c r="AF269" s="468">
        <f>'3a. OM_AG-i'!P269</f>
        <v>-190070.77</v>
      </c>
      <c r="AG269" s="468">
        <f>$AF269*'3c. OM_AG-sfaf'!AG269/'3c. OM_AG-sfaf'!$AF269</f>
        <v>-190070.77</v>
      </c>
      <c r="AH269" s="468">
        <f>'3a. OM_AG-i'!Q269</f>
        <v>0</v>
      </c>
      <c r="AI269" s="62"/>
      <c r="AJ269" s="468">
        <f>'3a. OM_AG-i'!I269</f>
        <v>-3141281.45</v>
      </c>
      <c r="AK269" s="62">
        <f t="shared" si="68"/>
        <v>-3141281.4500000007</v>
      </c>
      <c r="AL269" s="62">
        <f t="shared" si="69"/>
        <v>0</v>
      </c>
    </row>
    <row r="270" spans="1:38" x14ac:dyDescent="0.3">
      <c r="A270" s="466">
        <v>930</v>
      </c>
      <c r="B270" s="461" t="s">
        <v>750</v>
      </c>
      <c r="C270" s="461" t="s">
        <v>835</v>
      </c>
      <c r="D270" s="468">
        <f>'3a. OM_AG-i'!J270</f>
        <v>4184044.5029283217</v>
      </c>
      <c r="E270" s="468">
        <f>$D270*'3c. OM_AG-sfaf'!E270/'3c. OM_AG-sfaf'!$D270</f>
        <v>2750658.3408217593</v>
      </c>
      <c r="F270" s="630"/>
      <c r="G270" s="630"/>
      <c r="H270" s="630"/>
      <c r="I270" s="468">
        <f>$D270*'3c. OM_AG-sfaf'!I270/'3c. OM_AG-sfaf'!$D270</f>
        <v>1433386.1621065624</v>
      </c>
      <c r="J270" s="468">
        <f>$D270*'3c. OM_AG-sfaf'!J270/'3c. OM_AG-sfaf'!$D270</f>
        <v>0</v>
      </c>
      <c r="K270" s="468"/>
      <c r="L270" s="468">
        <f>'3a. OM_AG-i'!K270</f>
        <v>1425722.5491650288</v>
      </c>
      <c r="M270" s="468">
        <f>'3a. OM_AG-i'!L270</f>
        <v>5875547.9457149077</v>
      </c>
      <c r="N270" s="468">
        <f>$M270*'3c. OM_AG-sfaf'!N270/'3c. OM_AG-sfaf'!$M270</f>
        <v>1845346.7488285203</v>
      </c>
      <c r="O270" s="468">
        <f>$M270*'3c. OM_AG-sfaf'!O270/'3c. OM_AG-sfaf'!$M270</f>
        <v>1680479.0124265566</v>
      </c>
      <c r="P270" s="468">
        <f>$M270*'3c. OM_AG-sfaf'!P270/'3c. OM_AG-sfaf'!$M270</f>
        <v>462548.65441884258</v>
      </c>
      <c r="Q270" s="468">
        <f>$M270*'3c. OM_AG-sfaf'!Q270/'3c. OM_AG-sfaf'!$M270</f>
        <v>90593.393265648687</v>
      </c>
      <c r="R270" s="468">
        <f>$M270*'3c. OM_AG-sfaf'!R270/'3c. OM_AG-sfaf'!$M270</f>
        <v>1194340.2747494245</v>
      </c>
      <c r="S270" s="468">
        <f>$M270*'3c. OM_AG-sfaf'!S270/'3c. OM_AG-sfaf'!$M270</f>
        <v>317865.31899264542</v>
      </c>
      <c r="T270" s="468">
        <f>$M270*'3c. OM_AG-sfaf'!T270/'3c. OM_AG-sfaf'!$M270</f>
        <v>99031.989934283862</v>
      </c>
      <c r="U270" s="468">
        <f>$M270*'3c. OM_AG-sfaf'!U270/'3c. OM_AG-sfaf'!$M270</f>
        <v>0</v>
      </c>
      <c r="V270" s="468">
        <f>$M270*'3c. OM_AG-sfaf'!V270/'3c. OM_AG-sfaf'!$M270</f>
        <v>166870.04169667981</v>
      </c>
      <c r="W270" s="468">
        <f>$M270*'3c. OM_AG-sfaf'!W270/'3c. OM_AG-sfaf'!$M270</f>
        <v>18472.511402306627</v>
      </c>
      <c r="X270" s="468">
        <f>'3a. OM_AG-i'!M270</f>
        <v>511274.19148000842</v>
      </c>
      <c r="Y270" s="468">
        <f>$X270*'3c. OM_AG-sfaf'!Y270/'3c. OM_AG-sfaf'!$X270</f>
        <v>248540.12543673019</v>
      </c>
      <c r="Z270" s="468">
        <f>$X270*'3c. OM_AG-sfaf'!Z270/'3c. OM_AG-sfaf'!$X270</f>
        <v>262734.0660432782</v>
      </c>
      <c r="AA270" s="468">
        <f>'3a. OM_AG-i'!N270</f>
        <v>194336.3120347228</v>
      </c>
      <c r="AB270" s="468">
        <f>'3a. OM_AG-i'!O270</f>
        <v>579564.94742380141</v>
      </c>
      <c r="AC270" s="468">
        <f>$AB270*'3c. OM_AG-sfaf'!AC270/'3c. OM_AG-sfaf'!$AB270</f>
        <v>525903.03366129764</v>
      </c>
      <c r="AD270" s="468">
        <f>$AB270*'3c. OM_AG-sfaf'!AD270/'3c. OM_AG-sfaf'!$AB270</f>
        <v>53661.91376250374</v>
      </c>
      <c r="AE270" s="468">
        <f>$AB270*'3c. OM_AG-sfaf'!AE270/'3c. OM_AG-sfaf'!$AB270</f>
        <v>0</v>
      </c>
      <c r="AF270" s="468">
        <f>'3a. OM_AG-i'!P270</f>
        <v>321425.16125321056</v>
      </c>
      <c r="AG270" s="468">
        <f>$AF270*'3c. OM_AG-sfaf'!AG270/'3c. OM_AG-sfaf'!$AF270</f>
        <v>321425.16125321056</v>
      </c>
      <c r="AH270" s="468">
        <f>'3a. OM_AG-i'!Q270</f>
        <v>0</v>
      </c>
      <c r="AI270" s="62"/>
      <c r="AJ270" s="468">
        <f>'3a. OM_AG-i'!I270</f>
        <v>13091915.609999999</v>
      </c>
      <c r="AK270" s="62">
        <f t="shared" si="68"/>
        <v>13091915.610000003</v>
      </c>
      <c r="AL270" s="62">
        <f t="shared" si="69"/>
        <v>0</v>
      </c>
    </row>
    <row r="271" spans="1:38" x14ac:dyDescent="0.3">
      <c r="A271" s="484" t="s">
        <v>1214</v>
      </c>
      <c r="B271" s="461" t="s">
        <v>68</v>
      </c>
      <c r="C271" s="461"/>
      <c r="D271" s="669"/>
      <c r="E271" s="669"/>
      <c r="F271" s="669"/>
      <c r="G271" s="669"/>
      <c r="H271" s="669"/>
      <c r="I271" s="669"/>
      <c r="J271" s="669"/>
      <c r="K271" s="669"/>
      <c r="L271" s="669"/>
      <c r="M271" s="669"/>
      <c r="N271" s="669"/>
      <c r="O271" s="669"/>
      <c r="P271" s="669"/>
      <c r="Q271" s="669"/>
      <c r="R271" s="669"/>
      <c r="S271" s="669"/>
      <c r="T271" s="669"/>
      <c r="U271" s="669"/>
      <c r="V271" s="669"/>
      <c r="W271" s="669"/>
      <c r="X271" s="669"/>
      <c r="Y271" s="669"/>
      <c r="Z271" s="669"/>
      <c r="AA271" s="669"/>
      <c r="AB271" s="669"/>
      <c r="AC271" s="669"/>
      <c r="AD271" s="669"/>
      <c r="AE271" s="669"/>
      <c r="AF271" s="669"/>
      <c r="AG271" s="669"/>
      <c r="AH271" s="669"/>
      <c r="AI271" s="62"/>
      <c r="AJ271" s="468">
        <f>'3a. OM_AG-i'!I271</f>
        <v>0</v>
      </c>
      <c r="AK271" s="62">
        <f t="shared" si="68"/>
        <v>0</v>
      </c>
      <c r="AL271" s="62">
        <f t="shared" si="69"/>
        <v>0</v>
      </c>
    </row>
    <row r="272" spans="1:38" x14ac:dyDescent="0.3">
      <c r="A272" s="461">
        <v>931</v>
      </c>
      <c r="B272" s="461" t="s">
        <v>564</v>
      </c>
      <c r="C272" s="461" t="s">
        <v>835</v>
      </c>
      <c r="D272" s="468">
        <f>'3a. OM_AG-i'!J272</f>
        <v>0</v>
      </c>
      <c r="E272" s="468">
        <f>$D272*'3c. OM_AG-sfaf'!E272/'3c. OM_AG-sfaf'!$D272</f>
        <v>0</v>
      </c>
      <c r="F272" s="630"/>
      <c r="G272" s="630"/>
      <c r="H272" s="630"/>
      <c r="I272" s="468">
        <f>$D272*'3c. OM_AG-sfaf'!I272/'3c. OM_AG-sfaf'!$D272</f>
        <v>0</v>
      </c>
      <c r="J272" s="468">
        <f>$D272*'3c. OM_AG-sfaf'!J272/'3c. OM_AG-sfaf'!$D272</f>
        <v>0</v>
      </c>
      <c r="K272" s="468"/>
      <c r="L272" s="468">
        <f>'3a. OM_AG-i'!K272</f>
        <v>0</v>
      </c>
      <c r="M272" s="468">
        <f>'3a. OM_AG-i'!L272</f>
        <v>0</v>
      </c>
      <c r="N272" s="468">
        <f>$M272*'3c. OM_AG-sfaf'!N272/'3c. OM_AG-sfaf'!$M272</f>
        <v>0</v>
      </c>
      <c r="O272" s="468">
        <f>$M272*'3c. OM_AG-sfaf'!O272/'3c. OM_AG-sfaf'!$M272</f>
        <v>0</v>
      </c>
      <c r="P272" s="468">
        <f>$M272*'3c. OM_AG-sfaf'!P272/'3c. OM_AG-sfaf'!$M272</f>
        <v>0</v>
      </c>
      <c r="Q272" s="468">
        <f>$M272*'3c. OM_AG-sfaf'!Q272/'3c. OM_AG-sfaf'!$M272</f>
        <v>0</v>
      </c>
      <c r="R272" s="468">
        <f>$M272*'3c. OM_AG-sfaf'!R272/'3c. OM_AG-sfaf'!$M272</f>
        <v>0</v>
      </c>
      <c r="S272" s="468">
        <f>$M272*'3c. OM_AG-sfaf'!S272/'3c. OM_AG-sfaf'!$M272</f>
        <v>0</v>
      </c>
      <c r="T272" s="468">
        <f>$M272*'3c. OM_AG-sfaf'!T272/'3c. OM_AG-sfaf'!$M272</f>
        <v>0</v>
      </c>
      <c r="U272" s="468">
        <f>$M272*'3c. OM_AG-sfaf'!U272/'3c. OM_AG-sfaf'!$M272</f>
        <v>0</v>
      </c>
      <c r="V272" s="468">
        <f>$M272*'3c. OM_AG-sfaf'!V272/'3c. OM_AG-sfaf'!$M272</f>
        <v>0</v>
      </c>
      <c r="W272" s="468">
        <f>$M272*'3c. OM_AG-sfaf'!W272/'3c. OM_AG-sfaf'!$M272</f>
        <v>0</v>
      </c>
      <c r="X272" s="468">
        <f>'3a. OM_AG-i'!M272</f>
        <v>0</v>
      </c>
      <c r="Y272" s="468">
        <f>$X272*'3c. OM_AG-sfaf'!Y272/'3c. OM_AG-sfaf'!$X272</f>
        <v>0</v>
      </c>
      <c r="Z272" s="468">
        <f>$X272*'3c. OM_AG-sfaf'!Z272/'3c. OM_AG-sfaf'!$X272</f>
        <v>0</v>
      </c>
      <c r="AA272" s="468">
        <f>'3a. OM_AG-i'!N272</f>
        <v>0</v>
      </c>
      <c r="AB272" s="468">
        <f>'3a. OM_AG-i'!O272</f>
        <v>0</v>
      </c>
      <c r="AC272" s="468">
        <f>$AB272*'3c. OM_AG-sfaf'!AC272/'3c. OM_AG-sfaf'!$AB272</f>
        <v>0</v>
      </c>
      <c r="AD272" s="468">
        <f>$AB272*'3c. OM_AG-sfaf'!AD272/'3c. OM_AG-sfaf'!$AB272</f>
        <v>0</v>
      </c>
      <c r="AE272" s="468">
        <f>$AB272*'3c. OM_AG-sfaf'!AE272/'3c. OM_AG-sfaf'!$AB272</f>
        <v>0</v>
      </c>
      <c r="AF272" s="468">
        <f>'3a. OM_AG-i'!P272</f>
        <v>0</v>
      </c>
      <c r="AG272" s="468">
        <f>$AF272*'3c. OM_AG-sfaf'!AG272/'3c. OM_AG-sfaf'!$AF272</f>
        <v>0</v>
      </c>
      <c r="AH272" s="468">
        <f>'3a. OM_AG-i'!Q272</f>
        <v>0</v>
      </c>
      <c r="AI272" s="62"/>
      <c r="AJ272" s="468">
        <f>'3a. OM_AG-i'!I272</f>
        <v>0</v>
      </c>
      <c r="AK272" s="62">
        <f t="shared" si="68"/>
        <v>0</v>
      </c>
      <c r="AL272" s="62">
        <f t="shared" si="69"/>
        <v>0</v>
      </c>
    </row>
    <row r="273" spans="1:38" x14ac:dyDescent="0.3">
      <c r="A273" s="461">
        <v>932</v>
      </c>
      <c r="B273" s="461" t="s">
        <v>753</v>
      </c>
      <c r="C273" s="461" t="s">
        <v>181</v>
      </c>
      <c r="D273" s="468">
        <f>'3a. OM_AG-i'!J273</f>
        <v>6760382.4699999997</v>
      </c>
      <c r="E273" s="468">
        <f>$D273*'3c. OM_AG-sfaf'!E273/'3c. OM_AG-sfaf'!$D273</f>
        <v>4637161.0088289678</v>
      </c>
      <c r="F273" s="630"/>
      <c r="G273" s="630"/>
      <c r="H273" s="630"/>
      <c r="I273" s="468">
        <f>$D273*'3c. OM_AG-sfaf'!I273/'3c. OM_AG-sfaf'!$D273</f>
        <v>2123221.4611710319</v>
      </c>
      <c r="J273" s="468">
        <f>$D273*'3c. OM_AG-sfaf'!J273/'3c. OM_AG-sfaf'!$D273</f>
        <v>0</v>
      </c>
      <c r="K273" s="468"/>
      <c r="L273" s="468">
        <f>'3a. OM_AG-i'!K273</f>
        <v>1163430.52</v>
      </c>
      <c r="M273" s="468">
        <f>'3a. OM_AG-i'!L273</f>
        <v>4598456.04</v>
      </c>
      <c r="N273" s="468">
        <f>$M273*'3c. OM_AG-sfaf'!N273/'3c. OM_AG-sfaf'!$M273</f>
        <v>1296682.1592957266</v>
      </c>
      <c r="O273" s="468">
        <f>$M273*'3c. OM_AG-sfaf'!O273/'3c. OM_AG-sfaf'!$M273</f>
        <v>1312669.9141161712</v>
      </c>
      <c r="P273" s="468">
        <f>$M273*'3c. OM_AG-sfaf'!P273/'3c. OM_AG-sfaf'!$M273</f>
        <v>359049.82382795273</v>
      </c>
      <c r="Q273" s="468">
        <f>$M273*'3c. OM_AG-sfaf'!Q273/'3c. OM_AG-sfaf'!$M273</f>
        <v>136283.5183560031</v>
      </c>
      <c r="R273" s="468">
        <f>$M273*'3c. OM_AG-sfaf'!R273/'3c. OM_AG-sfaf'!$M273</f>
        <v>888166.09559765994</v>
      </c>
      <c r="S273" s="468">
        <f>$M273*'3c. OM_AG-sfaf'!S273/'3c. OM_AG-sfaf'!$M273</f>
        <v>233379.03706157493</v>
      </c>
      <c r="T273" s="468">
        <f>$M273*'3c. OM_AG-sfaf'!T273/'3c. OM_AG-sfaf'!$M273</f>
        <v>148978.06044713067</v>
      </c>
      <c r="U273" s="468">
        <f>$M273*'3c. OM_AG-sfaf'!U273/'3c. OM_AG-sfaf'!$M273</f>
        <v>59398.768337303329</v>
      </c>
      <c r="V273" s="468">
        <f>$M273*'3c. OM_AG-sfaf'!V273/'3c. OM_AG-sfaf'!$M273</f>
        <v>152444.67002731923</v>
      </c>
      <c r="W273" s="468">
        <f>$M273*'3c. OM_AG-sfaf'!W273/'3c. OM_AG-sfaf'!$M273</f>
        <v>11403.992933157308</v>
      </c>
      <c r="X273" s="468">
        <f>'3a. OM_AG-i'!M273</f>
        <v>0</v>
      </c>
      <c r="Y273" s="468">
        <f>IF($X273=0,0,$X273*'3c. OM_AG-sfaf'!Y273/'3c. OM_AG-sfaf'!$X273)</f>
        <v>0</v>
      </c>
      <c r="Z273" s="468">
        <f>IF($X273=0,0,$X273*'3c. OM_AG-sfaf'!Z273/'3c. OM_AG-sfaf'!$X273)</f>
        <v>0</v>
      </c>
      <c r="AA273" s="468">
        <f>'3a. OM_AG-i'!N273</f>
        <v>0</v>
      </c>
      <c r="AB273" s="468">
        <f>'3a. OM_AG-i'!O273</f>
        <v>0</v>
      </c>
      <c r="AC273" s="468">
        <f>IF($AB273=0,0,$AB273*'3c. OM_AG-sfaf'!AC273/'3c. OM_AG-sfaf'!$AB273)</f>
        <v>0</v>
      </c>
      <c r="AD273" s="468">
        <f>IF($AB273=0,0,$AB273*'3c. OM_AG-sfaf'!AD273/'3c. OM_AG-sfaf'!$AB273)</f>
        <v>0</v>
      </c>
      <c r="AE273" s="468">
        <f>IF($AB273=0,0,$AB273*'3c. OM_AG-sfaf'!AE273/'3c. OM_AG-sfaf'!$AB273)</f>
        <v>0</v>
      </c>
      <c r="AF273" s="468">
        <f>'3a. OM_AG-i'!P273</f>
        <v>688705.75</v>
      </c>
      <c r="AG273" s="468">
        <f>$AF273*'3c. OM_AG-sfaf'!AG273/'3c. OM_AG-sfaf'!$AF273</f>
        <v>688705.75</v>
      </c>
      <c r="AH273" s="468">
        <f>'3a. OM_AG-i'!Q273</f>
        <v>0</v>
      </c>
      <c r="AI273" s="62"/>
      <c r="AJ273" s="468">
        <f>'3a. OM_AG-i'!I273</f>
        <v>13210974.780000001</v>
      </c>
      <c r="AK273" s="62">
        <f t="shared" si="68"/>
        <v>13210974.780000001</v>
      </c>
      <c r="AL273" s="62">
        <f t="shared" si="69"/>
        <v>0</v>
      </c>
    </row>
    <row r="274" spans="1:38" x14ac:dyDescent="0.3">
      <c r="A274" s="461" t="s">
        <v>1215</v>
      </c>
      <c r="B274" s="461" t="s">
        <v>70</v>
      </c>
      <c r="C274" s="461"/>
      <c r="D274" s="468">
        <f>'3a. OM_AG-i'!J274</f>
        <v>0</v>
      </c>
      <c r="E274" s="468">
        <f>$D274*'3c. OM_AG-sfaf'!E274/'3c. OM_AG-sfaf'!$D274</f>
        <v>0</v>
      </c>
      <c r="F274" s="630"/>
      <c r="G274" s="630"/>
      <c r="H274" s="630"/>
      <c r="I274" s="468">
        <f>$D274*'3c. OM_AG-sfaf'!I274/'3c. OM_AG-sfaf'!$D274</f>
        <v>0</v>
      </c>
      <c r="J274" s="468"/>
      <c r="K274" s="468"/>
      <c r="L274" s="468"/>
      <c r="M274" s="468"/>
      <c r="N274" s="468"/>
      <c r="O274" s="468"/>
      <c r="P274" s="468"/>
      <c r="Q274" s="468"/>
      <c r="R274" s="468"/>
      <c r="S274" s="468"/>
      <c r="T274" s="468"/>
      <c r="U274" s="468"/>
      <c r="V274" s="468"/>
      <c r="W274" s="468"/>
      <c r="X274" s="468"/>
      <c r="Y274" s="468"/>
      <c r="Z274" s="468"/>
      <c r="AA274" s="468"/>
      <c r="AB274" s="468"/>
      <c r="AC274" s="468"/>
      <c r="AD274" s="468"/>
      <c r="AE274" s="468"/>
      <c r="AF274" s="468"/>
      <c r="AG274" s="468"/>
      <c r="AH274" s="468"/>
      <c r="AI274" s="62"/>
      <c r="AJ274" s="468">
        <f>'3a. OM_AG-i'!I274</f>
        <v>0</v>
      </c>
      <c r="AK274" s="62">
        <f t="shared" si="68"/>
        <v>0</v>
      </c>
      <c r="AL274" s="62">
        <f t="shared" si="69"/>
        <v>0</v>
      </c>
    </row>
    <row r="275" spans="1:38" x14ac:dyDescent="0.3">
      <c r="A275" s="461"/>
      <c r="B275" s="487" t="s">
        <v>754</v>
      </c>
      <c r="C275" s="487"/>
      <c r="D275" s="695">
        <v>82392138.50394249</v>
      </c>
      <c r="E275" s="695">
        <v>48801916.431806602</v>
      </c>
      <c r="F275" s="695"/>
      <c r="G275" s="695"/>
      <c r="H275" s="695"/>
      <c r="I275" s="695">
        <v>33590222.072135881</v>
      </c>
      <c r="J275" s="695">
        <v>0</v>
      </c>
      <c r="K275" s="695"/>
      <c r="L275" s="695">
        <v>10438204.93948359</v>
      </c>
      <c r="M275" s="695">
        <v>54807107.926939994</v>
      </c>
      <c r="N275" s="695">
        <v>17020757.342097554</v>
      </c>
      <c r="O275" s="695">
        <v>15672566.697106455</v>
      </c>
      <c r="P275" s="695">
        <v>4310907.300118031</v>
      </c>
      <c r="Q275" s="695">
        <v>930035.77646424621</v>
      </c>
      <c r="R275" s="695">
        <v>11080542.126136133</v>
      </c>
      <c r="S275" s="695">
        <v>2945110.2454890464</v>
      </c>
      <c r="T275" s="695">
        <v>1016666.782568293</v>
      </c>
      <c r="U275" s="695">
        <v>77186.851341631787</v>
      </c>
      <c r="V275" s="695">
        <v>1584986.9808297632</v>
      </c>
      <c r="W275" s="695">
        <v>168347.82478884305</v>
      </c>
      <c r="X275" s="695">
        <v>3654562.964662313</v>
      </c>
      <c r="Y275" s="695">
        <v>1776552.6850167948</v>
      </c>
      <c r="Z275" s="695">
        <v>1878010.2796455179</v>
      </c>
      <c r="AA275" s="695">
        <v>1190617.5640386445</v>
      </c>
      <c r="AB275" s="695">
        <v>3683021.925998183</v>
      </c>
      <c r="AC275" s="695">
        <v>3342010.9558612946</v>
      </c>
      <c r="AD275" s="695">
        <v>341010.97013688786</v>
      </c>
      <c r="AE275" s="695">
        <v>0</v>
      </c>
      <c r="AF275" s="695">
        <v>3822484.6549347816</v>
      </c>
      <c r="AG275" s="695">
        <v>3822484.6549347816</v>
      </c>
      <c r="AH275" s="695">
        <v>-7486.1</v>
      </c>
      <c r="AI275" s="62"/>
      <c r="AJ275" s="468">
        <f>'3a. OM_AG-i'!I275</f>
        <v>159980652.37999997</v>
      </c>
      <c r="AK275" s="62">
        <f t="shared" si="68"/>
        <v>159980652.38000003</v>
      </c>
      <c r="AL275" s="62">
        <f>AJ275-AK275</f>
        <v>0</v>
      </c>
    </row>
    <row r="276" spans="1:38" x14ac:dyDescent="0.3">
      <c r="A276" s="462"/>
      <c r="B276" s="461"/>
      <c r="C276" s="461"/>
      <c r="D276" s="468"/>
      <c r="E276" s="468"/>
      <c r="F276" s="630"/>
      <c r="G276" s="630"/>
      <c r="H276" s="630"/>
      <c r="I276" s="468"/>
      <c r="J276" s="468"/>
      <c r="K276" s="468"/>
      <c r="L276" s="468"/>
      <c r="M276" s="468"/>
      <c r="N276" s="468"/>
      <c r="O276" s="468"/>
      <c r="P276" s="468"/>
      <c r="Q276" s="468"/>
      <c r="R276" s="468"/>
      <c r="S276" s="468"/>
      <c r="T276" s="468"/>
      <c r="U276" s="468"/>
      <c r="V276" s="468"/>
      <c r="W276" s="468"/>
      <c r="X276" s="468"/>
      <c r="Y276" s="468"/>
      <c r="Z276" s="468"/>
      <c r="AA276" s="468"/>
      <c r="AB276" s="468"/>
      <c r="AC276" s="468"/>
      <c r="AD276" s="468"/>
      <c r="AE276" s="468"/>
      <c r="AF276" s="468"/>
      <c r="AG276" s="468"/>
      <c r="AH276" s="468"/>
      <c r="AI276" s="62"/>
      <c r="AJ276" s="468"/>
      <c r="AK276" s="62"/>
      <c r="AL276" s="62"/>
    </row>
    <row r="277" spans="1:38" x14ac:dyDescent="0.3">
      <c r="A277" s="460" t="s">
        <v>755</v>
      </c>
      <c r="B277" s="461"/>
      <c r="C277" s="461"/>
      <c r="D277" s="468">
        <f>D275+D242</f>
        <v>82392138.50394249</v>
      </c>
      <c r="E277" s="468">
        <f>E275+E242</f>
        <v>48801916.431806602</v>
      </c>
      <c r="F277" s="630"/>
      <c r="G277" s="630"/>
      <c r="H277" s="630"/>
      <c r="I277" s="468">
        <f>I275+I242</f>
        <v>33590222.072135881</v>
      </c>
      <c r="J277" s="468">
        <f>J275+J242</f>
        <v>0</v>
      </c>
      <c r="K277" s="468"/>
      <c r="L277" s="468">
        <f t="shared" ref="L277:AH277" si="70">L275+L242</f>
        <v>10438204.93948359</v>
      </c>
      <c r="M277" s="468">
        <f t="shared" si="70"/>
        <v>54807107.926939994</v>
      </c>
      <c r="N277" s="468">
        <f t="shared" si="70"/>
        <v>17020757.342097554</v>
      </c>
      <c r="O277" s="468">
        <f t="shared" si="70"/>
        <v>15672566.697106455</v>
      </c>
      <c r="P277" s="468">
        <f t="shared" si="70"/>
        <v>4310907.300118031</v>
      </c>
      <c r="Q277" s="468">
        <f t="shared" si="70"/>
        <v>930035.77646424621</v>
      </c>
      <c r="R277" s="468">
        <f t="shared" si="70"/>
        <v>11080542.126136133</v>
      </c>
      <c r="S277" s="468">
        <f t="shared" si="70"/>
        <v>2945110.2454890464</v>
      </c>
      <c r="T277" s="468">
        <f t="shared" si="70"/>
        <v>1016666.782568293</v>
      </c>
      <c r="U277" s="468">
        <f t="shared" si="70"/>
        <v>77186.851341631787</v>
      </c>
      <c r="V277" s="468">
        <f t="shared" si="70"/>
        <v>1584986.9808297632</v>
      </c>
      <c r="W277" s="468">
        <f t="shared" si="70"/>
        <v>168347.82478884305</v>
      </c>
      <c r="X277" s="468">
        <f t="shared" si="70"/>
        <v>12516810.425416363</v>
      </c>
      <c r="Y277" s="468">
        <f t="shared" si="70"/>
        <v>1776552.6850167948</v>
      </c>
      <c r="Z277" s="468">
        <f t="shared" si="70"/>
        <v>10740257.740399567</v>
      </c>
      <c r="AA277" s="468">
        <f t="shared" si="70"/>
        <v>6889148.4272033079</v>
      </c>
      <c r="AB277" s="468">
        <f t="shared" si="70"/>
        <v>21971024.746945158</v>
      </c>
      <c r="AC277" s="468">
        <f t="shared" si="70"/>
        <v>21630013.776808269</v>
      </c>
      <c r="AD277" s="468">
        <f t="shared" si="70"/>
        <v>341010.97013688786</v>
      </c>
      <c r="AE277" s="468">
        <f t="shared" si="70"/>
        <v>0</v>
      </c>
      <c r="AF277" s="468">
        <f t="shared" si="70"/>
        <v>15123004.91493478</v>
      </c>
      <c r="AG277" s="468">
        <f t="shared" si="70"/>
        <v>15123004.91493478</v>
      </c>
      <c r="AH277" s="468">
        <f t="shared" si="70"/>
        <v>-7486.1</v>
      </c>
      <c r="AI277" s="62"/>
      <c r="AJ277" s="171">
        <f>AJ275+AJ242</f>
        <v>204129953.78486565</v>
      </c>
      <c r="AK277" s="62">
        <f>SUM(E277,I277:K277,L277,N277:W277,Y277:Z277,AA277:AA277,AC277:AE277,AG277:AH277)</f>
        <v>204129953.78486568</v>
      </c>
      <c r="AL277" s="62">
        <f>AJ277-AK277</f>
        <v>0</v>
      </c>
    </row>
    <row r="278" spans="1:38" x14ac:dyDescent="0.3">
      <c r="A278" s="462"/>
      <c r="B278" s="461"/>
      <c r="C278" s="461"/>
      <c r="D278" s="171"/>
      <c r="E278" s="481"/>
      <c r="F278" s="637"/>
      <c r="G278" s="637"/>
      <c r="H278" s="637"/>
      <c r="I278" s="481"/>
      <c r="J278" s="481"/>
      <c r="K278" s="481"/>
      <c r="L278" s="171"/>
      <c r="M278" s="171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171"/>
      <c r="Y278" s="171"/>
      <c r="Z278" s="171"/>
      <c r="AA278" s="171"/>
      <c r="AB278" s="171"/>
      <c r="AC278" s="171"/>
      <c r="AD278" s="171"/>
      <c r="AE278" s="171"/>
      <c r="AF278" s="171"/>
      <c r="AG278" s="171"/>
      <c r="AH278" s="171"/>
      <c r="AI278" s="62"/>
      <c r="AJ278" s="62"/>
      <c r="AK278" s="62"/>
      <c r="AL278" s="62"/>
    </row>
    <row r="279" spans="1:38" x14ac:dyDescent="0.3">
      <c r="A279" s="463" t="s">
        <v>756</v>
      </c>
      <c r="B279" s="62"/>
      <c r="C279" s="62"/>
      <c r="D279" s="171">
        <f>D277+D152</f>
        <v>988489457.53394246</v>
      </c>
      <c r="E279" s="171">
        <f>E277+E152</f>
        <v>218613544.2567468</v>
      </c>
      <c r="F279" s="627"/>
      <c r="G279" s="627"/>
      <c r="H279" s="627"/>
      <c r="I279" s="171">
        <f>I277+I152</f>
        <v>90980260.817195699</v>
      </c>
      <c r="J279" s="171">
        <f>J277+J152</f>
        <v>678895652.46000004</v>
      </c>
      <c r="K279" s="171"/>
      <c r="L279" s="171">
        <f t="shared" ref="L279:AH279" si="71">L277+L152</f>
        <v>29814875.529483594</v>
      </c>
      <c r="M279" s="171">
        <f t="shared" si="71"/>
        <v>143618013.31458995</v>
      </c>
      <c r="N279" s="171">
        <f t="shared" si="71"/>
        <v>35587994.271100037</v>
      </c>
      <c r="O279" s="171">
        <f t="shared" si="71"/>
        <v>43903474.412209123</v>
      </c>
      <c r="P279" s="171">
        <f t="shared" si="71"/>
        <v>12079646.767523915</v>
      </c>
      <c r="Q279" s="171">
        <f t="shared" si="71"/>
        <v>2035082.6040734982</v>
      </c>
      <c r="R279" s="171">
        <f t="shared" si="71"/>
        <v>31109703.329897545</v>
      </c>
      <c r="S279" s="171">
        <f t="shared" si="71"/>
        <v>8273389.6059218775</v>
      </c>
      <c r="T279" s="171">
        <f t="shared" si="71"/>
        <v>2224646.5519959982</v>
      </c>
      <c r="U279" s="171">
        <f t="shared" si="71"/>
        <v>77186.851341631787</v>
      </c>
      <c r="V279" s="171">
        <f t="shared" si="71"/>
        <v>6702932.1810656358</v>
      </c>
      <c r="W279" s="171">
        <f t="shared" si="71"/>
        <v>1623956.7394606851</v>
      </c>
      <c r="X279" s="171">
        <f t="shared" si="71"/>
        <v>23753018.60776642</v>
      </c>
      <c r="Y279" s="171">
        <f t="shared" si="71"/>
        <v>13012760.867366849</v>
      </c>
      <c r="Z279" s="171">
        <f t="shared" si="71"/>
        <v>10740257.740399567</v>
      </c>
      <c r="AA279" s="171">
        <f t="shared" si="71"/>
        <v>6889148.4272033079</v>
      </c>
      <c r="AB279" s="171">
        <f t="shared" si="71"/>
        <v>21971024.746945158</v>
      </c>
      <c r="AC279" s="171">
        <f t="shared" si="71"/>
        <v>21630013.776808269</v>
      </c>
      <c r="AD279" s="171">
        <f t="shared" si="71"/>
        <v>341010.97013688786</v>
      </c>
      <c r="AE279" s="171">
        <f t="shared" si="71"/>
        <v>0</v>
      </c>
      <c r="AF279" s="171">
        <f t="shared" si="71"/>
        <v>15123004.91493478</v>
      </c>
      <c r="AG279" s="171">
        <f t="shared" si="71"/>
        <v>15123004.91493478</v>
      </c>
      <c r="AH279" s="171">
        <f t="shared" si="71"/>
        <v>-7486.1</v>
      </c>
      <c r="AI279" s="62"/>
      <c r="AJ279" s="171">
        <f>AJ277+AJ152</f>
        <v>1229651056.9748657</v>
      </c>
      <c r="AK279" s="62">
        <f>SUM(E279,I279:K279,L279,N279:W279,Y279:Z279,AA279:AA279,AC279:AE279,AG279:AH279)</f>
        <v>1229651056.9748662</v>
      </c>
      <c r="AL279" s="62">
        <f>AJ279-AK279</f>
        <v>0</v>
      </c>
    </row>
    <row r="280" spans="1:38" x14ac:dyDescent="0.3">
      <c r="A280" s="62"/>
      <c r="B280" s="62"/>
      <c r="C280" s="62"/>
      <c r="D280" s="171"/>
      <c r="E280" s="481"/>
      <c r="F280" s="637"/>
      <c r="G280" s="637"/>
      <c r="H280" s="637"/>
      <c r="I280" s="481"/>
      <c r="J280" s="481"/>
      <c r="K280" s="481"/>
      <c r="L280" s="171"/>
      <c r="M280" s="171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171"/>
      <c r="Y280" s="171"/>
      <c r="Z280" s="171"/>
      <c r="AA280" s="171"/>
      <c r="AB280" s="171"/>
      <c r="AC280" s="171"/>
      <c r="AD280" s="171"/>
      <c r="AE280" s="171"/>
      <c r="AF280" s="171"/>
      <c r="AG280" s="171"/>
      <c r="AH280" s="171"/>
      <c r="AI280" s="62"/>
      <c r="AJ280" s="62"/>
      <c r="AK280" s="62"/>
      <c r="AL280" s="62"/>
    </row>
    <row r="281" spans="1:38" x14ac:dyDescent="0.3">
      <c r="A281" s="62"/>
      <c r="B281" s="62"/>
      <c r="C281" s="62"/>
      <c r="D281" s="171"/>
      <c r="E281" s="481"/>
      <c r="F281" s="481"/>
      <c r="G281" s="481"/>
      <c r="H281" s="481"/>
      <c r="I281" s="481"/>
      <c r="J281" s="481"/>
      <c r="K281" s="481"/>
      <c r="L281" s="171"/>
      <c r="M281" s="171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171"/>
      <c r="Y281" s="171"/>
      <c r="Z281" s="171"/>
      <c r="AA281" s="171"/>
      <c r="AB281" s="171"/>
      <c r="AC281" s="171"/>
      <c r="AD281" s="171"/>
      <c r="AE281" s="171"/>
      <c r="AF281" s="171"/>
      <c r="AG281" s="171"/>
      <c r="AH281" s="171"/>
      <c r="AI281" s="62"/>
      <c r="AJ281" s="62" t="s">
        <v>1198</v>
      </c>
      <c r="AK281" s="62">
        <f>AJ279-'3a. OM_AG-i'!S279</f>
        <v>0</v>
      </c>
      <c r="AL281" s="62"/>
    </row>
    <row r="282" spans="1:38" x14ac:dyDescent="0.3">
      <c r="A282" s="62"/>
      <c r="B282" s="62"/>
      <c r="C282" s="62"/>
      <c r="D282" s="171"/>
      <c r="E282" s="481"/>
      <c r="F282" s="481"/>
      <c r="G282" s="481"/>
      <c r="H282" s="481"/>
      <c r="I282" s="481"/>
      <c r="J282" s="481"/>
      <c r="K282" s="481"/>
      <c r="L282" s="171"/>
      <c r="M282" s="171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171"/>
      <c r="Y282" s="171"/>
      <c r="Z282" s="171"/>
      <c r="AA282" s="171"/>
      <c r="AB282" s="171"/>
      <c r="AC282" s="171"/>
      <c r="AD282" s="171"/>
      <c r="AE282" s="171"/>
      <c r="AF282" s="171"/>
      <c r="AG282" s="171"/>
      <c r="AH282" s="171"/>
      <c r="AI282" s="62"/>
      <c r="AJ282" s="62"/>
      <c r="AK282" s="62"/>
      <c r="AL282" s="62"/>
    </row>
    <row r="283" spans="1:38" x14ac:dyDescent="0.3">
      <c r="A283" s="62"/>
      <c r="B283" s="62"/>
      <c r="C283" s="62"/>
      <c r="D283" s="171"/>
      <c r="E283" s="481"/>
      <c r="F283" s="481"/>
      <c r="G283" s="481"/>
      <c r="H283" s="481"/>
      <c r="I283" s="481"/>
      <c r="J283" s="481"/>
      <c r="K283" s="481"/>
      <c r="L283" s="171"/>
      <c r="M283" s="171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171"/>
      <c r="Y283" s="171"/>
      <c r="Z283" s="171"/>
      <c r="AA283" s="171"/>
      <c r="AB283" s="171"/>
      <c r="AC283" s="171"/>
      <c r="AD283" s="171"/>
      <c r="AE283" s="171"/>
      <c r="AF283" s="171"/>
      <c r="AG283" s="171"/>
      <c r="AH283" s="171"/>
      <c r="AI283" s="62"/>
      <c r="AJ283" s="62"/>
      <c r="AK283" s="62"/>
      <c r="AL283" s="62"/>
    </row>
    <row r="284" spans="1:38" x14ac:dyDescent="0.3">
      <c r="A284" s="62"/>
      <c r="B284" s="62"/>
      <c r="C284" s="62"/>
      <c r="D284" s="171"/>
      <c r="E284" s="481"/>
      <c r="F284" s="481"/>
      <c r="G284" s="481"/>
      <c r="H284" s="481"/>
      <c r="I284" s="481"/>
      <c r="J284" s="481"/>
      <c r="K284" s="481"/>
      <c r="L284" s="171"/>
      <c r="M284" s="171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171"/>
      <c r="Y284" s="171"/>
      <c r="Z284" s="171"/>
      <c r="AA284" s="171"/>
      <c r="AB284" s="171"/>
      <c r="AC284" s="171"/>
      <c r="AD284" s="171"/>
      <c r="AE284" s="171"/>
      <c r="AF284" s="171"/>
      <c r="AG284" s="171"/>
      <c r="AH284" s="171"/>
      <c r="AI284" s="62"/>
      <c r="AJ284" s="62"/>
      <c r="AK284" s="62"/>
      <c r="AL284" s="62"/>
    </row>
    <row r="285" spans="1:38" x14ac:dyDescent="0.3">
      <c r="A285" s="62"/>
      <c r="B285" s="62"/>
      <c r="C285" s="62"/>
      <c r="D285" s="171"/>
      <c r="E285" s="481"/>
      <c r="F285" s="481"/>
      <c r="G285" s="481"/>
      <c r="H285" s="481"/>
      <c r="I285" s="481"/>
      <c r="J285" s="481"/>
      <c r="K285" s="481"/>
      <c r="L285" s="171"/>
      <c r="M285" s="171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171"/>
      <c r="Y285" s="171"/>
      <c r="Z285" s="171"/>
      <c r="AA285" s="171"/>
      <c r="AB285" s="171"/>
      <c r="AC285" s="171"/>
      <c r="AD285" s="171"/>
      <c r="AE285" s="171"/>
      <c r="AF285" s="171"/>
      <c r="AG285" s="171"/>
      <c r="AH285" s="171"/>
      <c r="AI285" s="62"/>
      <c r="AJ285" s="62"/>
      <c r="AK285" s="62"/>
      <c r="AL285" s="62"/>
    </row>
    <row r="286" spans="1:38" x14ac:dyDescent="0.3">
      <c r="A286" s="62"/>
      <c r="B286" s="62"/>
      <c r="C286" s="62"/>
      <c r="D286" s="171"/>
      <c r="E286" s="481"/>
      <c r="F286" s="481"/>
      <c r="G286" s="481"/>
      <c r="H286" s="481"/>
      <c r="I286" s="481"/>
      <c r="J286" s="481"/>
      <c r="K286" s="481"/>
      <c r="L286" s="171"/>
      <c r="M286" s="171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171"/>
      <c r="Y286" s="171"/>
      <c r="Z286" s="171"/>
      <c r="AA286" s="171"/>
      <c r="AB286" s="171"/>
      <c r="AC286" s="171"/>
      <c r="AD286" s="171"/>
      <c r="AE286" s="171"/>
      <c r="AF286" s="171"/>
      <c r="AG286" s="171"/>
      <c r="AH286" s="171"/>
      <c r="AI286" s="62"/>
      <c r="AJ286" s="62"/>
      <c r="AK286" s="62"/>
      <c r="AL286" s="62"/>
    </row>
    <row r="287" spans="1:38" x14ac:dyDescent="0.3">
      <c r="A287" s="62"/>
      <c r="B287" s="62"/>
      <c r="C287" s="62"/>
      <c r="D287" s="171"/>
      <c r="E287" s="481"/>
      <c r="F287" s="481"/>
      <c r="G287" s="481"/>
      <c r="H287" s="481"/>
      <c r="I287" s="481"/>
      <c r="J287" s="481"/>
      <c r="K287" s="481"/>
      <c r="L287" s="171"/>
      <c r="M287" s="171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171"/>
      <c r="Y287" s="171"/>
      <c r="Z287" s="171"/>
      <c r="AA287" s="171"/>
      <c r="AB287" s="171"/>
      <c r="AC287" s="171"/>
      <c r="AD287" s="171"/>
      <c r="AE287" s="171"/>
      <c r="AF287" s="171"/>
      <c r="AG287" s="171"/>
      <c r="AH287" s="171"/>
      <c r="AI287" s="62"/>
      <c r="AJ287" s="62"/>
      <c r="AK287" s="62"/>
      <c r="AL287" s="62"/>
    </row>
    <row r="288" spans="1:38" x14ac:dyDescent="0.3">
      <c r="A288" s="62"/>
      <c r="B288" s="62"/>
      <c r="C288" s="62"/>
      <c r="D288" s="171"/>
      <c r="E288" s="481"/>
      <c r="F288" s="481"/>
      <c r="G288" s="481"/>
      <c r="H288" s="481"/>
      <c r="I288" s="481"/>
      <c r="J288" s="481"/>
      <c r="K288" s="481"/>
      <c r="L288" s="171"/>
      <c r="M288" s="171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171"/>
      <c r="Y288" s="171"/>
      <c r="Z288" s="171"/>
      <c r="AA288" s="171"/>
      <c r="AB288" s="171"/>
      <c r="AC288" s="171"/>
      <c r="AD288" s="171"/>
      <c r="AE288" s="171"/>
      <c r="AF288" s="171"/>
      <c r="AG288" s="171"/>
      <c r="AH288" s="171"/>
      <c r="AI288" s="62"/>
      <c r="AJ288" s="62"/>
      <c r="AK288" s="62"/>
      <c r="AL288" s="62"/>
    </row>
    <row r="289" spans="1:38" x14ac:dyDescent="0.3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171"/>
      <c r="Y289" s="171"/>
      <c r="Z289" s="171"/>
      <c r="AA289" s="171"/>
      <c r="AB289" s="171"/>
      <c r="AC289" s="171"/>
      <c r="AD289" s="171"/>
      <c r="AE289" s="171"/>
      <c r="AF289" s="171"/>
      <c r="AG289" s="171"/>
      <c r="AH289" s="171"/>
      <c r="AI289" s="62"/>
      <c r="AJ289" s="62"/>
      <c r="AK289" s="62"/>
      <c r="AL289" s="62"/>
    </row>
    <row r="290" spans="1:38" x14ac:dyDescent="0.3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171"/>
      <c r="Y290" s="171"/>
      <c r="Z290" s="171"/>
      <c r="AA290" s="171"/>
      <c r="AB290" s="171"/>
      <c r="AC290" s="171"/>
      <c r="AD290" s="171"/>
      <c r="AE290" s="171"/>
      <c r="AF290" s="171"/>
      <c r="AG290" s="171"/>
      <c r="AH290" s="171"/>
      <c r="AI290" s="62"/>
      <c r="AJ290" s="62"/>
      <c r="AK290" s="62"/>
      <c r="AL290" s="62"/>
    </row>
    <row r="291" spans="1:38" x14ac:dyDescent="0.3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171"/>
      <c r="Y291" s="171"/>
      <c r="Z291" s="171"/>
      <c r="AA291" s="171"/>
      <c r="AB291" s="171"/>
      <c r="AC291" s="171"/>
      <c r="AD291" s="171"/>
      <c r="AE291" s="171"/>
      <c r="AF291" s="171"/>
      <c r="AG291" s="171"/>
      <c r="AH291" s="171"/>
      <c r="AI291" s="62"/>
      <c r="AJ291" s="62"/>
      <c r="AK291" s="62"/>
      <c r="AL291" s="62"/>
    </row>
    <row r="292" spans="1:38" x14ac:dyDescent="0.3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171"/>
      <c r="Y292" s="171"/>
      <c r="Z292" s="171"/>
      <c r="AA292" s="171"/>
      <c r="AB292" s="171"/>
      <c r="AC292" s="171"/>
      <c r="AD292" s="171"/>
      <c r="AE292" s="171"/>
      <c r="AF292" s="171"/>
      <c r="AG292" s="171"/>
      <c r="AH292" s="171"/>
      <c r="AI292" s="62"/>
      <c r="AJ292" s="62"/>
      <c r="AK292" s="62"/>
      <c r="AL292" s="62"/>
    </row>
    <row r="293" spans="1:38" x14ac:dyDescent="0.3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171"/>
      <c r="Y293" s="171"/>
      <c r="Z293" s="171"/>
      <c r="AA293" s="171"/>
      <c r="AB293" s="171"/>
      <c r="AC293" s="171"/>
      <c r="AD293" s="171"/>
      <c r="AE293" s="171"/>
      <c r="AF293" s="171"/>
      <c r="AG293" s="171"/>
      <c r="AH293" s="171"/>
      <c r="AI293" s="62"/>
      <c r="AJ293" s="62"/>
      <c r="AK293" s="62"/>
      <c r="AL293" s="62"/>
    </row>
    <row r="294" spans="1:38" x14ac:dyDescent="0.3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171"/>
      <c r="Y294" s="171"/>
      <c r="Z294" s="171"/>
      <c r="AA294" s="171"/>
      <c r="AB294" s="171"/>
      <c r="AC294" s="171"/>
      <c r="AD294" s="171"/>
      <c r="AE294" s="171"/>
      <c r="AF294" s="171"/>
      <c r="AG294" s="171"/>
      <c r="AH294" s="171"/>
      <c r="AI294" s="62"/>
      <c r="AJ294" s="62"/>
      <c r="AK294" s="62"/>
      <c r="AL294" s="62"/>
    </row>
    <row r="295" spans="1:38" x14ac:dyDescent="0.3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171"/>
      <c r="Y295" s="171"/>
      <c r="Z295" s="171"/>
      <c r="AA295" s="171"/>
      <c r="AB295" s="171"/>
      <c r="AC295" s="171"/>
      <c r="AD295" s="171"/>
      <c r="AE295" s="171"/>
      <c r="AF295" s="171"/>
      <c r="AG295" s="171"/>
      <c r="AH295" s="171"/>
      <c r="AI295" s="62"/>
      <c r="AJ295" s="62"/>
      <c r="AK295" s="62"/>
      <c r="AL295" s="62"/>
    </row>
    <row r="296" spans="1:38" x14ac:dyDescent="0.3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171"/>
      <c r="Y296" s="171"/>
      <c r="Z296" s="171"/>
      <c r="AA296" s="171"/>
      <c r="AB296" s="171"/>
      <c r="AC296" s="171"/>
      <c r="AD296" s="171"/>
      <c r="AE296" s="171"/>
      <c r="AF296" s="171"/>
      <c r="AG296" s="171"/>
      <c r="AH296" s="171"/>
      <c r="AI296" s="62"/>
      <c r="AJ296" s="62"/>
      <c r="AK296" s="62"/>
      <c r="AL296" s="62"/>
    </row>
    <row r="297" spans="1:38" x14ac:dyDescent="0.3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171"/>
      <c r="Y297" s="171"/>
      <c r="Z297" s="171"/>
      <c r="AA297" s="171"/>
      <c r="AB297" s="171"/>
      <c r="AC297" s="171"/>
      <c r="AD297" s="171"/>
      <c r="AE297" s="171"/>
      <c r="AF297" s="171"/>
      <c r="AG297" s="171"/>
      <c r="AH297" s="171"/>
      <c r="AI297" s="62"/>
      <c r="AJ297" s="62"/>
      <c r="AK297" s="62"/>
      <c r="AL297" s="62"/>
    </row>
    <row r="298" spans="1:38" x14ac:dyDescent="0.3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171"/>
      <c r="Y298" s="171"/>
      <c r="Z298" s="171"/>
      <c r="AA298" s="171"/>
      <c r="AB298" s="171"/>
      <c r="AC298" s="171"/>
      <c r="AD298" s="171"/>
      <c r="AE298" s="171"/>
      <c r="AF298" s="171"/>
      <c r="AG298" s="171"/>
      <c r="AH298" s="171"/>
      <c r="AI298" s="62"/>
      <c r="AJ298" s="62"/>
      <c r="AK298" s="62"/>
      <c r="AL298" s="62"/>
    </row>
    <row r="299" spans="1:38" x14ac:dyDescent="0.3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171"/>
      <c r="Y299" s="171"/>
      <c r="Z299" s="171"/>
      <c r="AA299" s="171"/>
      <c r="AB299" s="171"/>
      <c r="AC299" s="171"/>
      <c r="AD299" s="171"/>
      <c r="AE299" s="171"/>
      <c r="AF299" s="171"/>
      <c r="AG299" s="171"/>
      <c r="AH299" s="171"/>
      <c r="AI299" s="62"/>
      <c r="AJ299" s="62"/>
      <c r="AK299" s="62"/>
      <c r="AL299" s="62"/>
    </row>
    <row r="300" spans="1:38" x14ac:dyDescent="0.3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171"/>
      <c r="Y300" s="171"/>
      <c r="Z300" s="171"/>
      <c r="AA300" s="171"/>
      <c r="AB300" s="171"/>
      <c r="AC300" s="171"/>
      <c r="AD300" s="171"/>
      <c r="AE300" s="171"/>
      <c r="AF300" s="171"/>
      <c r="AG300" s="171"/>
      <c r="AH300" s="171"/>
      <c r="AI300" s="62"/>
      <c r="AJ300" s="62"/>
      <c r="AK300" s="62"/>
      <c r="AL300" s="62"/>
    </row>
    <row r="301" spans="1:38" x14ac:dyDescent="0.3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171"/>
      <c r="Y301" s="171"/>
      <c r="Z301" s="171"/>
      <c r="AA301" s="171"/>
      <c r="AB301" s="171"/>
      <c r="AC301" s="171"/>
      <c r="AD301" s="171"/>
      <c r="AE301" s="171"/>
      <c r="AF301" s="171"/>
      <c r="AG301" s="171"/>
      <c r="AH301" s="171"/>
      <c r="AI301" s="62"/>
      <c r="AJ301" s="62"/>
      <c r="AK301" s="62"/>
      <c r="AL301" s="62"/>
    </row>
    <row r="302" spans="1:38" x14ac:dyDescent="0.3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171"/>
      <c r="Y302" s="171"/>
      <c r="Z302" s="171"/>
      <c r="AA302" s="171"/>
      <c r="AB302" s="171"/>
      <c r="AC302" s="171"/>
      <c r="AD302" s="171"/>
      <c r="AE302" s="171"/>
      <c r="AF302" s="171"/>
      <c r="AG302" s="171"/>
      <c r="AH302" s="171"/>
      <c r="AI302" s="62"/>
      <c r="AJ302" s="62"/>
      <c r="AK302" s="62"/>
      <c r="AL302" s="62"/>
    </row>
    <row r="303" spans="1:38" x14ac:dyDescent="0.3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171"/>
      <c r="Y303" s="171"/>
      <c r="Z303" s="171"/>
      <c r="AA303" s="171"/>
      <c r="AB303" s="171"/>
      <c r="AC303" s="171"/>
      <c r="AD303" s="171"/>
      <c r="AE303" s="171"/>
      <c r="AF303" s="171"/>
      <c r="AG303" s="171"/>
      <c r="AH303" s="171"/>
      <c r="AI303" s="62"/>
      <c r="AJ303" s="62"/>
      <c r="AK303" s="62"/>
      <c r="AL303" s="62"/>
    </row>
    <row r="304" spans="1:38" x14ac:dyDescent="0.3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171"/>
      <c r="Y304" s="171"/>
      <c r="Z304" s="171"/>
      <c r="AA304" s="171"/>
      <c r="AB304" s="171"/>
      <c r="AC304" s="171"/>
      <c r="AD304" s="171"/>
      <c r="AE304" s="171"/>
      <c r="AF304" s="171"/>
      <c r="AG304" s="171"/>
      <c r="AH304" s="171"/>
      <c r="AI304" s="62"/>
      <c r="AJ304" s="62"/>
      <c r="AK304" s="62"/>
      <c r="AL304" s="62"/>
    </row>
    <row r="305" spans="1:38" x14ac:dyDescent="0.3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171"/>
      <c r="Y305" s="171"/>
      <c r="Z305" s="171"/>
      <c r="AA305" s="171"/>
      <c r="AB305" s="171"/>
      <c r="AC305" s="171"/>
      <c r="AD305" s="171"/>
      <c r="AE305" s="171"/>
      <c r="AF305" s="171"/>
      <c r="AG305" s="171"/>
      <c r="AH305" s="171"/>
      <c r="AI305" s="62"/>
      <c r="AJ305" s="62"/>
      <c r="AK305" s="62"/>
      <c r="AL305" s="62"/>
    </row>
    <row r="306" spans="1:38" x14ac:dyDescent="0.3">
      <c r="D306" s="4"/>
      <c r="E306" s="4"/>
      <c r="F306" s="4"/>
      <c r="G306" s="4"/>
      <c r="H306" s="4"/>
      <c r="I306" s="4"/>
      <c r="J306" s="4"/>
      <c r="K306" s="4"/>
      <c r="L306" s="4"/>
      <c r="M306" s="4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</row>
    <row r="307" spans="1:38" x14ac:dyDescent="0.3">
      <c r="D307" s="4"/>
      <c r="E307" s="4"/>
      <c r="F307" s="4"/>
      <c r="G307" s="4"/>
      <c r="H307" s="4"/>
      <c r="I307" s="4"/>
      <c r="J307" s="4"/>
      <c r="K307" s="4"/>
      <c r="L307" s="4"/>
      <c r="M307" s="4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</row>
    <row r="308" spans="1:38" x14ac:dyDescent="0.3">
      <c r="D308" s="4"/>
      <c r="E308" s="4"/>
      <c r="F308" s="4"/>
      <c r="G308" s="4"/>
      <c r="H308" s="4"/>
      <c r="I308" s="4"/>
      <c r="J308" s="4"/>
      <c r="K308" s="4"/>
      <c r="L308" s="4"/>
      <c r="M308" s="4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</row>
    <row r="309" spans="1:38" x14ac:dyDescent="0.3">
      <c r="D309" s="4"/>
      <c r="E309" s="4"/>
      <c r="F309" s="4"/>
      <c r="G309" s="4"/>
      <c r="H309" s="4"/>
      <c r="I309" s="4"/>
      <c r="J309" s="4"/>
      <c r="K309" s="4"/>
      <c r="L309" s="4"/>
      <c r="M309" s="4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</row>
    <row r="310" spans="1:38" x14ac:dyDescent="0.3">
      <c r="D310" s="4"/>
      <c r="E310" s="4"/>
      <c r="F310" s="4"/>
      <c r="G310" s="4"/>
      <c r="H310" s="4"/>
      <c r="I310" s="4"/>
      <c r="J310" s="4"/>
      <c r="K310" s="4"/>
      <c r="L310" s="4"/>
      <c r="M310" s="4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</row>
    <row r="311" spans="1:38" x14ac:dyDescent="0.3">
      <c r="D311" s="4"/>
      <c r="E311" s="4"/>
      <c r="F311" s="4"/>
      <c r="G311" s="4"/>
      <c r="H311" s="4"/>
      <c r="I311" s="4"/>
      <c r="J311" s="4"/>
      <c r="K311" s="4"/>
      <c r="L311" s="4"/>
      <c r="M311" s="4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</row>
    <row r="312" spans="1:38" x14ac:dyDescent="0.3">
      <c r="D312" s="4"/>
      <c r="E312" s="4"/>
      <c r="F312" s="4"/>
      <c r="G312" s="4"/>
      <c r="H312" s="4"/>
      <c r="I312" s="4"/>
      <c r="J312" s="4"/>
      <c r="K312" s="4"/>
      <c r="L312" s="4"/>
      <c r="M312" s="4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</row>
    <row r="313" spans="1:38" x14ac:dyDescent="0.3">
      <c r="D313" s="4"/>
      <c r="E313" s="4"/>
      <c r="F313" s="4"/>
      <c r="G313" s="4"/>
      <c r="H313" s="4"/>
      <c r="I313" s="4"/>
      <c r="J313" s="4"/>
      <c r="K313" s="4"/>
      <c r="L313" s="4"/>
      <c r="M313" s="4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</row>
    <row r="314" spans="1:38" x14ac:dyDescent="0.3">
      <c r="D314" s="4"/>
      <c r="E314" s="4"/>
      <c r="F314" s="4"/>
      <c r="G314" s="4"/>
      <c r="H314" s="4"/>
      <c r="I314" s="4"/>
      <c r="J314" s="4"/>
      <c r="K314" s="4"/>
      <c r="L314" s="4"/>
      <c r="M314" s="4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</row>
    <row r="315" spans="1:38" x14ac:dyDescent="0.3">
      <c r="D315" s="4"/>
      <c r="E315" s="4"/>
      <c r="F315" s="4"/>
      <c r="G315" s="4"/>
      <c r="H315" s="4"/>
      <c r="I315" s="4"/>
      <c r="J315" s="4"/>
      <c r="K315" s="4"/>
      <c r="L315" s="4"/>
      <c r="M315" s="4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</row>
    <row r="316" spans="1:38" x14ac:dyDescent="0.3">
      <c r="D316" s="4"/>
      <c r="E316" s="4"/>
      <c r="F316" s="4"/>
      <c r="G316" s="4"/>
      <c r="H316" s="4"/>
      <c r="I316" s="4"/>
      <c r="J316" s="4"/>
      <c r="K316" s="4"/>
      <c r="L316" s="4"/>
      <c r="M316" s="4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</row>
  </sheetData>
  <customSheetViews>
    <customSheetView guid="{121E4431-22F3-11D5-8242-00600818425F}" scale="75" showRuler="0">
      <pane xSplit="2" ySplit="7" topLeftCell="C8" activePane="bottomRight" state="frozen"/>
      <selection pane="bottomRight" activeCell="D16" sqref="D16"/>
      <rowBreaks count="4" manualBreakCount="4">
        <brk id="53" max="16383" man="1"/>
        <brk id="98" max="16383" man="1"/>
        <brk id="152" max="16383" man="1"/>
        <brk id="195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300" vertic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showRuler="0">
      <pane xSplit="2" ySplit="7" topLeftCell="C191" activePane="bottomRight" state="frozen"/>
      <selection pane="bottomRight" activeCell="AM235" sqref="AM235"/>
      <rowBreaks count="4" manualBreakCount="4">
        <brk id="53" max="16383" man="1"/>
        <brk id="98" max="16383" man="1"/>
        <brk id="152" max="16383" man="1"/>
        <brk id="195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300" vertic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showRuler="0">
      <pane xSplit="2" ySplit="7" topLeftCell="C191" activePane="bottomRight" state="frozen"/>
      <selection pane="bottomRight" activeCell="AM235" sqref="AM235"/>
      <rowBreaks count="4" manualBreakCount="4">
        <brk id="53" max="16383" man="1"/>
        <brk id="98" max="16383" man="1"/>
        <brk id="152" max="16383" man="1"/>
        <brk id="195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300" verticalDpi="30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56" fitToHeight="0" orientation="landscape" horizontalDpi="300" verticalDpi="300" r:id="rId4"/>
  <headerFooter alignWithMargins="0">
    <oddFooter>&amp;L&amp;8&amp;F&amp;C&amp;8&amp;A
page &amp;P&amp;R&amp;8&amp;D
&amp;T</oddFooter>
  </headerFooter>
  <rowBreaks count="4" manualBreakCount="4">
    <brk id="53" max="16383" man="1"/>
    <brk id="100" max="16383" man="1"/>
    <brk id="153" max="33" man="1"/>
    <brk id="305" max="16383" man="1"/>
  </rowBreaks>
  <colBreaks count="2" manualBreakCount="2">
    <brk id="12" max="268" man="1"/>
    <brk id="23" max="26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L323"/>
  <sheetViews>
    <sheetView zoomScale="75" zoomScaleNormal="75" workbookViewId="0">
      <pane xSplit="2" ySplit="7" topLeftCell="C8" activePane="bottomRight" state="frozen"/>
      <selection activeCell="C368" sqref="C368"/>
      <selection pane="topRight" activeCell="C368" sqref="C368"/>
      <selection pane="bottomLeft" activeCell="C368" sqref="C368"/>
      <selection pane="bottomRight" activeCell="C8" sqref="C8"/>
    </sheetView>
  </sheetViews>
  <sheetFormatPr defaultColWidth="9.1796875" defaultRowHeight="13" x14ac:dyDescent="0.3"/>
  <cols>
    <col min="1" max="1" width="11.453125" style="4" customWidth="1"/>
    <col min="2" max="2" width="29.54296875" style="4" customWidth="1"/>
    <col min="3" max="3" width="18.1796875" style="4" customWidth="1"/>
    <col min="4" max="4" width="16.453125" style="3" bestFit="1" customWidth="1"/>
    <col min="5" max="5" width="14.453125" style="3" bestFit="1" customWidth="1"/>
    <col min="6" max="9" width="13.54296875" style="3" customWidth="1"/>
    <col min="10" max="10" width="7.1796875" style="3" customWidth="1"/>
    <col min="11" max="11" width="8.453125" style="3" customWidth="1"/>
    <col min="12" max="12" width="11.54296875" style="3" customWidth="1"/>
    <col min="13" max="13" width="15.1796875" style="3" customWidth="1"/>
    <col min="14" max="14" width="13.54296875" style="4" customWidth="1"/>
    <col min="15" max="15" width="14.453125" style="4" customWidth="1"/>
    <col min="16" max="18" width="13.453125" style="4" customWidth="1"/>
    <col min="19" max="19" width="13.1796875" style="4" customWidth="1"/>
    <col min="20" max="20" width="13.453125" style="4" bestFit="1" customWidth="1"/>
    <col min="21" max="21" width="14.54296875" style="4" customWidth="1"/>
    <col min="22" max="22" width="12.54296875" style="4" customWidth="1"/>
    <col min="23" max="23" width="10.81640625" style="4" customWidth="1"/>
    <col min="24" max="24" width="14" style="1" customWidth="1"/>
    <col min="25" max="25" width="14.453125" style="4" customWidth="1"/>
    <col min="26" max="26" width="11.54296875" style="4" customWidth="1"/>
    <col min="27" max="27" width="9.453125" style="1" customWidth="1"/>
    <col min="28" max="28" width="11.81640625" style="1" bestFit="1" customWidth="1"/>
    <col min="29" max="29" width="12.54296875" style="1" customWidth="1"/>
    <col min="30" max="30" width="11.54296875" style="1" customWidth="1"/>
    <col min="31" max="31" width="10.1796875" style="1" customWidth="1"/>
    <col min="32" max="32" width="12" style="1" bestFit="1" customWidth="1"/>
    <col min="33" max="33" width="13.81640625" style="1" customWidth="1"/>
    <col min="34" max="34" width="7.453125" style="1" customWidth="1"/>
    <col min="35" max="35" width="9.1796875" style="4"/>
    <col min="36" max="36" width="11.54296875" style="4" bestFit="1" customWidth="1"/>
    <col min="37" max="16384" width="9.1796875" style="4"/>
  </cols>
  <sheetData>
    <row r="1" spans="1:38" x14ac:dyDescent="0.3">
      <c r="A1" s="343" t="str">
        <f>'1. RB-i'!A1</f>
        <v>CPS Energy</v>
      </c>
      <c r="B1" s="207"/>
      <c r="C1" s="207"/>
      <c r="D1" s="207"/>
      <c r="E1" s="207"/>
      <c r="F1" s="353"/>
      <c r="G1" s="353"/>
      <c r="H1" s="353"/>
      <c r="I1" s="353"/>
      <c r="J1" s="353"/>
      <c r="K1" s="353"/>
      <c r="L1" s="353"/>
      <c r="M1" s="353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345"/>
    </row>
    <row r="2" spans="1:38" x14ac:dyDescent="0.3">
      <c r="A2" s="346" t="s">
        <v>1305</v>
      </c>
      <c r="B2" s="191"/>
      <c r="C2" s="191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347"/>
    </row>
    <row r="3" spans="1:38" x14ac:dyDescent="0.3">
      <c r="A3" s="346" t="str">
        <f>'3b. OM_AG-sf'!A3</f>
        <v>FYE 2017</v>
      </c>
      <c r="B3" s="191"/>
      <c r="C3" s="191"/>
      <c r="D3" s="256"/>
      <c r="E3" s="445"/>
      <c r="F3" s="445"/>
      <c r="G3" s="445"/>
      <c r="H3" s="445"/>
      <c r="I3" s="445"/>
      <c r="J3" s="445"/>
      <c r="K3" s="445"/>
      <c r="L3" s="256"/>
      <c r="M3" s="257" t="s">
        <v>367</v>
      </c>
      <c r="N3" s="258"/>
      <c r="O3" s="258"/>
      <c r="P3" s="258"/>
      <c r="Q3" s="258"/>
      <c r="R3" s="258"/>
      <c r="S3" s="258"/>
      <c r="T3" s="258"/>
      <c r="U3" s="258"/>
      <c r="V3" s="259"/>
      <c r="W3" s="259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347"/>
      <c r="AJ3" s="31"/>
    </row>
    <row r="4" spans="1:38" x14ac:dyDescent="0.3">
      <c r="A4" s="261"/>
      <c r="B4" s="262"/>
      <c r="C4" s="262"/>
      <c r="D4" s="257" t="s">
        <v>544</v>
      </c>
      <c r="E4" s="258"/>
      <c r="F4" s="258"/>
      <c r="G4" s="258"/>
      <c r="H4" s="258"/>
      <c r="I4" s="259"/>
      <c r="J4" s="258"/>
      <c r="K4" s="259"/>
      <c r="L4" s="262"/>
      <c r="M4" s="191"/>
      <c r="N4" s="257" t="s">
        <v>922</v>
      </c>
      <c r="O4" s="258"/>
      <c r="P4" s="258"/>
      <c r="Q4" s="259"/>
      <c r="R4" s="257" t="s">
        <v>923</v>
      </c>
      <c r="S4" s="258"/>
      <c r="T4" s="258"/>
      <c r="U4" s="258"/>
      <c r="V4" s="259"/>
      <c r="W4" s="265"/>
      <c r="X4" s="257" t="s">
        <v>907</v>
      </c>
      <c r="Y4" s="258"/>
      <c r="Z4" s="259"/>
      <c r="AA4" s="191"/>
      <c r="AB4" s="257" t="s">
        <v>85</v>
      </c>
      <c r="AC4" s="258"/>
      <c r="AD4" s="258"/>
      <c r="AE4" s="258"/>
      <c r="AF4" s="257" t="s">
        <v>912</v>
      </c>
      <c r="AG4" s="259"/>
      <c r="AH4" s="347"/>
      <c r="AJ4" s="31"/>
    </row>
    <row r="5" spans="1:38" x14ac:dyDescent="0.3">
      <c r="A5" s="268"/>
      <c r="B5" s="194"/>
      <c r="C5" s="194"/>
      <c r="D5" s="195" t="s">
        <v>357</v>
      </c>
      <c r="E5" s="417" t="s">
        <v>924</v>
      </c>
      <c r="F5" s="417"/>
      <c r="G5" s="417"/>
      <c r="H5" s="417"/>
      <c r="I5" s="417" t="s">
        <v>924</v>
      </c>
      <c r="J5" s="269"/>
      <c r="K5" s="197" t="s">
        <v>79</v>
      </c>
      <c r="L5" s="198" t="s">
        <v>357</v>
      </c>
      <c r="M5" s="199" t="s">
        <v>357</v>
      </c>
      <c r="N5" s="270"/>
      <c r="O5" s="271" t="s">
        <v>925</v>
      </c>
      <c r="P5" s="271" t="s">
        <v>926</v>
      </c>
      <c r="Q5" s="216"/>
      <c r="R5" s="270" t="s">
        <v>925</v>
      </c>
      <c r="S5" s="271" t="s">
        <v>926</v>
      </c>
      <c r="T5" s="271"/>
      <c r="U5" s="263"/>
      <c r="V5" s="446"/>
      <c r="W5" s="216" t="s">
        <v>1010</v>
      </c>
      <c r="X5" s="271" t="s">
        <v>357</v>
      </c>
      <c r="Y5" s="270"/>
      <c r="Z5" s="270" t="s">
        <v>994</v>
      </c>
      <c r="AA5" s="215" t="s">
        <v>357</v>
      </c>
      <c r="AB5" s="215" t="s">
        <v>357</v>
      </c>
      <c r="AC5" s="215" t="s">
        <v>86</v>
      </c>
      <c r="AD5" s="215" t="s">
        <v>1003</v>
      </c>
      <c r="AE5" s="277"/>
      <c r="AF5" s="215" t="s">
        <v>911</v>
      </c>
      <c r="AG5" s="215"/>
      <c r="AH5" s="217" t="s">
        <v>357</v>
      </c>
      <c r="AJ5" s="5" t="s">
        <v>357</v>
      </c>
    </row>
    <row r="6" spans="1:38" x14ac:dyDescent="0.3">
      <c r="A6" s="268" t="s">
        <v>539</v>
      </c>
      <c r="B6" s="186" t="s">
        <v>359</v>
      </c>
      <c r="C6" s="194"/>
      <c r="D6" s="200" t="s">
        <v>544</v>
      </c>
      <c r="E6" s="417" t="s">
        <v>928</v>
      </c>
      <c r="F6" s="417" t="s">
        <v>1140</v>
      </c>
      <c r="G6" s="417" t="s">
        <v>1139</v>
      </c>
      <c r="H6" s="417" t="s">
        <v>947</v>
      </c>
      <c r="I6" s="417" t="s">
        <v>927</v>
      </c>
      <c r="J6" s="417" t="s">
        <v>617</v>
      </c>
      <c r="K6" s="187" t="s">
        <v>80</v>
      </c>
      <c r="L6" s="198" t="s">
        <v>366</v>
      </c>
      <c r="M6" s="199" t="s">
        <v>367</v>
      </c>
      <c r="N6" s="200" t="s">
        <v>929</v>
      </c>
      <c r="O6" s="417" t="s">
        <v>930</v>
      </c>
      <c r="P6" s="417" t="s">
        <v>930</v>
      </c>
      <c r="Q6" s="187" t="s">
        <v>931</v>
      </c>
      <c r="R6" s="200" t="s">
        <v>930</v>
      </c>
      <c r="S6" s="417" t="s">
        <v>930</v>
      </c>
      <c r="T6" s="417" t="s">
        <v>931</v>
      </c>
      <c r="U6" s="417" t="s">
        <v>456</v>
      </c>
      <c r="V6" s="187" t="s">
        <v>932</v>
      </c>
      <c r="W6" s="187" t="s">
        <v>1011</v>
      </c>
      <c r="X6" s="417" t="s">
        <v>907</v>
      </c>
      <c r="Y6" s="200" t="s">
        <v>907</v>
      </c>
      <c r="Z6" s="200" t="s">
        <v>995</v>
      </c>
      <c r="AA6" s="186" t="s">
        <v>84</v>
      </c>
      <c r="AB6" s="186" t="s">
        <v>82</v>
      </c>
      <c r="AC6" s="186" t="s">
        <v>87</v>
      </c>
      <c r="AD6" s="186" t="s">
        <v>1004</v>
      </c>
      <c r="AE6" s="186" t="s">
        <v>1005</v>
      </c>
      <c r="AF6" s="186" t="s">
        <v>912</v>
      </c>
      <c r="AG6" s="186" t="s">
        <v>1006</v>
      </c>
      <c r="AH6" s="219" t="s">
        <v>913</v>
      </c>
      <c r="AJ6" s="5" t="s">
        <v>365</v>
      </c>
      <c r="AK6" s="6" t="s">
        <v>933</v>
      </c>
      <c r="AL6" s="6" t="s">
        <v>824</v>
      </c>
    </row>
    <row r="7" spans="1:38" ht="13.5" thickBot="1" x14ac:dyDescent="0.35">
      <c r="A7" s="278" t="s">
        <v>545</v>
      </c>
      <c r="B7" s="279"/>
      <c r="C7" s="279"/>
      <c r="D7" s="281" t="s">
        <v>815</v>
      </c>
      <c r="E7" s="282" t="s">
        <v>816</v>
      </c>
      <c r="F7" s="282"/>
      <c r="G7" s="282"/>
      <c r="H7" s="282"/>
      <c r="I7" s="282" t="s">
        <v>817</v>
      </c>
      <c r="J7" s="282" t="s">
        <v>818</v>
      </c>
      <c r="K7" s="282" t="s">
        <v>819</v>
      </c>
      <c r="L7" s="234" t="s">
        <v>820</v>
      </c>
      <c r="M7" s="282" t="s">
        <v>821</v>
      </c>
      <c r="N7" s="281" t="s">
        <v>822</v>
      </c>
      <c r="O7" s="282" t="s">
        <v>823</v>
      </c>
      <c r="P7" s="282" t="s">
        <v>908</v>
      </c>
      <c r="Q7" s="282" t="s">
        <v>914</v>
      </c>
      <c r="R7" s="281" t="s">
        <v>915</v>
      </c>
      <c r="S7" s="282" t="s">
        <v>916</v>
      </c>
      <c r="T7" s="282" t="s">
        <v>917</v>
      </c>
      <c r="U7" s="282" t="s">
        <v>918</v>
      </c>
      <c r="V7" s="282" t="s">
        <v>934</v>
      </c>
      <c r="W7" s="283" t="s">
        <v>935</v>
      </c>
      <c r="X7" s="282" t="s">
        <v>936</v>
      </c>
      <c r="Y7" s="234" t="s">
        <v>937</v>
      </c>
      <c r="Z7" s="234" t="s">
        <v>938</v>
      </c>
      <c r="AA7" s="234" t="s">
        <v>939</v>
      </c>
      <c r="AB7" s="234" t="s">
        <v>985</v>
      </c>
      <c r="AC7" s="234" t="s">
        <v>986</v>
      </c>
      <c r="AD7" s="234" t="s">
        <v>987</v>
      </c>
      <c r="AE7" s="234" t="s">
        <v>988</v>
      </c>
      <c r="AF7" s="234" t="s">
        <v>989</v>
      </c>
      <c r="AG7" s="234" t="s">
        <v>990</v>
      </c>
      <c r="AH7" s="235" t="s">
        <v>991</v>
      </c>
      <c r="AJ7" s="45"/>
    </row>
    <row r="8" spans="1:38" x14ac:dyDescent="0.3">
      <c r="A8" s="44"/>
      <c r="B8" s="31"/>
      <c r="C8" s="31"/>
      <c r="D8" s="626"/>
      <c r="E8" s="626"/>
      <c r="F8" s="626"/>
      <c r="G8" s="626"/>
      <c r="H8" s="626"/>
      <c r="I8" s="626"/>
      <c r="J8" s="626"/>
      <c r="K8" s="626"/>
      <c r="L8" s="7"/>
      <c r="M8" s="2"/>
      <c r="N8" s="5"/>
      <c r="O8" s="5"/>
      <c r="P8" s="5"/>
      <c r="Q8" s="5"/>
      <c r="R8" s="5"/>
      <c r="S8" s="5"/>
      <c r="T8" s="5"/>
      <c r="U8" s="5"/>
      <c r="V8" s="5"/>
      <c r="W8" s="5"/>
      <c r="X8" s="2"/>
      <c r="Y8" s="6"/>
      <c r="Z8" s="6"/>
      <c r="AA8" s="2"/>
      <c r="AB8" s="2"/>
      <c r="AC8" s="2"/>
      <c r="AD8" s="2"/>
      <c r="AE8" s="2"/>
      <c r="AF8" s="2"/>
      <c r="AG8" s="2"/>
      <c r="AH8" s="2"/>
    </row>
    <row r="9" spans="1:38" x14ac:dyDescent="0.3">
      <c r="A9" s="460" t="s">
        <v>547</v>
      </c>
      <c r="B9" s="461"/>
      <c r="C9" s="461"/>
      <c r="D9" s="627"/>
      <c r="E9" s="627"/>
      <c r="F9" s="627"/>
      <c r="G9" s="627"/>
      <c r="H9" s="627"/>
      <c r="I9" s="627"/>
      <c r="J9" s="627"/>
      <c r="K9" s="627"/>
      <c r="L9" s="171"/>
      <c r="M9" s="171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</row>
    <row r="10" spans="1:38" x14ac:dyDescent="0.3">
      <c r="A10" s="462"/>
      <c r="B10" s="461"/>
      <c r="C10" s="461"/>
      <c r="D10" s="627"/>
      <c r="E10" s="627"/>
      <c r="F10" s="627"/>
      <c r="G10" s="627"/>
      <c r="H10" s="627"/>
      <c r="I10" s="627"/>
      <c r="J10" s="627"/>
      <c r="K10" s="627"/>
      <c r="L10" s="171"/>
      <c r="M10" s="171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</row>
    <row r="11" spans="1:38" x14ac:dyDescent="0.3">
      <c r="A11" s="462"/>
      <c r="B11" s="463" t="s">
        <v>548</v>
      </c>
      <c r="C11" s="463"/>
      <c r="D11" s="627"/>
      <c r="E11" s="627"/>
      <c r="F11" s="627"/>
      <c r="G11" s="627"/>
      <c r="H11" s="627"/>
      <c r="I11" s="627"/>
      <c r="J11" s="627"/>
      <c r="K11" s="627"/>
      <c r="L11" s="171"/>
      <c r="M11" s="171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</row>
    <row r="12" spans="1:38" x14ac:dyDescent="0.3">
      <c r="A12" s="462"/>
      <c r="B12" s="464" t="s">
        <v>549</v>
      </c>
      <c r="C12" s="464"/>
      <c r="D12" s="627"/>
      <c r="E12" s="627"/>
      <c r="F12" s="627"/>
      <c r="G12" s="627"/>
      <c r="H12" s="627"/>
      <c r="I12" s="627"/>
      <c r="J12" s="627"/>
      <c r="K12" s="627"/>
      <c r="L12" s="171"/>
      <c r="M12" s="171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</row>
    <row r="13" spans="1:38" x14ac:dyDescent="0.3">
      <c r="A13" s="465">
        <v>500</v>
      </c>
      <c r="B13" s="466" t="s">
        <v>551</v>
      </c>
      <c r="C13" s="484" t="s">
        <v>1202</v>
      </c>
      <c r="D13" s="628"/>
      <c r="E13" s="628"/>
      <c r="F13" s="628"/>
      <c r="G13" s="628"/>
      <c r="H13" s="628"/>
      <c r="I13" s="628"/>
      <c r="J13" s="629"/>
      <c r="K13" s="629"/>
      <c r="L13" s="468"/>
      <c r="M13" s="468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</row>
    <row r="14" spans="1:38" x14ac:dyDescent="0.3">
      <c r="A14" s="465">
        <v>501</v>
      </c>
      <c r="B14" s="461" t="s">
        <v>553</v>
      </c>
      <c r="C14" s="461"/>
      <c r="D14" s="629"/>
      <c r="E14" s="629"/>
      <c r="F14" s="629"/>
      <c r="G14" s="629"/>
      <c r="H14" s="629"/>
      <c r="I14" s="629"/>
      <c r="J14" s="629"/>
      <c r="K14" s="629"/>
      <c r="L14" s="468"/>
      <c r="M14" s="468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</row>
    <row r="15" spans="1:38" x14ac:dyDescent="0.3">
      <c r="A15" s="465">
        <v>501</v>
      </c>
      <c r="B15" s="466" t="s">
        <v>554</v>
      </c>
      <c r="C15" s="466"/>
      <c r="D15" s="629"/>
      <c r="E15" s="629"/>
      <c r="F15" s="629"/>
      <c r="G15" s="629"/>
      <c r="H15" s="629"/>
      <c r="I15" s="629"/>
      <c r="J15" s="629"/>
      <c r="K15" s="629"/>
      <c r="L15" s="468"/>
      <c r="M15" s="468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</row>
    <row r="16" spans="1:38" x14ac:dyDescent="0.3">
      <c r="A16" s="465">
        <v>502</v>
      </c>
      <c r="B16" s="461" t="s">
        <v>556</v>
      </c>
      <c r="C16" s="461" t="s">
        <v>132</v>
      </c>
      <c r="D16" s="628"/>
      <c r="E16" s="628"/>
      <c r="F16" s="628"/>
      <c r="G16" s="628"/>
      <c r="H16" s="628"/>
      <c r="I16" s="628"/>
      <c r="J16" s="629"/>
      <c r="K16" s="629"/>
      <c r="L16" s="468"/>
      <c r="M16" s="468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</row>
    <row r="17" spans="1:38" x14ac:dyDescent="0.3">
      <c r="A17" s="465">
        <v>503</v>
      </c>
      <c r="B17" s="461" t="s">
        <v>558</v>
      </c>
      <c r="C17" s="461"/>
      <c r="D17" s="629"/>
      <c r="E17" s="629"/>
      <c r="F17" s="629"/>
      <c r="G17" s="629"/>
      <c r="H17" s="629"/>
      <c r="I17" s="629"/>
      <c r="J17" s="629"/>
      <c r="K17" s="629"/>
      <c r="L17" s="468"/>
      <c r="M17" s="468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</row>
    <row r="18" spans="1:38" x14ac:dyDescent="0.3">
      <c r="A18" s="465">
        <v>505</v>
      </c>
      <c r="B18" s="461" t="s">
        <v>560</v>
      </c>
      <c r="C18" s="461" t="s">
        <v>132</v>
      </c>
      <c r="D18" s="628"/>
      <c r="E18" s="628"/>
      <c r="F18" s="628"/>
      <c r="G18" s="628"/>
      <c r="H18" s="628"/>
      <c r="I18" s="628"/>
      <c r="J18" s="629"/>
      <c r="K18" s="629"/>
      <c r="L18" s="468"/>
      <c r="M18" s="468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</row>
    <row r="19" spans="1:38" x14ac:dyDescent="0.3">
      <c r="A19" s="465">
        <v>506</v>
      </c>
      <c r="B19" s="461" t="s">
        <v>562</v>
      </c>
      <c r="C19" s="461"/>
      <c r="D19" s="629"/>
      <c r="E19" s="629"/>
      <c r="F19" s="629"/>
      <c r="G19" s="629"/>
      <c r="H19" s="629"/>
      <c r="I19" s="629"/>
      <c r="J19" s="629"/>
      <c r="K19" s="629"/>
      <c r="L19" s="468"/>
      <c r="M19" s="468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</row>
    <row r="20" spans="1:38" x14ac:dyDescent="0.3">
      <c r="A20" s="465">
        <v>507</v>
      </c>
      <c r="B20" s="461" t="s">
        <v>564</v>
      </c>
      <c r="C20" s="461"/>
      <c r="D20" s="629"/>
      <c r="E20" s="629"/>
      <c r="F20" s="629"/>
      <c r="G20" s="629"/>
      <c r="H20" s="629"/>
      <c r="I20" s="629"/>
      <c r="J20" s="629"/>
      <c r="K20" s="629"/>
      <c r="L20" s="468"/>
      <c r="M20" s="468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</row>
    <row r="21" spans="1:38" s="1" customFormat="1" x14ac:dyDescent="0.3">
      <c r="A21" s="461">
        <v>508</v>
      </c>
      <c r="B21" s="461" t="s">
        <v>893</v>
      </c>
      <c r="C21" s="461"/>
      <c r="D21" s="629"/>
      <c r="E21" s="629"/>
      <c r="F21" s="629"/>
      <c r="G21" s="629"/>
      <c r="H21" s="629"/>
      <c r="I21" s="629"/>
      <c r="J21" s="629"/>
      <c r="K21" s="629"/>
      <c r="L21" s="468"/>
      <c r="M21" s="468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</row>
    <row r="22" spans="1:38" s="1" customFormat="1" x14ac:dyDescent="0.3">
      <c r="A22" s="461"/>
      <c r="B22" s="474" t="s">
        <v>524</v>
      </c>
      <c r="C22" s="474"/>
      <c r="D22" s="627"/>
      <c r="E22" s="627"/>
      <c r="F22" s="627"/>
      <c r="G22" s="627"/>
      <c r="H22" s="627"/>
      <c r="I22" s="627"/>
      <c r="J22" s="627"/>
      <c r="K22" s="627"/>
      <c r="L22" s="171"/>
      <c r="M22" s="171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</row>
    <row r="23" spans="1:38" s="1" customFormat="1" x14ac:dyDescent="0.3">
      <c r="A23" s="461"/>
      <c r="B23" s="461"/>
      <c r="C23" s="461"/>
      <c r="D23" s="627"/>
      <c r="E23" s="627"/>
      <c r="F23" s="627"/>
      <c r="G23" s="627"/>
      <c r="H23" s="627"/>
      <c r="I23" s="627"/>
      <c r="J23" s="627"/>
      <c r="K23" s="627"/>
      <c r="L23" s="171"/>
      <c r="M23" s="171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</row>
    <row r="24" spans="1:38" s="1" customFormat="1" x14ac:dyDescent="0.3">
      <c r="A24" s="461"/>
      <c r="B24" s="464" t="s">
        <v>565</v>
      </c>
      <c r="C24" s="464"/>
      <c r="D24" s="627"/>
      <c r="E24" s="627"/>
      <c r="F24" s="627"/>
      <c r="G24" s="627"/>
      <c r="H24" s="627"/>
      <c r="I24" s="627"/>
      <c r="J24" s="627"/>
      <c r="K24" s="627"/>
      <c r="L24" s="171"/>
      <c r="M24" s="171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</row>
    <row r="25" spans="1:38" s="1" customFormat="1" x14ac:dyDescent="0.3">
      <c r="A25" s="465">
        <v>510</v>
      </c>
      <c r="B25" s="466" t="s">
        <v>567</v>
      </c>
      <c r="C25" s="466"/>
      <c r="D25" s="628"/>
      <c r="E25" s="628"/>
      <c r="F25" s="628"/>
      <c r="G25" s="628"/>
      <c r="H25" s="628"/>
      <c r="I25" s="628"/>
      <c r="J25" s="629"/>
      <c r="K25" s="629"/>
      <c r="L25" s="468"/>
      <c r="M25" s="468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</row>
    <row r="26" spans="1:38" s="1" customFormat="1" x14ac:dyDescent="0.3">
      <c r="A26" s="465">
        <v>511</v>
      </c>
      <c r="B26" s="466" t="s">
        <v>569</v>
      </c>
      <c r="C26" s="466"/>
      <c r="D26" s="629"/>
      <c r="E26" s="629"/>
      <c r="F26" s="629"/>
      <c r="G26" s="629"/>
      <c r="H26" s="629"/>
      <c r="I26" s="629"/>
      <c r="J26" s="629"/>
      <c r="K26" s="629"/>
      <c r="L26" s="468"/>
      <c r="M26" s="468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</row>
    <row r="27" spans="1:38" s="1" customFormat="1" x14ac:dyDescent="0.3">
      <c r="A27" s="465">
        <v>512</v>
      </c>
      <c r="B27" s="461" t="s">
        <v>571</v>
      </c>
      <c r="C27" s="461"/>
      <c r="D27" s="629"/>
      <c r="E27" s="629"/>
      <c r="F27" s="629"/>
      <c r="G27" s="629"/>
      <c r="H27" s="629"/>
      <c r="I27" s="629"/>
      <c r="J27" s="629"/>
      <c r="K27" s="629"/>
      <c r="L27" s="468"/>
      <c r="M27" s="468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</row>
    <row r="28" spans="1:38" s="1" customFormat="1" x14ac:dyDescent="0.3">
      <c r="A28" s="465">
        <v>513</v>
      </c>
      <c r="B28" s="461" t="s">
        <v>573</v>
      </c>
      <c r="C28" s="461"/>
      <c r="D28" s="629"/>
      <c r="E28" s="629"/>
      <c r="F28" s="629"/>
      <c r="G28" s="629"/>
      <c r="H28" s="629"/>
      <c r="I28" s="629"/>
      <c r="J28" s="629"/>
      <c r="K28" s="629"/>
      <c r="L28" s="468"/>
      <c r="M28" s="468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</row>
    <row r="29" spans="1:38" s="1" customFormat="1" x14ac:dyDescent="0.3">
      <c r="A29" s="465">
        <v>514</v>
      </c>
      <c r="B29" s="461" t="s">
        <v>575</v>
      </c>
      <c r="C29" s="461"/>
      <c r="D29" s="629"/>
      <c r="E29" s="629"/>
      <c r="F29" s="629"/>
      <c r="G29" s="629"/>
      <c r="H29" s="629"/>
      <c r="I29" s="629"/>
      <c r="J29" s="629"/>
      <c r="K29" s="629"/>
      <c r="L29" s="468"/>
      <c r="M29" s="468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</row>
    <row r="30" spans="1:38" s="1" customFormat="1" x14ac:dyDescent="0.3">
      <c r="A30" s="465">
        <v>516</v>
      </c>
      <c r="B30" s="465" t="s">
        <v>1195</v>
      </c>
      <c r="C30" s="461"/>
      <c r="D30" s="629"/>
      <c r="E30" s="629"/>
      <c r="F30" s="629"/>
      <c r="G30" s="629"/>
      <c r="H30" s="629"/>
      <c r="I30" s="629"/>
      <c r="J30" s="629"/>
      <c r="K30" s="629"/>
      <c r="L30" s="468"/>
      <c r="M30" s="468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</row>
    <row r="31" spans="1:38" x14ac:dyDescent="0.3">
      <c r="A31" s="461"/>
      <c r="B31" s="474" t="s">
        <v>524</v>
      </c>
      <c r="C31" s="474"/>
      <c r="D31" s="627"/>
      <c r="E31" s="627"/>
      <c r="F31" s="627"/>
      <c r="G31" s="627"/>
      <c r="H31" s="627"/>
      <c r="I31" s="627"/>
      <c r="J31" s="627"/>
      <c r="K31" s="627"/>
      <c r="L31" s="171"/>
      <c r="M31" s="171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</row>
    <row r="32" spans="1:38" x14ac:dyDescent="0.3">
      <c r="A32" s="461"/>
      <c r="B32" s="474"/>
      <c r="C32" s="474"/>
      <c r="D32" s="627"/>
      <c r="E32" s="627"/>
      <c r="F32" s="627"/>
      <c r="G32" s="627"/>
      <c r="H32" s="627"/>
      <c r="I32" s="627"/>
      <c r="J32" s="627"/>
      <c r="K32" s="627"/>
      <c r="L32" s="171"/>
      <c r="M32" s="171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</row>
    <row r="33" spans="1:38" x14ac:dyDescent="0.3">
      <c r="A33" s="461">
        <v>515</v>
      </c>
      <c r="B33" s="461" t="s">
        <v>577</v>
      </c>
      <c r="C33" s="461"/>
      <c r="D33" s="629"/>
      <c r="E33" s="629"/>
      <c r="F33" s="629"/>
      <c r="G33" s="629"/>
      <c r="H33" s="629"/>
      <c r="I33" s="629"/>
      <c r="J33" s="629"/>
      <c r="K33" s="629"/>
      <c r="L33" s="468"/>
      <c r="M33" s="468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</row>
    <row r="34" spans="1:38" x14ac:dyDescent="0.3">
      <c r="A34" s="461"/>
      <c r="B34" s="461"/>
      <c r="C34" s="461"/>
      <c r="D34" s="627"/>
      <c r="E34" s="627"/>
      <c r="F34" s="627"/>
      <c r="G34" s="627"/>
      <c r="H34" s="627"/>
      <c r="I34" s="627"/>
      <c r="J34" s="627"/>
      <c r="K34" s="627"/>
      <c r="L34" s="171"/>
      <c r="M34" s="171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</row>
    <row r="35" spans="1:38" x14ac:dyDescent="0.3">
      <c r="A35" s="461"/>
      <c r="B35" s="463" t="s">
        <v>578</v>
      </c>
      <c r="C35" s="463"/>
      <c r="D35" s="627"/>
      <c r="E35" s="627"/>
      <c r="F35" s="627"/>
      <c r="G35" s="627"/>
      <c r="H35" s="627"/>
      <c r="I35" s="627"/>
      <c r="J35" s="627"/>
      <c r="K35" s="627"/>
      <c r="L35" s="171"/>
      <c r="M35" s="171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</row>
    <row r="36" spans="1:38" x14ac:dyDescent="0.3">
      <c r="A36" s="461"/>
      <c r="B36" s="464" t="s">
        <v>549</v>
      </c>
      <c r="C36" s="464"/>
      <c r="D36" s="627"/>
      <c r="E36" s="627"/>
      <c r="F36" s="627"/>
      <c r="G36" s="627"/>
      <c r="H36" s="627"/>
      <c r="I36" s="627"/>
      <c r="J36" s="627"/>
      <c r="K36" s="627"/>
      <c r="L36" s="171"/>
      <c r="M36" s="171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</row>
    <row r="37" spans="1:38" x14ac:dyDescent="0.3">
      <c r="A37" s="461">
        <v>517</v>
      </c>
      <c r="B37" s="461" t="s">
        <v>580</v>
      </c>
      <c r="C37" s="461"/>
      <c r="D37" s="629"/>
      <c r="E37" s="629"/>
      <c r="F37" s="629"/>
      <c r="G37" s="629"/>
      <c r="H37" s="629"/>
      <c r="I37" s="629"/>
      <c r="J37" s="629"/>
      <c r="K37" s="629"/>
      <c r="L37" s="468"/>
      <c r="M37" s="468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</row>
    <row r="38" spans="1:38" x14ac:dyDescent="0.3">
      <c r="A38" s="461">
        <v>518</v>
      </c>
      <c r="B38" s="461" t="s">
        <v>582</v>
      </c>
      <c r="C38" s="461"/>
      <c r="D38" s="629"/>
      <c r="E38" s="629"/>
      <c r="F38" s="629"/>
      <c r="G38" s="629"/>
      <c r="H38" s="629"/>
      <c r="I38" s="629"/>
      <c r="J38" s="629"/>
      <c r="K38" s="629"/>
      <c r="L38" s="468"/>
      <c r="M38" s="468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</row>
    <row r="39" spans="1:38" x14ac:dyDescent="0.3">
      <c r="A39" s="461">
        <v>519</v>
      </c>
      <c r="B39" s="461" t="s">
        <v>584</v>
      </c>
      <c r="C39" s="461"/>
      <c r="D39" s="629"/>
      <c r="E39" s="629"/>
      <c r="F39" s="629"/>
      <c r="G39" s="629"/>
      <c r="H39" s="629"/>
      <c r="I39" s="629"/>
      <c r="J39" s="629"/>
      <c r="K39" s="629"/>
      <c r="L39" s="468"/>
      <c r="M39" s="468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</row>
    <row r="40" spans="1:38" x14ac:dyDescent="0.3">
      <c r="A40" s="461">
        <v>520</v>
      </c>
      <c r="B40" s="461" t="s">
        <v>556</v>
      </c>
      <c r="C40" s="461"/>
      <c r="D40" s="629"/>
      <c r="E40" s="629"/>
      <c r="F40" s="629"/>
      <c r="G40" s="629"/>
      <c r="H40" s="629"/>
      <c r="I40" s="629"/>
      <c r="J40" s="629"/>
      <c r="K40" s="629"/>
      <c r="L40" s="468"/>
      <c r="M40" s="468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</row>
    <row r="41" spans="1:38" x14ac:dyDescent="0.3">
      <c r="A41" s="461">
        <v>523</v>
      </c>
      <c r="B41" s="466" t="s">
        <v>587</v>
      </c>
      <c r="C41" s="466"/>
      <c r="D41" s="629"/>
      <c r="E41" s="629"/>
      <c r="F41" s="629"/>
      <c r="G41" s="629"/>
      <c r="H41" s="629"/>
      <c r="I41" s="629"/>
      <c r="J41" s="629"/>
      <c r="K41" s="629"/>
      <c r="L41" s="468"/>
      <c r="M41" s="468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</row>
    <row r="42" spans="1:38" x14ac:dyDescent="0.3">
      <c r="A42" s="461">
        <v>524</v>
      </c>
      <c r="B42" s="461" t="s">
        <v>589</v>
      </c>
      <c r="C42" s="461"/>
      <c r="D42" s="629"/>
      <c r="E42" s="629"/>
      <c r="F42" s="629"/>
      <c r="G42" s="629"/>
      <c r="H42" s="629"/>
      <c r="I42" s="629"/>
      <c r="J42" s="629"/>
      <c r="K42" s="629"/>
      <c r="L42" s="468"/>
      <c r="M42" s="468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</row>
    <row r="43" spans="1:38" x14ac:dyDescent="0.3">
      <c r="A43" s="461">
        <v>525</v>
      </c>
      <c r="B43" s="461" t="s">
        <v>591</v>
      </c>
      <c r="C43" s="461"/>
      <c r="D43" s="629"/>
      <c r="E43" s="629"/>
      <c r="F43" s="629"/>
      <c r="G43" s="629"/>
      <c r="H43" s="629"/>
      <c r="I43" s="629"/>
      <c r="J43" s="629"/>
      <c r="K43" s="629"/>
      <c r="L43" s="468"/>
      <c r="M43" s="468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</row>
    <row r="44" spans="1:38" x14ac:dyDescent="0.3">
      <c r="A44" s="461"/>
      <c r="B44" s="474" t="s">
        <v>524</v>
      </c>
      <c r="C44" s="474"/>
      <c r="D44" s="627"/>
      <c r="E44" s="627"/>
      <c r="F44" s="627"/>
      <c r="G44" s="627"/>
      <c r="H44" s="627"/>
      <c r="I44" s="627"/>
      <c r="J44" s="627"/>
      <c r="K44" s="627"/>
      <c r="L44" s="171"/>
      <c r="M44" s="171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</row>
    <row r="45" spans="1:38" x14ac:dyDescent="0.3">
      <c r="A45" s="461"/>
      <c r="B45" s="461"/>
      <c r="C45" s="461"/>
      <c r="D45" s="627"/>
      <c r="E45" s="627"/>
      <c r="F45" s="627"/>
      <c r="G45" s="627"/>
      <c r="H45" s="627"/>
      <c r="I45" s="627"/>
      <c r="J45" s="627"/>
      <c r="K45" s="627"/>
      <c r="L45" s="171"/>
      <c r="M45" s="171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</row>
    <row r="46" spans="1:38" x14ac:dyDescent="0.3">
      <c r="A46" s="461"/>
      <c r="B46" s="464" t="s">
        <v>565</v>
      </c>
      <c r="C46" s="464"/>
      <c r="D46" s="627"/>
      <c r="E46" s="627"/>
      <c r="F46" s="627"/>
      <c r="G46" s="627"/>
      <c r="H46" s="627"/>
      <c r="I46" s="627"/>
      <c r="J46" s="627"/>
      <c r="K46" s="627"/>
      <c r="L46" s="171"/>
      <c r="M46" s="171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</row>
    <row r="47" spans="1:38" x14ac:dyDescent="0.3">
      <c r="A47" s="461">
        <v>528</v>
      </c>
      <c r="B47" s="461" t="s">
        <v>593</v>
      </c>
      <c r="C47" s="461"/>
      <c r="D47" s="629"/>
      <c r="E47" s="629"/>
      <c r="F47" s="629"/>
      <c r="G47" s="629"/>
      <c r="H47" s="629"/>
      <c r="I47" s="629"/>
      <c r="J47" s="629"/>
      <c r="K47" s="629"/>
      <c r="L47" s="468"/>
      <c r="M47" s="468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</row>
    <row r="48" spans="1:38" x14ac:dyDescent="0.3">
      <c r="A48" s="461">
        <v>529</v>
      </c>
      <c r="B48" s="461" t="s">
        <v>569</v>
      </c>
      <c r="C48" s="461"/>
      <c r="D48" s="629"/>
      <c r="E48" s="629"/>
      <c r="F48" s="629"/>
      <c r="G48" s="629"/>
      <c r="H48" s="629"/>
      <c r="I48" s="629"/>
      <c r="J48" s="629"/>
      <c r="K48" s="629"/>
      <c r="L48" s="468"/>
      <c r="M48" s="468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</row>
    <row r="49" spans="1:38" x14ac:dyDescent="0.3">
      <c r="A49" s="461">
        <v>530</v>
      </c>
      <c r="B49" s="461" t="s">
        <v>596</v>
      </c>
      <c r="C49" s="461"/>
      <c r="D49" s="629"/>
      <c r="E49" s="629"/>
      <c r="F49" s="629"/>
      <c r="G49" s="629"/>
      <c r="H49" s="629"/>
      <c r="I49" s="629"/>
      <c r="J49" s="629"/>
      <c r="K49" s="629"/>
      <c r="L49" s="468"/>
      <c r="M49" s="468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</row>
    <row r="50" spans="1:38" x14ac:dyDescent="0.3">
      <c r="A50" s="461">
        <v>531</v>
      </c>
      <c r="B50" s="461" t="s">
        <v>573</v>
      </c>
      <c r="C50" s="461"/>
      <c r="D50" s="629"/>
      <c r="E50" s="629"/>
      <c r="F50" s="629"/>
      <c r="G50" s="629"/>
      <c r="H50" s="629"/>
      <c r="I50" s="629"/>
      <c r="J50" s="629"/>
      <c r="K50" s="629"/>
      <c r="L50" s="468"/>
      <c r="M50" s="468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</row>
    <row r="51" spans="1:38" x14ac:dyDescent="0.3">
      <c r="A51" s="461">
        <v>532</v>
      </c>
      <c r="B51" s="461" t="s">
        <v>599</v>
      </c>
      <c r="C51" s="461"/>
      <c r="D51" s="629"/>
      <c r="E51" s="629"/>
      <c r="F51" s="629"/>
      <c r="G51" s="629"/>
      <c r="H51" s="629"/>
      <c r="I51" s="629"/>
      <c r="J51" s="629"/>
      <c r="K51" s="629"/>
      <c r="L51" s="468"/>
      <c r="M51" s="468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</row>
    <row r="52" spans="1:38" x14ac:dyDescent="0.3">
      <c r="A52" s="461"/>
      <c r="B52" s="474" t="s">
        <v>524</v>
      </c>
      <c r="C52" s="474"/>
      <c r="D52" s="627"/>
      <c r="E52" s="627"/>
      <c r="F52" s="627"/>
      <c r="G52" s="627"/>
      <c r="H52" s="627"/>
      <c r="I52" s="627"/>
      <c r="J52" s="627"/>
      <c r="K52" s="627"/>
      <c r="L52" s="171"/>
      <c r="M52" s="171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</row>
    <row r="53" spans="1:38" x14ac:dyDescent="0.3">
      <c r="A53" s="461"/>
      <c r="B53" s="461"/>
      <c r="C53" s="461"/>
      <c r="D53" s="627"/>
      <c r="E53" s="627"/>
      <c r="F53" s="627"/>
      <c r="G53" s="627"/>
      <c r="H53" s="627"/>
      <c r="I53" s="627"/>
      <c r="J53" s="627"/>
      <c r="K53" s="627"/>
      <c r="L53" s="171"/>
      <c r="M53" s="171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</row>
    <row r="54" spans="1:38" x14ac:dyDescent="0.3">
      <c r="A54" s="461"/>
      <c r="B54" s="477" t="s">
        <v>1327</v>
      </c>
      <c r="C54" s="477"/>
      <c r="D54" s="627"/>
      <c r="E54" s="627"/>
      <c r="F54" s="627"/>
      <c r="G54" s="627"/>
      <c r="H54" s="627"/>
      <c r="I54" s="627"/>
      <c r="J54" s="627"/>
      <c r="K54" s="627"/>
      <c r="L54" s="171"/>
      <c r="M54" s="171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</row>
    <row r="55" spans="1:38" x14ac:dyDescent="0.3">
      <c r="A55" s="461"/>
      <c r="B55" s="464" t="s">
        <v>549</v>
      </c>
      <c r="C55" s="464"/>
      <c r="D55" s="627"/>
      <c r="E55" s="627"/>
      <c r="F55" s="627"/>
      <c r="G55" s="627"/>
      <c r="H55" s="627"/>
      <c r="I55" s="627"/>
      <c r="J55" s="627"/>
      <c r="K55" s="627"/>
      <c r="L55" s="171"/>
      <c r="M55" s="171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</row>
    <row r="56" spans="1:38" x14ac:dyDescent="0.3">
      <c r="A56" s="466">
        <v>535</v>
      </c>
      <c r="B56" s="461" t="s">
        <v>580</v>
      </c>
      <c r="C56" s="461"/>
      <c r="D56" s="629"/>
      <c r="E56" s="629"/>
      <c r="F56" s="629"/>
      <c r="G56" s="629"/>
      <c r="H56" s="629"/>
      <c r="I56" s="629"/>
      <c r="J56" s="629"/>
      <c r="K56" s="629"/>
      <c r="L56" s="468"/>
      <c r="M56" s="468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</row>
    <row r="57" spans="1:38" x14ac:dyDescent="0.3">
      <c r="A57" s="466">
        <v>536</v>
      </c>
      <c r="B57" s="466" t="s">
        <v>602</v>
      </c>
      <c r="C57" s="466"/>
      <c r="D57" s="629"/>
      <c r="E57" s="629"/>
      <c r="F57" s="629"/>
      <c r="G57" s="629"/>
      <c r="H57" s="629"/>
      <c r="I57" s="629"/>
      <c r="J57" s="629"/>
      <c r="K57" s="629"/>
      <c r="L57" s="468"/>
      <c r="M57" s="468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</row>
    <row r="58" spans="1:38" x14ac:dyDescent="0.3">
      <c r="A58" s="461">
        <v>537</v>
      </c>
      <c r="B58" s="461" t="s">
        <v>1328</v>
      </c>
      <c r="C58" s="461"/>
      <c r="D58" s="629"/>
      <c r="E58" s="629"/>
      <c r="F58" s="629"/>
      <c r="G58" s="629"/>
      <c r="H58" s="629"/>
      <c r="I58" s="629"/>
      <c r="J58" s="629"/>
      <c r="K58" s="629"/>
      <c r="L58" s="468"/>
      <c r="M58" s="468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</row>
    <row r="59" spans="1:38" x14ac:dyDescent="0.3">
      <c r="A59" s="461">
        <v>538</v>
      </c>
      <c r="B59" s="461" t="s">
        <v>560</v>
      </c>
      <c r="C59" s="461"/>
      <c r="D59" s="629"/>
      <c r="E59" s="629"/>
      <c r="F59" s="629"/>
      <c r="G59" s="629"/>
      <c r="H59" s="629"/>
      <c r="I59" s="629"/>
      <c r="J59" s="629"/>
      <c r="K59" s="629"/>
      <c r="L59" s="468"/>
      <c r="M59" s="468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</row>
    <row r="60" spans="1:38" x14ac:dyDescent="0.3">
      <c r="A60" s="461">
        <v>539</v>
      </c>
      <c r="B60" s="466" t="s">
        <v>1329</v>
      </c>
      <c r="C60" s="466"/>
      <c r="D60" s="629"/>
      <c r="E60" s="629"/>
      <c r="F60" s="629"/>
      <c r="G60" s="629"/>
      <c r="H60" s="629"/>
      <c r="I60" s="629"/>
      <c r="J60" s="629"/>
      <c r="K60" s="629"/>
      <c r="L60" s="468"/>
      <c r="M60" s="468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</row>
    <row r="61" spans="1:38" x14ac:dyDescent="0.3">
      <c r="A61" s="461">
        <v>540</v>
      </c>
      <c r="B61" s="461" t="s">
        <v>564</v>
      </c>
      <c r="C61" s="461"/>
      <c r="D61" s="629"/>
      <c r="E61" s="629"/>
      <c r="F61" s="629"/>
      <c r="G61" s="629"/>
      <c r="H61" s="629"/>
      <c r="I61" s="629"/>
      <c r="J61" s="629"/>
      <c r="K61" s="629"/>
      <c r="L61" s="468"/>
      <c r="M61" s="468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</row>
    <row r="62" spans="1:38" x14ac:dyDescent="0.3">
      <c r="A62" s="466"/>
      <c r="B62" s="474" t="s">
        <v>524</v>
      </c>
      <c r="C62" s="474"/>
      <c r="D62" s="627"/>
      <c r="E62" s="627"/>
      <c r="F62" s="627"/>
      <c r="G62" s="627"/>
      <c r="H62" s="627"/>
      <c r="I62" s="627"/>
      <c r="J62" s="627"/>
      <c r="K62" s="627"/>
      <c r="L62" s="171"/>
      <c r="M62" s="171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</row>
    <row r="63" spans="1:38" x14ac:dyDescent="0.3">
      <c r="A63" s="461"/>
      <c r="B63" s="474"/>
      <c r="C63" s="474"/>
      <c r="D63" s="627"/>
      <c r="E63" s="627"/>
      <c r="F63" s="627"/>
      <c r="G63" s="627"/>
      <c r="H63" s="627"/>
      <c r="I63" s="627"/>
      <c r="J63" s="627"/>
      <c r="K63" s="627"/>
      <c r="L63" s="171"/>
      <c r="M63" s="171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</row>
    <row r="64" spans="1:38" x14ac:dyDescent="0.3">
      <c r="A64" s="461"/>
      <c r="B64" s="464" t="s">
        <v>565</v>
      </c>
      <c r="C64" s="464"/>
      <c r="D64" s="627"/>
      <c r="E64" s="627"/>
      <c r="F64" s="627"/>
      <c r="G64" s="627"/>
      <c r="H64" s="627"/>
      <c r="I64" s="627"/>
      <c r="J64" s="627"/>
      <c r="K64" s="627"/>
      <c r="L64" s="171"/>
      <c r="M64" s="171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</row>
    <row r="65" spans="1:38" x14ac:dyDescent="0.3">
      <c r="A65" s="466">
        <v>541</v>
      </c>
      <c r="B65" s="461" t="s">
        <v>593</v>
      </c>
      <c r="C65" s="461"/>
      <c r="D65" s="629"/>
      <c r="E65" s="629"/>
      <c r="F65" s="629"/>
      <c r="G65" s="629"/>
      <c r="H65" s="629"/>
      <c r="I65" s="629"/>
      <c r="J65" s="629"/>
      <c r="K65" s="629"/>
      <c r="L65" s="468"/>
      <c r="M65" s="468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</row>
    <row r="66" spans="1:38" x14ac:dyDescent="0.3">
      <c r="A66" s="466">
        <v>542</v>
      </c>
      <c r="B66" s="461" t="s">
        <v>569</v>
      </c>
      <c r="C66" s="461"/>
      <c r="D66" s="629"/>
      <c r="E66" s="629"/>
      <c r="F66" s="629"/>
      <c r="G66" s="629"/>
      <c r="H66" s="629"/>
      <c r="I66" s="629"/>
      <c r="J66" s="629"/>
      <c r="K66" s="629"/>
      <c r="L66" s="468"/>
      <c r="M66" s="468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</row>
    <row r="67" spans="1:38" x14ac:dyDescent="0.3">
      <c r="A67" s="466">
        <v>543</v>
      </c>
      <c r="B67" s="466" t="s">
        <v>610</v>
      </c>
      <c r="C67" s="466"/>
      <c r="D67" s="629"/>
      <c r="E67" s="629"/>
      <c r="F67" s="629"/>
      <c r="G67" s="629"/>
      <c r="H67" s="629"/>
      <c r="I67" s="629"/>
      <c r="J67" s="629"/>
      <c r="K67" s="629"/>
      <c r="L67" s="468"/>
      <c r="M67" s="468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</row>
    <row r="68" spans="1:38" x14ac:dyDescent="0.3">
      <c r="A68" s="466">
        <v>544</v>
      </c>
      <c r="B68" s="461" t="s">
        <v>573</v>
      </c>
      <c r="C68" s="461"/>
      <c r="D68" s="629"/>
      <c r="E68" s="629"/>
      <c r="F68" s="629"/>
      <c r="G68" s="629"/>
      <c r="H68" s="629"/>
      <c r="I68" s="629"/>
      <c r="J68" s="629"/>
      <c r="K68" s="629"/>
      <c r="L68" s="468"/>
      <c r="M68" s="468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</row>
    <row r="69" spans="1:38" x14ac:dyDescent="0.3">
      <c r="A69" s="466">
        <v>545</v>
      </c>
      <c r="B69" s="466" t="s">
        <v>1330</v>
      </c>
      <c r="C69" s="466"/>
      <c r="D69" s="629"/>
      <c r="E69" s="629"/>
      <c r="F69" s="629"/>
      <c r="G69" s="629"/>
      <c r="H69" s="629"/>
      <c r="I69" s="629"/>
      <c r="J69" s="629"/>
      <c r="K69" s="629"/>
      <c r="L69" s="468"/>
      <c r="M69" s="468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</row>
    <row r="70" spans="1:38" x14ac:dyDescent="0.3">
      <c r="A70" s="461"/>
      <c r="B70" s="474" t="s">
        <v>524</v>
      </c>
      <c r="C70" s="474"/>
      <c r="D70" s="627"/>
      <c r="E70" s="627"/>
      <c r="F70" s="627"/>
      <c r="G70" s="627"/>
      <c r="H70" s="627"/>
      <c r="I70" s="627"/>
      <c r="J70" s="627"/>
      <c r="K70" s="627"/>
      <c r="L70" s="171"/>
      <c r="M70" s="171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</row>
    <row r="71" spans="1:38" x14ac:dyDescent="0.3">
      <c r="A71" s="461"/>
      <c r="B71" s="461"/>
      <c r="C71" s="461"/>
      <c r="D71" s="627"/>
      <c r="E71" s="627"/>
      <c r="F71" s="627"/>
      <c r="G71" s="627"/>
      <c r="H71" s="627"/>
      <c r="I71" s="627"/>
      <c r="J71" s="627"/>
      <c r="K71" s="627"/>
      <c r="L71" s="171"/>
      <c r="M71" s="171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</row>
    <row r="72" spans="1:38" x14ac:dyDescent="0.3">
      <c r="A72" s="461"/>
      <c r="B72" s="477" t="s">
        <v>613</v>
      </c>
      <c r="C72" s="477"/>
      <c r="D72" s="627"/>
      <c r="E72" s="627"/>
      <c r="F72" s="627"/>
      <c r="G72" s="627"/>
      <c r="H72" s="627"/>
      <c r="I72" s="627"/>
      <c r="J72" s="627"/>
      <c r="K72" s="627"/>
      <c r="L72" s="171"/>
      <c r="M72" s="171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</row>
    <row r="73" spans="1:38" x14ac:dyDescent="0.3">
      <c r="A73" s="461"/>
      <c r="B73" s="464" t="s">
        <v>549</v>
      </c>
      <c r="C73" s="464"/>
      <c r="D73" s="629"/>
      <c r="E73" s="629"/>
      <c r="F73" s="629"/>
      <c r="G73" s="629"/>
      <c r="H73" s="629"/>
      <c r="I73" s="629"/>
      <c r="J73" s="629"/>
      <c r="K73" s="629"/>
      <c r="L73" s="171"/>
      <c r="M73" s="171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</row>
    <row r="74" spans="1:38" x14ac:dyDescent="0.3">
      <c r="A74" s="465">
        <v>546</v>
      </c>
      <c r="B74" s="461" t="s">
        <v>615</v>
      </c>
      <c r="C74" s="461"/>
      <c r="D74" s="629"/>
      <c r="E74" s="629"/>
      <c r="F74" s="629"/>
      <c r="G74" s="629"/>
      <c r="H74" s="629"/>
      <c r="I74" s="629"/>
      <c r="J74" s="629"/>
      <c r="K74" s="629"/>
      <c r="L74" s="468"/>
      <c r="M74" s="468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</row>
    <row r="75" spans="1:38" x14ac:dyDescent="0.3">
      <c r="A75" s="465">
        <v>547</v>
      </c>
      <c r="B75" s="461" t="s">
        <v>617</v>
      </c>
      <c r="C75" s="461"/>
      <c r="D75" s="629"/>
      <c r="E75" s="629"/>
      <c r="F75" s="629"/>
      <c r="G75" s="629"/>
      <c r="H75" s="629"/>
      <c r="I75" s="629"/>
      <c r="J75" s="629"/>
      <c r="K75" s="629"/>
      <c r="L75" s="468"/>
      <c r="M75" s="468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</row>
    <row r="76" spans="1:38" x14ac:dyDescent="0.3">
      <c r="A76" s="465">
        <v>548</v>
      </c>
      <c r="B76" s="461" t="s">
        <v>560</v>
      </c>
      <c r="C76" s="461"/>
      <c r="D76" s="629"/>
      <c r="E76" s="629"/>
      <c r="F76" s="629"/>
      <c r="G76" s="629"/>
      <c r="H76" s="629"/>
      <c r="I76" s="629"/>
      <c r="J76" s="629"/>
      <c r="K76" s="629"/>
      <c r="L76" s="468"/>
      <c r="M76" s="468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</row>
    <row r="77" spans="1:38" x14ac:dyDescent="0.3">
      <c r="A77" s="465">
        <v>549</v>
      </c>
      <c r="B77" s="461" t="s">
        <v>619</v>
      </c>
      <c r="C77" s="461"/>
      <c r="D77" s="629"/>
      <c r="E77" s="629"/>
      <c r="F77" s="629"/>
      <c r="G77" s="629"/>
      <c r="H77" s="629"/>
      <c r="I77" s="629"/>
      <c r="J77" s="629"/>
      <c r="K77" s="629"/>
      <c r="L77" s="468"/>
      <c r="M77" s="468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</row>
    <row r="78" spans="1:38" x14ac:dyDescent="0.3">
      <c r="A78" s="465">
        <v>550</v>
      </c>
      <c r="B78" s="461" t="s">
        <v>564</v>
      </c>
      <c r="C78" s="461"/>
      <c r="D78" s="629"/>
      <c r="E78" s="629"/>
      <c r="F78" s="629"/>
      <c r="G78" s="629"/>
      <c r="H78" s="629"/>
      <c r="I78" s="629"/>
      <c r="J78" s="629"/>
      <c r="K78" s="629"/>
      <c r="L78" s="468"/>
      <c r="M78" s="468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</row>
    <row r="79" spans="1:38" x14ac:dyDescent="0.3">
      <c r="A79" s="461"/>
      <c r="B79" s="474" t="s">
        <v>524</v>
      </c>
      <c r="C79" s="474"/>
      <c r="D79" s="627"/>
      <c r="E79" s="627"/>
      <c r="F79" s="627"/>
      <c r="G79" s="627"/>
      <c r="H79" s="627"/>
      <c r="I79" s="627"/>
      <c r="J79" s="627"/>
      <c r="K79" s="627"/>
      <c r="L79" s="171"/>
      <c r="M79" s="171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</row>
    <row r="80" spans="1:38" x14ac:dyDescent="0.3">
      <c r="A80" s="461"/>
      <c r="B80" s="461"/>
      <c r="C80" s="461"/>
      <c r="D80" s="627"/>
      <c r="E80" s="627"/>
      <c r="F80" s="627"/>
      <c r="G80" s="627"/>
      <c r="H80" s="627"/>
      <c r="I80" s="627"/>
      <c r="J80" s="627"/>
      <c r="K80" s="627"/>
      <c r="L80" s="171"/>
      <c r="M80" s="171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</row>
    <row r="81" spans="1:38" x14ac:dyDescent="0.3">
      <c r="A81" s="461"/>
      <c r="B81" s="464" t="s">
        <v>565</v>
      </c>
      <c r="C81" s="464"/>
      <c r="D81" s="627"/>
      <c r="E81" s="627"/>
      <c r="F81" s="627"/>
      <c r="G81" s="627"/>
      <c r="H81" s="627"/>
      <c r="I81" s="627"/>
      <c r="J81" s="627"/>
      <c r="K81" s="627"/>
      <c r="L81" s="171"/>
      <c r="M81" s="171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</row>
    <row r="82" spans="1:38" x14ac:dyDescent="0.3">
      <c r="A82" s="461">
        <v>551</v>
      </c>
      <c r="B82" s="461" t="s">
        <v>622</v>
      </c>
      <c r="C82" s="461"/>
      <c r="D82" s="629"/>
      <c r="E82" s="629"/>
      <c r="F82" s="629"/>
      <c r="G82" s="629"/>
      <c r="H82" s="629"/>
      <c r="I82" s="629"/>
      <c r="J82" s="629"/>
      <c r="K82" s="629"/>
      <c r="L82" s="468"/>
      <c r="M82" s="468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</row>
    <row r="83" spans="1:38" x14ac:dyDescent="0.3">
      <c r="A83" s="461">
        <v>552</v>
      </c>
      <c r="B83" s="466" t="s">
        <v>624</v>
      </c>
      <c r="C83" s="466"/>
      <c r="D83" s="629"/>
      <c r="E83" s="629"/>
      <c r="F83" s="629"/>
      <c r="G83" s="629"/>
      <c r="H83" s="629"/>
      <c r="I83" s="629"/>
      <c r="J83" s="629"/>
      <c r="K83" s="629"/>
      <c r="L83" s="468"/>
      <c r="M83" s="468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</row>
    <row r="84" spans="1:38" x14ac:dyDescent="0.3">
      <c r="A84" s="461">
        <v>553</v>
      </c>
      <c r="B84" s="461" t="s">
        <v>626</v>
      </c>
      <c r="C84" s="461"/>
      <c r="D84" s="629"/>
      <c r="E84" s="629"/>
      <c r="F84" s="629"/>
      <c r="G84" s="629"/>
      <c r="H84" s="629"/>
      <c r="I84" s="629"/>
      <c r="J84" s="629"/>
      <c r="K84" s="629"/>
      <c r="L84" s="468"/>
      <c r="M84" s="468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</row>
    <row r="85" spans="1:38" x14ac:dyDescent="0.3">
      <c r="A85" s="461">
        <v>554</v>
      </c>
      <c r="B85" s="461" t="s">
        <v>628</v>
      </c>
      <c r="C85" s="461"/>
      <c r="D85" s="629"/>
      <c r="E85" s="629"/>
      <c r="F85" s="629"/>
      <c r="G85" s="629"/>
      <c r="H85" s="629"/>
      <c r="I85" s="629"/>
      <c r="J85" s="629"/>
      <c r="K85" s="629"/>
      <c r="L85" s="468"/>
      <c r="M85" s="468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</row>
    <row r="86" spans="1:38" x14ac:dyDescent="0.3">
      <c r="A86" s="461"/>
      <c r="B86" s="474" t="s">
        <v>524</v>
      </c>
      <c r="C86" s="474"/>
      <c r="D86" s="627"/>
      <c r="E86" s="627"/>
      <c r="F86" s="627"/>
      <c r="G86" s="627"/>
      <c r="H86" s="627"/>
      <c r="I86" s="627"/>
      <c r="J86" s="627"/>
      <c r="K86" s="627"/>
      <c r="L86" s="171"/>
      <c r="M86" s="171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</row>
    <row r="87" spans="1:38" x14ac:dyDescent="0.3">
      <c r="A87" s="461"/>
      <c r="B87" s="461"/>
      <c r="C87" s="461"/>
      <c r="D87" s="627"/>
      <c r="E87" s="627"/>
      <c r="F87" s="627"/>
      <c r="G87" s="627"/>
      <c r="H87" s="627"/>
      <c r="I87" s="627"/>
      <c r="J87" s="627"/>
      <c r="K87" s="627"/>
      <c r="L87" s="171"/>
      <c r="M87" s="171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</row>
    <row r="88" spans="1:38" x14ac:dyDescent="0.3">
      <c r="A88" s="461"/>
      <c r="B88" s="477" t="s">
        <v>629</v>
      </c>
      <c r="C88" s="477"/>
      <c r="D88" s="627"/>
      <c r="E88" s="627"/>
      <c r="F88" s="627"/>
      <c r="G88" s="627"/>
      <c r="H88" s="627"/>
      <c r="I88" s="627"/>
      <c r="J88" s="627"/>
      <c r="K88" s="627"/>
      <c r="L88" s="171"/>
      <c r="M88" s="171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</row>
    <row r="89" spans="1:38" x14ac:dyDescent="0.3">
      <c r="A89" s="465">
        <v>555</v>
      </c>
      <c r="B89" s="461" t="s">
        <v>902</v>
      </c>
      <c r="C89" s="461"/>
      <c r="D89" s="629"/>
      <c r="E89" s="629"/>
      <c r="F89" s="629"/>
      <c r="G89" s="629"/>
      <c r="H89" s="629"/>
      <c r="I89" s="629"/>
      <c r="J89" s="629"/>
      <c r="K89" s="629"/>
      <c r="L89" s="521">
        <v>1</v>
      </c>
      <c r="M89" s="468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</row>
    <row r="90" spans="1:38" x14ac:dyDescent="0.3">
      <c r="A90" s="465"/>
      <c r="B90" s="461" t="s">
        <v>903</v>
      </c>
      <c r="C90" s="461"/>
      <c r="D90" s="629"/>
      <c r="E90" s="629"/>
      <c r="F90" s="629"/>
      <c r="G90" s="629"/>
      <c r="H90" s="629"/>
      <c r="I90" s="629"/>
      <c r="J90" s="629"/>
      <c r="K90" s="629"/>
      <c r="L90" s="521">
        <v>1</v>
      </c>
      <c r="M90" s="468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</row>
    <row r="91" spans="1:38" x14ac:dyDescent="0.3">
      <c r="A91" s="465"/>
      <c r="B91" s="461" t="s">
        <v>904</v>
      </c>
      <c r="C91" s="461"/>
      <c r="D91" s="629"/>
      <c r="E91" s="629"/>
      <c r="F91" s="629"/>
      <c r="G91" s="629"/>
      <c r="H91" s="629"/>
      <c r="I91" s="629"/>
      <c r="J91" s="629"/>
      <c r="K91" s="629"/>
      <c r="L91" s="521">
        <v>1</v>
      </c>
      <c r="M91" s="468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</row>
    <row r="92" spans="1:38" x14ac:dyDescent="0.3">
      <c r="A92" s="465"/>
      <c r="B92" s="461" t="s">
        <v>905</v>
      </c>
      <c r="C92" s="461"/>
      <c r="D92" s="629"/>
      <c r="E92" s="629"/>
      <c r="F92" s="629"/>
      <c r="G92" s="629"/>
      <c r="H92" s="629"/>
      <c r="I92" s="629"/>
      <c r="J92" s="629"/>
      <c r="K92" s="629"/>
      <c r="L92" s="521">
        <v>1</v>
      </c>
      <c r="M92" s="468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</row>
    <row r="93" spans="1:38" x14ac:dyDescent="0.3">
      <c r="A93" s="465">
        <v>555</v>
      </c>
      <c r="B93" s="474" t="s">
        <v>524</v>
      </c>
      <c r="C93" s="474"/>
      <c r="D93" s="629"/>
      <c r="E93" s="629"/>
      <c r="F93" s="629"/>
      <c r="G93" s="629"/>
      <c r="H93" s="629"/>
      <c r="I93" s="629"/>
      <c r="J93" s="629"/>
      <c r="K93" s="629"/>
      <c r="L93" s="521">
        <v>1</v>
      </c>
      <c r="M93" s="468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</row>
    <row r="94" spans="1:38" x14ac:dyDescent="0.3">
      <c r="A94" s="465">
        <v>556</v>
      </c>
      <c r="B94" s="461" t="s">
        <v>636</v>
      </c>
      <c r="C94" s="461"/>
      <c r="D94" s="629"/>
      <c r="E94" s="629"/>
      <c r="F94" s="629"/>
      <c r="G94" s="629"/>
      <c r="H94" s="629"/>
      <c r="I94" s="629"/>
      <c r="J94" s="629"/>
      <c r="K94" s="629"/>
      <c r="L94" s="468"/>
      <c r="M94" s="468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</row>
    <row r="95" spans="1:38" x14ac:dyDescent="0.3">
      <c r="A95" s="465">
        <v>557</v>
      </c>
      <c r="B95" s="465" t="s">
        <v>1180</v>
      </c>
      <c r="C95" s="461"/>
      <c r="D95" s="629"/>
      <c r="E95" s="629"/>
      <c r="F95" s="629"/>
      <c r="G95" s="629"/>
      <c r="H95" s="629"/>
      <c r="I95" s="629"/>
      <c r="J95" s="629"/>
      <c r="K95" s="629"/>
      <c r="L95" s="468"/>
      <c r="M95" s="468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</row>
    <row r="96" spans="1:38" x14ac:dyDescent="0.3">
      <c r="A96" s="465">
        <v>557</v>
      </c>
      <c r="B96" s="465" t="s">
        <v>1181</v>
      </c>
      <c r="C96" s="461"/>
      <c r="D96" s="629"/>
      <c r="E96" s="629"/>
      <c r="F96" s="629"/>
      <c r="G96" s="629"/>
      <c r="H96" s="629"/>
      <c r="I96" s="629"/>
      <c r="J96" s="629"/>
      <c r="K96" s="629"/>
      <c r="L96" s="468"/>
      <c r="M96" s="468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</row>
    <row r="97" spans="1:38" x14ac:dyDescent="0.3">
      <c r="A97" s="465"/>
      <c r="B97" s="474" t="s">
        <v>639</v>
      </c>
      <c r="C97" s="474"/>
      <c r="D97" s="627"/>
      <c r="E97" s="627"/>
      <c r="F97" s="627"/>
      <c r="G97" s="627"/>
      <c r="H97" s="627"/>
      <c r="I97" s="627"/>
      <c r="J97" s="627"/>
      <c r="K97" s="627"/>
      <c r="L97" s="171"/>
      <c r="M97" s="171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</row>
    <row r="98" spans="1:38" x14ac:dyDescent="0.3">
      <c r="A98" s="461"/>
      <c r="B98" s="461"/>
      <c r="C98" s="461"/>
      <c r="D98" s="627"/>
      <c r="E98" s="627"/>
      <c r="F98" s="627"/>
      <c r="G98" s="627"/>
      <c r="H98" s="627"/>
      <c r="I98" s="627"/>
      <c r="J98" s="627"/>
      <c r="K98" s="627"/>
      <c r="L98" s="171"/>
      <c r="M98" s="171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</row>
    <row r="99" spans="1:38" x14ac:dyDescent="0.3">
      <c r="A99" s="461"/>
      <c r="B99" s="479" t="s">
        <v>640</v>
      </c>
      <c r="C99" s="479"/>
      <c r="D99" s="708"/>
      <c r="E99" s="708"/>
      <c r="F99" s="627"/>
      <c r="G99" s="627"/>
      <c r="H99" s="627"/>
      <c r="I99" s="708"/>
      <c r="J99" s="708"/>
      <c r="K99" s="627"/>
      <c r="L99" s="171"/>
      <c r="M99" s="171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</row>
    <row r="100" spans="1:38" x14ac:dyDescent="0.3">
      <c r="A100" s="461"/>
      <c r="B100" s="461"/>
      <c r="C100" s="461"/>
      <c r="D100" s="171"/>
      <c r="E100" s="171"/>
      <c r="F100" s="627"/>
      <c r="G100" s="627"/>
      <c r="H100" s="627"/>
      <c r="I100" s="171"/>
      <c r="J100" s="171"/>
      <c r="K100" s="171"/>
      <c r="L100" s="171"/>
      <c r="M100" s="171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</row>
    <row r="101" spans="1:38" x14ac:dyDescent="0.3">
      <c r="A101" s="479" t="s">
        <v>641</v>
      </c>
      <c r="B101" s="461"/>
      <c r="C101" s="461"/>
      <c r="D101" s="171"/>
      <c r="E101" s="171"/>
      <c r="F101" s="627"/>
      <c r="G101" s="627"/>
      <c r="H101" s="627"/>
      <c r="I101" s="171"/>
      <c r="J101" s="171"/>
      <c r="K101" s="171"/>
      <c r="L101" s="171"/>
      <c r="M101" s="171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</row>
    <row r="102" spans="1:38" x14ac:dyDescent="0.3">
      <c r="A102" s="461"/>
      <c r="B102" s="464" t="s">
        <v>549</v>
      </c>
      <c r="C102" s="464"/>
      <c r="D102" s="171"/>
      <c r="E102" s="171"/>
      <c r="F102" s="627"/>
      <c r="G102" s="627"/>
      <c r="H102" s="627"/>
      <c r="I102" s="171"/>
      <c r="J102" s="171"/>
      <c r="K102" s="171"/>
      <c r="L102" s="171"/>
      <c r="M102" s="171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</row>
    <row r="103" spans="1:38" x14ac:dyDescent="0.3">
      <c r="A103" s="461">
        <v>560</v>
      </c>
      <c r="B103" s="461" t="s">
        <v>615</v>
      </c>
      <c r="C103" s="461"/>
      <c r="D103" s="521">
        <f t="shared" ref="D103:D110" si="0">+E103+I103+J103+K103</f>
        <v>0</v>
      </c>
      <c r="E103" s="521"/>
      <c r="F103" s="629"/>
      <c r="G103" s="629"/>
      <c r="H103" s="629"/>
      <c r="I103" s="521"/>
      <c r="J103" s="468"/>
      <c r="K103" s="468"/>
      <c r="L103" s="521">
        <v>1</v>
      </c>
      <c r="M103" s="521">
        <v>1</v>
      </c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</row>
    <row r="104" spans="1:38" x14ac:dyDescent="0.3">
      <c r="A104" s="461">
        <v>561</v>
      </c>
      <c r="B104" s="461" t="s">
        <v>644</v>
      </c>
      <c r="C104" s="461"/>
      <c r="D104" s="521">
        <f t="shared" si="0"/>
        <v>0</v>
      </c>
      <c r="E104" s="521"/>
      <c r="F104" s="629"/>
      <c r="G104" s="629"/>
      <c r="H104" s="629"/>
      <c r="I104" s="521"/>
      <c r="J104" s="468"/>
      <c r="K104" s="468"/>
      <c r="L104" s="521">
        <v>1</v>
      </c>
      <c r="M104" s="521">
        <v>1</v>
      </c>
      <c r="N104" s="521">
        <v>1</v>
      </c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</row>
    <row r="105" spans="1:38" x14ac:dyDescent="0.3">
      <c r="A105" s="461">
        <v>562</v>
      </c>
      <c r="B105" s="461" t="s">
        <v>428</v>
      </c>
      <c r="C105" s="461"/>
      <c r="D105" s="521">
        <f>+E105+I105+J105+K105</f>
        <v>1</v>
      </c>
      <c r="E105" s="521">
        <v>1</v>
      </c>
      <c r="F105" s="629"/>
      <c r="G105" s="629"/>
      <c r="H105" s="629"/>
      <c r="I105" s="521"/>
      <c r="J105" s="468"/>
      <c r="K105" s="468"/>
      <c r="L105" s="521">
        <v>1</v>
      </c>
      <c r="M105" s="521">
        <v>1</v>
      </c>
      <c r="N105" s="521">
        <v>1</v>
      </c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</row>
    <row r="106" spans="1:38" x14ac:dyDescent="0.3">
      <c r="A106" s="461">
        <v>563</v>
      </c>
      <c r="B106" s="461" t="s">
        <v>647</v>
      </c>
      <c r="C106" s="461"/>
      <c r="D106" s="521">
        <f t="shared" si="0"/>
        <v>0</v>
      </c>
      <c r="E106" s="521"/>
      <c r="F106" s="629"/>
      <c r="G106" s="629"/>
      <c r="H106" s="629"/>
      <c r="I106" s="521"/>
      <c r="J106" s="468"/>
      <c r="K106" s="468"/>
      <c r="L106" s="521">
        <v>1</v>
      </c>
      <c r="M106" s="521">
        <v>1</v>
      </c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</row>
    <row r="107" spans="1:38" x14ac:dyDescent="0.3">
      <c r="A107" s="461">
        <v>564</v>
      </c>
      <c r="B107" s="461" t="s">
        <v>649</v>
      </c>
      <c r="C107" s="461"/>
      <c r="D107" s="521">
        <f t="shared" si="0"/>
        <v>0</v>
      </c>
      <c r="E107" s="521"/>
      <c r="F107" s="629"/>
      <c r="G107" s="629"/>
      <c r="H107" s="629"/>
      <c r="I107" s="521"/>
      <c r="J107" s="468"/>
      <c r="K107" s="468"/>
      <c r="L107" s="521">
        <v>1</v>
      </c>
      <c r="M107" s="521">
        <v>1</v>
      </c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</row>
    <row r="108" spans="1:38" x14ac:dyDescent="0.3">
      <c r="A108" s="461">
        <v>565</v>
      </c>
      <c r="B108" s="466" t="s">
        <v>651</v>
      </c>
      <c r="C108" s="466"/>
      <c r="D108" s="521">
        <f t="shared" si="0"/>
        <v>0</v>
      </c>
      <c r="E108" s="521"/>
      <c r="F108" s="629"/>
      <c r="G108" s="629"/>
      <c r="H108" s="629"/>
      <c r="I108" s="521"/>
      <c r="J108" s="468"/>
      <c r="K108" s="468"/>
      <c r="L108" s="521">
        <v>1</v>
      </c>
      <c r="M108" s="521">
        <v>1</v>
      </c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</row>
    <row r="109" spans="1:38" x14ac:dyDescent="0.3">
      <c r="A109" s="461">
        <v>566</v>
      </c>
      <c r="B109" s="461" t="s">
        <v>653</v>
      </c>
      <c r="C109" s="461"/>
      <c r="D109" s="521">
        <f t="shared" si="0"/>
        <v>0</v>
      </c>
      <c r="E109" s="521"/>
      <c r="F109" s="629"/>
      <c r="G109" s="629"/>
      <c r="H109" s="629"/>
      <c r="I109" s="521"/>
      <c r="J109" s="468"/>
      <c r="K109" s="468"/>
      <c r="L109" s="521">
        <v>1</v>
      </c>
      <c r="M109" s="521">
        <v>1</v>
      </c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</row>
    <row r="110" spans="1:38" x14ac:dyDescent="0.3">
      <c r="A110" s="461">
        <v>567</v>
      </c>
      <c r="B110" s="461" t="s">
        <v>564</v>
      </c>
      <c r="C110" s="461"/>
      <c r="D110" s="521">
        <f t="shared" si="0"/>
        <v>0</v>
      </c>
      <c r="E110" s="521"/>
      <c r="F110" s="629"/>
      <c r="G110" s="629"/>
      <c r="H110" s="629"/>
      <c r="I110" s="521"/>
      <c r="J110" s="468"/>
      <c r="K110" s="468"/>
      <c r="L110" s="521">
        <v>1</v>
      </c>
      <c r="M110" s="521">
        <v>1</v>
      </c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</row>
    <row r="111" spans="1:38" x14ac:dyDescent="0.3">
      <c r="A111" s="461"/>
      <c r="B111" s="474" t="s">
        <v>524</v>
      </c>
      <c r="C111" s="474"/>
      <c r="D111" s="171"/>
      <c r="E111" s="171"/>
      <c r="F111" s="627"/>
      <c r="G111" s="627"/>
      <c r="H111" s="627"/>
      <c r="I111" s="171"/>
      <c r="J111" s="171"/>
      <c r="K111" s="171"/>
      <c r="L111" s="171"/>
      <c r="M111" s="171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</row>
    <row r="112" spans="1:38" x14ac:dyDescent="0.3">
      <c r="A112" s="461"/>
      <c r="B112" s="461"/>
      <c r="C112" s="461"/>
      <c r="D112" s="171"/>
      <c r="E112" s="171"/>
      <c r="F112" s="627"/>
      <c r="G112" s="627"/>
      <c r="H112" s="627"/>
      <c r="I112" s="171"/>
      <c r="J112" s="171"/>
      <c r="K112" s="171"/>
      <c r="L112" s="171"/>
      <c r="M112" s="171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</row>
    <row r="113" spans="1:38" x14ac:dyDescent="0.3">
      <c r="A113" s="461"/>
      <c r="B113" s="464" t="s">
        <v>565</v>
      </c>
      <c r="C113" s="464"/>
      <c r="D113" s="171"/>
      <c r="E113" s="171"/>
      <c r="F113" s="627"/>
      <c r="G113" s="627"/>
      <c r="H113" s="627"/>
      <c r="I113" s="171"/>
      <c r="J113" s="171"/>
      <c r="K113" s="171"/>
      <c r="L113" s="171"/>
      <c r="M113" s="171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</row>
    <row r="114" spans="1:38" x14ac:dyDescent="0.3">
      <c r="A114" s="461">
        <v>568</v>
      </c>
      <c r="B114" s="461" t="s">
        <v>622</v>
      </c>
      <c r="C114" s="461"/>
      <c r="D114" s="521">
        <f>+E114+I114+J114+K114</f>
        <v>0</v>
      </c>
      <c r="E114" s="521"/>
      <c r="F114" s="629"/>
      <c r="G114" s="629"/>
      <c r="H114" s="629"/>
      <c r="I114" s="521"/>
      <c r="J114" s="468"/>
      <c r="K114" s="468"/>
      <c r="L114" s="521">
        <v>1</v>
      </c>
      <c r="M114" s="468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</row>
    <row r="115" spans="1:38" x14ac:dyDescent="0.3">
      <c r="A115" s="461">
        <v>569</v>
      </c>
      <c r="B115" s="466" t="s">
        <v>569</v>
      </c>
      <c r="C115" s="466"/>
      <c r="D115" s="521">
        <f t="shared" ref="D115:D120" si="1">+E115+I115+J115+K115</f>
        <v>0</v>
      </c>
      <c r="E115" s="521"/>
      <c r="F115" s="629"/>
      <c r="G115" s="629"/>
      <c r="H115" s="629"/>
      <c r="I115" s="521"/>
      <c r="J115" s="468"/>
      <c r="K115" s="468"/>
      <c r="L115" s="521">
        <v>1</v>
      </c>
      <c r="M115" s="468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</row>
    <row r="116" spans="1:38" x14ac:dyDescent="0.3">
      <c r="A116" s="461">
        <v>570</v>
      </c>
      <c r="B116" s="461" t="s">
        <v>658</v>
      </c>
      <c r="C116" s="461"/>
      <c r="D116" s="521">
        <f t="shared" si="1"/>
        <v>1</v>
      </c>
      <c r="E116" s="521">
        <v>1</v>
      </c>
      <c r="F116" s="629"/>
      <c r="G116" s="629"/>
      <c r="H116" s="629"/>
      <c r="I116" s="521"/>
      <c r="J116" s="468"/>
      <c r="K116" s="468"/>
      <c r="L116" s="521">
        <v>1</v>
      </c>
      <c r="M116" s="521">
        <f>SUM(N116:W116)</f>
        <v>1</v>
      </c>
      <c r="N116" s="526">
        <v>1</v>
      </c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</row>
    <row r="117" spans="1:38" x14ac:dyDescent="0.3">
      <c r="A117" s="461">
        <v>571</v>
      </c>
      <c r="B117" s="461" t="s">
        <v>660</v>
      </c>
      <c r="C117" s="461"/>
      <c r="D117" s="521">
        <f t="shared" ref="D117:D118" si="2">+E117+I117+J117+K117</f>
        <v>1</v>
      </c>
      <c r="E117" s="521">
        <v>1</v>
      </c>
      <c r="F117" s="629"/>
      <c r="G117" s="629"/>
      <c r="H117" s="629"/>
      <c r="I117" s="521"/>
      <c r="J117" s="468"/>
      <c r="K117" s="468"/>
      <c r="L117" s="521">
        <v>1</v>
      </c>
      <c r="M117" s="468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</row>
    <row r="118" spans="1:38" x14ac:dyDescent="0.3">
      <c r="A118" s="461">
        <v>572</v>
      </c>
      <c r="B118" s="466" t="s">
        <v>662</v>
      </c>
      <c r="C118" s="466"/>
      <c r="D118" s="521">
        <f t="shared" si="2"/>
        <v>1</v>
      </c>
      <c r="E118" s="521">
        <v>1</v>
      </c>
      <c r="F118" s="629"/>
      <c r="G118" s="629"/>
      <c r="H118" s="629"/>
      <c r="I118" s="521"/>
      <c r="J118" s="171"/>
      <c r="K118" s="171"/>
      <c r="L118" s="521">
        <v>1</v>
      </c>
      <c r="M118" s="521"/>
      <c r="N118" s="62"/>
      <c r="O118" s="526"/>
      <c r="P118" s="526"/>
      <c r="Q118" s="526"/>
      <c r="R118" s="526"/>
      <c r="S118" s="526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</row>
    <row r="119" spans="1:38" x14ac:dyDescent="0.3">
      <c r="A119" s="461">
        <v>573</v>
      </c>
      <c r="B119" s="466" t="s">
        <v>664</v>
      </c>
      <c r="C119" s="466"/>
      <c r="D119" s="521">
        <f t="shared" si="1"/>
        <v>0</v>
      </c>
      <c r="E119" s="521"/>
      <c r="F119" s="629"/>
      <c r="G119" s="629"/>
      <c r="H119" s="629"/>
      <c r="I119" s="521"/>
      <c r="J119" s="468"/>
      <c r="K119" s="468"/>
      <c r="L119" s="521">
        <v>1</v>
      </c>
      <c r="M119" s="468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</row>
    <row r="120" spans="1:38" x14ac:dyDescent="0.3">
      <c r="A120" s="461"/>
      <c r="B120" s="474" t="s">
        <v>524</v>
      </c>
      <c r="C120" s="474"/>
      <c r="D120" s="521">
        <f t="shared" si="1"/>
        <v>0</v>
      </c>
      <c r="E120" s="171"/>
      <c r="F120" s="627"/>
      <c r="G120" s="627"/>
      <c r="H120" s="627"/>
      <c r="I120" s="171"/>
      <c r="J120" s="171"/>
      <c r="K120" s="171"/>
      <c r="L120" s="521">
        <v>1</v>
      </c>
      <c r="M120" s="171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</row>
    <row r="121" spans="1:38" x14ac:dyDescent="0.3">
      <c r="A121" s="461"/>
      <c r="B121" s="461"/>
      <c r="C121" s="461"/>
      <c r="D121" s="171"/>
      <c r="E121" s="171"/>
      <c r="F121" s="627"/>
      <c r="G121" s="627"/>
      <c r="H121" s="627"/>
      <c r="I121" s="171"/>
      <c r="J121" s="171"/>
      <c r="K121" s="171"/>
      <c r="L121" s="171"/>
      <c r="M121" s="171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</row>
    <row r="122" spans="1:38" x14ac:dyDescent="0.3">
      <c r="A122" s="461"/>
      <c r="B122" s="479" t="s">
        <v>541</v>
      </c>
      <c r="C122" s="479"/>
      <c r="D122" s="171"/>
      <c r="E122" s="171"/>
      <c r="F122" s="627"/>
      <c r="G122" s="627"/>
      <c r="H122" s="627"/>
      <c r="I122" s="171"/>
      <c r="J122" s="171"/>
      <c r="K122" s="171"/>
      <c r="L122" s="171"/>
      <c r="M122" s="171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</row>
    <row r="123" spans="1:38" x14ac:dyDescent="0.3">
      <c r="A123" s="461"/>
      <c r="B123" s="461"/>
      <c r="C123" s="461"/>
      <c r="D123" s="171"/>
      <c r="E123" s="171"/>
      <c r="F123" s="627"/>
      <c r="G123" s="627"/>
      <c r="H123" s="627"/>
      <c r="I123" s="171"/>
      <c r="J123" s="171"/>
      <c r="K123" s="171"/>
      <c r="L123" s="171"/>
      <c r="M123" s="171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</row>
    <row r="124" spans="1:38" x14ac:dyDescent="0.3">
      <c r="A124" s="479" t="s">
        <v>367</v>
      </c>
      <c r="B124" s="461"/>
      <c r="C124" s="461"/>
      <c r="D124" s="171"/>
      <c r="E124" s="171"/>
      <c r="F124" s="627"/>
      <c r="G124" s="627"/>
      <c r="H124" s="627"/>
      <c r="I124" s="171"/>
      <c r="J124" s="171"/>
      <c r="K124" s="171"/>
      <c r="L124" s="171"/>
      <c r="M124" s="171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</row>
    <row r="125" spans="1:38" x14ac:dyDescent="0.3">
      <c r="A125" s="461"/>
      <c r="B125" s="464" t="s">
        <v>549</v>
      </c>
      <c r="C125" s="464"/>
      <c r="D125" s="171"/>
      <c r="E125" s="171"/>
      <c r="F125" s="627"/>
      <c r="G125" s="627"/>
      <c r="H125" s="627"/>
      <c r="I125" s="171"/>
      <c r="J125" s="171"/>
      <c r="K125" s="171"/>
      <c r="L125" s="171"/>
      <c r="M125" s="171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</row>
    <row r="126" spans="1:38" x14ac:dyDescent="0.3">
      <c r="A126" s="461">
        <v>580</v>
      </c>
      <c r="B126" s="461" t="s">
        <v>615</v>
      </c>
      <c r="C126" s="461" t="s">
        <v>48</v>
      </c>
      <c r="D126" s="468"/>
      <c r="E126" s="468"/>
      <c r="F126" s="630"/>
      <c r="G126" s="630"/>
      <c r="H126" s="630"/>
      <c r="I126" s="468"/>
      <c r="J126" s="468"/>
      <c r="K126" s="468"/>
      <c r="L126" s="521">
        <v>1</v>
      </c>
      <c r="M126" s="529">
        <f>SUM(N126:W126)</f>
        <v>20786210.129999999</v>
      </c>
      <c r="N126" s="540">
        <f>'3b. OM_AG-sf'!N137</f>
        <v>7344726.6600000001</v>
      </c>
      <c r="O126" s="540">
        <f>'3b. OM_AG-sf'!O137</f>
        <v>5235372.6711975075</v>
      </c>
      <c r="P126" s="540">
        <f>'3b. OM_AG-sf'!P137</f>
        <v>1412843.9590544063</v>
      </c>
      <c r="Q126" s="540">
        <f>'3b. OM_AG-sf'!Q137</f>
        <v>0</v>
      </c>
      <c r="R126" s="540">
        <f>'3b. OM_AG-sf'!R137</f>
        <v>3162622.9695035224</v>
      </c>
      <c r="S126" s="540">
        <f>'3b. OM_AG-sf'!S137</f>
        <v>804298.92299455311</v>
      </c>
      <c r="T126" s="540">
        <f>'3b. OM_AG-sf'!T137</f>
        <v>0</v>
      </c>
      <c r="U126" s="540">
        <f>'3b. OM_AG-sf'!U137</f>
        <v>0</v>
      </c>
      <c r="V126" s="540">
        <f>'3b. OM_AG-sf'!V137</f>
        <v>1981721.2672500098</v>
      </c>
      <c r="W126" s="540">
        <f>'3b. OM_AG-sf'!W137</f>
        <v>844623.68</v>
      </c>
      <c r="X126" s="540">
        <f>SUM(Y126:Z126)</f>
        <v>5337843.5999999996</v>
      </c>
      <c r="Y126" s="540">
        <f>'3b. OM_AG-sf'!Y137</f>
        <v>5337843.5999999996</v>
      </c>
      <c r="Z126" s="540">
        <f>'3b. OM_AG-sf'!Z137</f>
        <v>0</v>
      </c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</row>
    <row r="127" spans="1:38" x14ac:dyDescent="0.3">
      <c r="A127" s="461">
        <v>581</v>
      </c>
      <c r="B127" s="466" t="s">
        <v>644</v>
      </c>
      <c r="C127" s="466"/>
      <c r="D127" s="468"/>
      <c r="E127" s="468"/>
      <c r="F127" s="630"/>
      <c r="G127" s="630"/>
      <c r="H127" s="630"/>
      <c r="I127" s="468"/>
      <c r="J127" s="468"/>
      <c r="K127" s="468"/>
      <c r="L127" s="521">
        <v>1</v>
      </c>
      <c r="M127" s="521">
        <f t="shared" ref="M127:M132" si="3">SUM(N127:W127)</f>
        <v>1</v>
      </c>
      <c r="N127" s="526">
        <v>1</v>
      </c>
      <c r="O127" s="526"/>
      <c r="P127" s="526"/>
      <c r="Q127" s="526"/>
      <c r="R127" s="526"/>
      <c r="S127" s="526"/>
      <c r="T127" s="526"/>
      <c r="U127" s="526"/>
      <c r="V127" s="526"/>
      <c r="W127" s="526"/>
      <c r="X127" s="526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</row>
    <row r="128" spans="1:38" x14ac:dyDescent="0.3">
      <c r="A128" s="461">
        <v>582</v>
      </c>
      <c r="B128" s="461" t="s">
        <v>668</v>
      </c>
      <c r="C128" s="461"/>
      <c r="D128" s="468"/>
      <c r="E128" s="468"/>
      <c r="F128" s="630"/>
      <c r="G128" s="630"/>
      <c r="H128" s="630"/>
      <c r="I128" s="468"/>
      <c r="J128" s="468"/>
      <c r="K128" s="468"/>
      <c r="L128" s="521">
        <v>1</v>
      </c>
      <c r="M128" s="521">
        <f t="shared" si="3"/>
        <v>1</v>
      </c>
      <c r="N128" s="526">
        <v>1</v>
      </c>
      <c r="O128" s="526"/>
      <c r="P128" s="526"/>
      <c r="Q128" s="526"/>
      <c r="R128" s="526"/>
      <c r="S128" s="526"/>
      <c r="T128" s="526"/>
      <c r="U128" s="526"/>
      <c r="V128" s="526"/>
      <c r="W128" s="526"/>
      <c r="X128" s="526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</row>
    <row r="129" spans="1:38" x14ac:dyDescent="0.3">
      <c r="A129" s="461">
        <v>583</v>
      </c>
      <c r="B129" s="461" t="s">
        <v>670</v>
      </c>
      <c r="C129" s="484" t="s">
        <v>133</v>
      </c>
      <c r="D129" s="468"/>
      <c r="E129" s="468"/>
      <c r="F129" s="630"/>
      <c r="G129" s="630"/>
      <c r="H129" s="630"/>
      <c r="I129" s="468"/>
      <c r="J129" s="468"/>
      <c r="K129" s="468"/>
      <c r="L129" s="521">
        <v>1</v>
      </c>
      <c r="M129" s="172">
        <f t="shared" si="3"/>
        <v>531464462.99999994</v>
      </c>
      <c r="N129" s="518"/>
      <c r="O129" s="518">
        <f>SUM('2b. RB-sf'!O83:O84)</f>
        <v>193796564.08744121</v>
      </c>
      <c r="P129" s="518">
        <f>SUM('2b. RB-sf'!P83:P84)</f>
        <v>56423593.50888855</v>
      </c>
      <c r="Q129" s="518"/>
      <c r="R129" s="518">
        <f>SUM('2b. RB-sf'!R83:R84)</f>
        <v>198770747.01239121</v>
      </c>
      <c r="S129" s="518">
        <f>SUM('2b. RB-sf'!S83:S84)</f>
        <v>56991962.420869052</v>
      </c>
      <c r="T129" s="518"/>
      <c r="U129" s="518"/>
      <c r="V129" s="518">
        <f>SUM('2b. RB-sf'!V83:V84)</f>
        <v>25481595.970409941</v>
      </c>
      <c r="W129" s="518"/>
      <c r="X129" s="526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</row>
    <row r="130" spans="1:38" x14ac:dyDescent="0.3">
      <c r="A130" s="461">
        <v>584</v>
      </c>
      <c r="B130" s="461" t="s">
        <v>649</v>
      </c>
      <c r="C130" s="484" t="s">
        <v>134</v>
      </c>
      <c r="D130" s="468"/>
      <c r="E130" s="468"/>
      <c r="F130" s="630"/>
      <c r="G130" s="630"/>
      <c r="H130" s="630"/>
      <c r="I130" s="468"/>
      <c r="J130" s="468"/>
      <c r="K130" s="468"/>
      <c r="L130" s="521">
        <v>1</v>
      </c>
      <c r="M130" s="172">
        <f t="shared" si="3"/>
        <v>659221652.87</v>
      </c>
      <c r="N130" s="518"/>
      <c r="O130" s="518">
        <f>SUM('2b. RB-sf'!O85:O86)</f>
        <v>403726645.98336506</v>
      </c>
      <c r="P130" s="518">
        <f>SUM('2b. RB-sf'!P85:P86)</f>
        <v>103136871.79609576</v>
      </c>
      <c r="Q130" s="518"/>
      <c r="R130" s="518">
        <f>SUM('2b. RB-sf'!R85:R86)</f>
        <v>128707466.14319648</v>
      </c>
      <c r="S130" s="518">
        <f>SUM('2b. RB-sf'!S85:S86)</f>
        <v>23650668.947342701</v>
      </c>
      <c r="T130" s="518"/>
      <c r="U130" s="518"/>
      <c r="V130" s="518">
        <f>SUM('2b. RB-sf'!V85:V86)</f>
        <v>0</v>
      </c>
      <c r="W130" s="518"/>
      <c r="X130" s="526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</row>
    <row r="131" spans="1:38" x14ac:dyDescent="0.3">
      <c r="A131" s="461">
        <v>585</v>
      </c>
      <c r="B131" s="461" t="s">
        <v>673</v>
      </c>
      <c r="C131" s="461"/>
      <c r="D131" s="468"/>
      <c r="E131" s="468"/>
      <c r="F131" s="630"/>
      <c r="G131" s="630"/>
      <c r="H131" s="630"/>
      <c r="I131" s="468"/>
      <c r="J131" s="468"/>
      <c r="K131" s="468"/>
      <c r="L131" s="521">
        <v>1</v>
      </c>
      <c r="M131" s="521">
        <f t="shared" si="3"/>
        <v>1</v>
      </c>
      <c r="N131" s="526"/>
      <c r="O131" s="526"/>
      <c r="P131" s="526"/>
      <c r="Q131" s="526"/>
      <c r="R131" s="526"/>
      <c r="S131" s="526"/>
      <c r="T131" s="526"/>
      <c r="U131" s="526"/>
      <c r="V131" s="526">
        <v>1</v>
      </c>
      <c r="W131" s="526"/>
      <c r="X131" s="526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</row>
    <row r="132" spans="1:38" x14ac:dyDescent="0.3">
      <c r="A132" s="461">
        <v>586</v>
      </c>
      <c r="B132" s="461" t="s">
        <v>675</v>
      </c>
      <c r="C132" s="461"/>
      <c r="D132" s="468"/>
      <c r="E132" s="468"/>
      <c r="F132" s="630"/>
      <c r="G132" s="630"/>
      <c r="H132" s="630"/>
      <c r="I132" s="468"/>
      <c r="J132" s="468"/>
      <c r="K132" s="468"/>
      <c r="L132" s="521">
        <v>1</v>
      </c>
      <c r="M132" s="521">
        <f t="shared" si="3"/>
        <v>0</v>
      </c>
      <c r="N132" s="526"/>
      <c r="O132" s="526"/>
      <c r="P132" s="526"/>
      <c r="Q132" s="526"/>
      <c r="R132" s="526"/>
      <c r="S132" s="526"/>
      <c r="T132" s="526"/>
      <c r="U132" s="526"/>
      <c r="V132" s="526"/>
      <c r="W132" s="526"/>
      <c r="X132" s="526">
        <f>SUM(Y132:Z132)</f>
        <v>1</v>
      </c>
      <c r="Y132" s="526">
        <v>1</v>
      </c>
      <c r="Z132" s="526">
        <v>0</v>
      </c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</row>
    <row r="133" spans="1:38" x14ac:dyDescent="0.3">
      <c r="A133" s="461">
        <v>587</v>
      </c>
      <c r="B133" s="461" t="s">
        <v>677</v>
      </c>
      <c r="C133" s="461"/>
      <c r="D133" s="468"/>
      <c r="E133" s="468"/>
      <c r="F133" s="630"/>
      <c r="G133" s="630"/>
      <c r="H133" s="630"/>
      <c r="I133" s="468"/>
      <c r="J133" s="468"/>
      <c r="K133" s="468"/>
      <c r="L133" s="521">
        <v>1</v>
      </c>
      <c r="M133" s="521">
        <f>SUM(N133:W133)</f>
        <v>1</v>
      </c>
      <c r="N133" s="540"/>
      <c r="O133" s="540"/>
      <c r="P133" s="540"/>
      <c r="Q133" s="540"/>
      <c r="R133" s="540"/>
      <c r="S133" s="540"/>
      <c r="T133" s="540"/>
      <c r="U133" s="540"/>
      <c r="V133" s="540"/>
      <c r="W133" s="526">
        <v>1</v>
      </c>
      <c r="X133" s="526"/>
      <c r="Y133" s="526"/>
      <c r="Z133" s="526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</row>
    <row r="134" spans="1:38" x14ac:dyDescent="0.3">
      <c r="A134" s="461">
        <v>588</v>
      </c>
      <c r="B134" s="466" t="s">
        <v>679</v>
      </c>
      <c r="C134" s="484" t="s">
        <v>48</v>
      </c>
      <c r="D134" s="468"/>
      <c r="E134" s="468"/>
      <c r="F134" s="630"/>
      <c r="G134" s="630"/>
      <c r="H134" s="630"/>
      <c r="I134" s="468"/>
      <c r="J134" s="468"/>
      <c r="K134" s="468"/>
      <c r="L134" s="521">
        <v>1</v>
      </c>
      <c r="M134" s="529">
        <f>SUM(N134:W134)</f>
        <v>20786210.129999999</v>
      </c>
      <c r="N134" s="540">
        <f>'3b. OM_AG-sf'!N137</f>
        <v>7344726.6600000001</v>
      </c>
      <c r="O134" s="540">
        <f>'3b. OM_AG-sf'!O137</f>
        <v>5235372.6711975075</v>
      </c>
      <c r="P134" s="540">
        <f>'3b. OM_AG-sf'!P137</f>
        <v>1412843.9590544063</v>
      </c>
      <c r="Q134" s="540">
        <f>'3b. OM_AG-sf'!Q137</f>
        <v>0</v>
      </c>
      <c r="R134" s="540">
        <f>'3b. OM_AG-sf'!R137</f>
        <v>3162622.9695035224</v>
      </c>
      <c r="S134" s="540">
        <f>'3b. OM_AG-sf'!S137</f>
        <v>804298.92299455311</v>
      </c>
      <c r="T134" s="540">
        <f>'3b. OM_AG-sf'!T137</f>
        <v>0</v>
      </c>
      <c r="U134" s="540">
        <f>'3b. OM_AG-sf'!U137</f>
        <v>0</v>
      </c>
      <c r="V134" s="540">
        <f>'3b. OM_AG-sf'!V137</f>
        <v>1981721.2672500098</v>
      </c>
      <c r="W134" s="540">
        <f>'3b. OM_AG-sf'!W137</f>
        <v>844623.68</v>
      </c>
      <c r="X134" s="540">
        <f>SUM(Y134:Z134)</f>
        <v>5337843.5999999996</v>
      </c>
      <c r="Y134" s="540">
        <f>'3b. OM_AG-sf'!Y137</f>
        <v>5337843.5999999996</v>
      </c>
      <c r="Z134" s="540">
        <f>'3b. OM_AG-sf'!Z137</f>
        <v>0</v>
      </c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</row>
    <row r="135" spans="1:38" x14ac:dyDescent="0.3">
      <c r="A135" s="461">
        <v>589</v>
      </c>
      <c r="B135" s="461" t="s">
        <v>564</v>
      </c>
      <c r="C135" s="461"/>
      <c r="D135" s="468"/>
      <c r="E135" s="468"/>
      <c r="F135" s="630"/>
      <c r="G135" s="630"/>
      <c r="H135" s="630"/>
      <c r="I135" s="468"/>
      <c r="J135" s="468"/>
      <c r="K135" s="468"/>
      <c r="L135" s="521"/>
      <c r="M135" s="529"/>
      <c r="N135" s="540"/>
      <c r="O135" s="540"/>
      <c r="P135" s="540"/>
      <c r="Q135" s="540"/>
      <c r="R135" s="540"/>
      <c r="S135" s="540"/>
      <c r="T135" s="540"/>
      <c r="U135" s="540"/>
      <c r="V135" s="540"/>
      <c r="W135" s="540"/>
      <c r="X135" s="526"/>
      <c r="Y135" s="526"/>
      <c r="Z135" s="526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</row>
    <row r="136" spans="1:38" x14ac:dyDescent="0.3">
      <c r="A136" s="461"/>
      <c r="B136" s="474" t="s">
        <v>524</v>
      </c>
      <c r="C136" s="474"/>
      <c r="D136" s="171"/>
      <c r="E136" s="171"/>
      <c r="F136" s="627"/>
      <c r="G136" s="627"/>
      <c r="H136" s="627"/>
      <c r="I136" s="171"/>
      <c r="J136" s="171"/>
      <c r="K136" s="171"/>
      <c r="L136" s="171"/>
      <c r="M136" s="171"/>
      <c r="N136" s="526"/>
      <c r="O136" s="526"/>
      <c r="P136" s="526"/>
      <c r="Q136" s="526"/>
      <c r="R136" s="526"/>
      <c r="S136" s="526"/>
      <c r="T136" s="526"/>
      <c r="U136" s="526"/>
      <c r="V136" s="526"/>
      <c r="W136" s="526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</row>
    <row r="137" spans="1:38" x14ac:dyDescent="0.3">
      <c r="A137" s="461" t="s">
        <v>1205</v>
      </c>
      <c r="B137" s="461"/>
      <c r="C137" s="461"/>
      <c r="D137" s="171"/>
      <c r="E137" s="171"/>
      <c r="F137" s="627"/>
      <c r="G137" s="627"/>
      <c r="H137" s="627"/>
      <c r="I137" s="171"/>
      <c r="J137" s="171"/>
      <c r="K137" s="171"/>
      <c r="L137" s="171"/>
      <c r="M137" s="171"/>
      <c r="N137" s="526"/>
      <c r="O137" s="526"/>
      <c r="P137" s="526"/>
      <c r="Q137" s="526"/>
      <c r="R137" s="526"/>
      <c r="S137" s="526"/>
      <c r="T137" s="526"/>
      <c r="U137" s="526"/>
      <c r="V137" s="526"/>
      <c r="W137" s="526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</row>
    <row r="138" spans="1:38" x14ac:dyDescent="0.3">
      <c r="A138" s="461"/>
      <c r="B138" s="464" t="s">
        <v>565</v>
      </c>
      <c r="C138" s="464"/>
      <c r="D138" s="171"/>
      <c r="E138" s="171"/>
      <c r="F138" s="627"/>
      <c r="G138" s="627"/>
      <c r="H138" s="627"/>
      <c r="I138" s="171"/>
      <c r="J138" s="171"/>
      <c r="K138" s="171"/>
      <c r="L138" s="171"/>
      <c r="M138" s="171"/>
      <c r="N138" s="526"/>
      <c r="O138" s="526"/>
      <c r="P138" s="526"/>
      <c r="Q138" s="526"/>
      <c r="R138" s="526"/>
      <c r="S138" s="526"/>
      <c r="T138" s="526"/>
      <c r="U138" s="526"/>
      <c r="V138" s="526"/>
      <c r="W138" s="526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</row>
    <row r="139" spans="1:38" x14ac:dyDescent="0.3">
      <c r="A139" s="461">
        <v>590</v>
      </c>
      <c r="B139" s="461" t="s">
        <v>682</v>
      </c>
      <c r="C139" s="461" t="s">
        <v>49</v>
      </c>
      <c r="D139" s="468"/>
      <c r="E139" s="468"/>
      <c r="F139" s="630"/>
      <c r="G139" s="630"/>
      <c r="H139" s="630"/>
      <c r="I139" s="468"/>
      <c r="J139" s="468"/>
      <c r="K139" s="468"/>
      <c r="L139" s="468"/>
      <c r="M139" s="529">
        <f t="shared" ref="M139:M145" si="4">SUM(N139:W139)</f>
        <v>51830994.990000002</v>
      </c>
      <c r="N139" s="540">
        <f>'3b. OM_AG-sf'!N$149</f>
        <v>5780399.1299999999</v>
      </c>
      <c r="O139" s="540">
        <f>'3b. OM_AG-sf'!O$149</f>
        <v>18788825.647820603</v>
      </c>
      <c r="P139" s="540">
        <f>'3b. OM_AG-sf'!P$149</f>
        <v>5217371.1033234503</v>
      </c>
      <c r="Q139" s="540">
        <f>'3b. OM_AG-sf'!Q$149</f>
        <v>1080911.0827096831</v>
      </c>
      <c r="R139" s="540">
        <f>'3b. OM_AG-sf'!R$149</f>
        <v>14260334.859182455</v>
      </c>
      <c r="S139" s="540">
        <f>'3b. OM_AG-sf'!S$149</f>
        <v>3856063.0678833672</v>
      </c>
      <c r="T139" s="540">
        <f>'3b. OM_AG-sf'!T$149</f>
        <v>1181595.827290317</v>
      </c>
      <c r="U139" s="540">
        <f>'3b. OM_AG-sf'!U$149</f>
        <v>0</v>
      </c>
      <c r="V139" s="540">
        <f>'3b. OM_AG-sf'!V$149</f>
        <v>1665494.2717901245</v>
      </c>
      <c r="W139" s="540">
        <f>'3b. OM_AG-sf'!W$149</f>
        <v>0</v>
      </c>
      <c r="X139" s="540">
        <f>SUM(Y139:Z139)</f>
        <v>0</v>
      </c>
      <c r="Y139" s="526"/>
      <c r="Z139" s="526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</row>
    <row r="140" spans="1:38" x14ac:dyDescent="0.3">
      <c r="A140" s="461">
        <v>591</v>
      </c>
      <c r="B140" s="466" t="s">
        <v>569</v>
      </c>
      <c r="C140" s="466"/>
      <c r="D140" s="468"/>
      <c r="E140" s="468"/>
      <c r="F140" s="630"/>
      <c r="G140" s="630"/>
      <c r="H140" s="630"/>
      <c r="I140" s="468"/>
      <c r="J140" s="468"/>
      <c r="K140" s="468"/>
      <c r="L140" s="468"/>
      <c r="M140" s="529">
        <f t="shared" si="4"/>
        <v>0</v>
      </c>
      <c r="N140" s="540"/>
      <c r="O140" s="540"/>
      <c r="P140" s="540"/>
      <c r="Q140" s="540"/>
      <c r="R140" s="540"/>
      <c r="S140" s="540"/>
      <c r="T140" s="540"/>
      <c r="U140" s="540"/>
      <c r="V140" s="540"/>
      <c r="W140" s="540"/>
      <c r="X140" s="540"/>
      <c r="Y140" s="526"/>
      <c r="Z140" s="526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</row>
    <row r="141" spans="1:38" x14ac:dyDescent="0.3">
      <c r="A141" s="461">
        <v>592</v>
      </c>
      <c r="B141" s="461" t="s">
        <v>658</v>
      </c>
      <c r="C141" s="461"/>
      <c r="D141" s="468"/>
      <c r="E141" s="468"/>
      <c r="F141" s="630"/>
      <c r="G141" s="630"/>
      <c r="H141" s="630"/>
      <c r="I141" s="468"/>
      <c r="J141" s="468"/>
      <c r="K141" s="468"/>
      <c r="L141" s="468"/>
      <c r="M141" s="521">
        <f t="shared" si="4"/>
        <v>1</v>
      </c>
      <c r="N141" s="526">
        <v>1</v>
      </c>
      <c r="O141" s="526"/>
      <c r="P141" s="526"/>
      <c r="Q141" s="526"/>
      <c r="R141" s="526"/>
      <c r="S141" s="526"/>
      <c r="T141" s="526"/>
      <c r="U141" s="526"/>
      <c r="V141" s="526"/>
      <c r="W141" s="526"/>
      <c r="X141" s="526"/>
      <c r="Y141" s="526"/>
      <c r="Z141" s="526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</row>
    <row r="142" spans="1:38" x14ac:dyDescent="0.3">
      <c r="A142" s="461">
        <v>593</v>
      </c>
      <c r="B142" s="466" t="s">
        <v>660</v>
      </c>
      <c r="C142" s="484" t="s">
        <v>133</v>
      </c>
      <c r="D142" s="468"/>
      <c r="E142" s="468"/>
      <c r="F142" s="630"/>
      <c r="G142" s="630"/>
      <c r="H142" s="630"/>
      <c r="I142" s="468"/>
      <c r="J142" s="468"/>
      <c r="K142" s="468"/>
      <c r="L142" s="468"/>
      <c r="M142" s="172">
        <f t="shared" si="4"/>
        <v>531464462.99999994</v>
      </c>
      <c r="N142" s="518"/>
      <c r="O142" s="518">
        <f>O129</f>
        <v>193796564.08744121</v>
      </c>
      <c r="P142" s="518">
        <f>P129</f>
        <v>56423593.50888855</v>
      </c>
      <c r="Q142" s="518"/>
      <c r="R142" s="518">
        <f>R129</f>
        <v>198770747.01239121</v>
      </c>
      <c r="S142" s="518">
        <f>S129</f>
        <v>56991962.420869052</v>
      </c>
      <c r="T142" s="518"/>
      <c r="U142" s="518"/>
      <c r="V142" s="518">
        <f>V129</f>
        <v>25481595.970409941</v>
      </c>
      <c r="W142" s="518"/>
      <c r="X142" s="526"/>
      <c r="Y142" s="526"/>
      <c r="Z142" s="526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</row>
    <row r="143" spans="1:38" x14ac:dyDescent="0.3">
      <c r="A143" s="461">
        <v>594</v>
      </c>
      <c r="B143" s="461" t="s">
        <v>662</v>
      </c>
      <c r="C143" s="484" t="s">
        <v>135</v>
      </c>
      <c r="D143" s="468"/>
      <c r="E143" s="468"/>
      <c r="F143" s="630"/>
      <c r="G143" s="630"/>
      <c r="H143" s="630"/>
      <c r="I143" s="468"/>
      <c r="J143" s="468"/>
      <c r="K143" s="468"/>
      <c r="L143" s="468"/>
      <c r="M143" s="172">
        <f t="shared" si="4"/>
        <v>659221652.87</v>
      </c>
      <c r="N143" s="518"/>
      <c r="O143" s="518">
        <f>O130</f>
        <v>403726645.98336506</v>
      </c>
      <c r="P143" s="518">
        <f>P130</f>
        <v>103136871.79609576</v>
      </c>
      <c r="Q143" s="518"/>
      <c r="R143" s="518">
        <f>R130</f>
        <v>128707466.14319648</v>
      </c>
      <c r="S143" s="518">
        <f>S130</f>
        <v>23650668.947342701</v>
      </c>
      <c r="T143" s="518"/>
      <c r="U143" s="518"/>
      <c r="V143" s="518">
        <f>V130</f>
        <v>0</v>
      </c>
      <c r="W143" s="518"/>
      <c r="X143" s="526"/>
      <c r="Y143" s="526"/>
      <c r="Z143" s="526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</row>
    <row r="144" spans="1:38" x14ac:dyDescent="0.3">
      <c r="A144" s="461">
        <v>595</v>
      </c>
      <c r="B144" s="461" t="s">
        <v>688</v>
      </c>
      <c r="C144" s="484" t="s">
        <v>136</v>
      </c>
      <c r="D144" s="468"/>
      <c r="E144" s="468"/>
      <c r="F144" s="630"/>
      <c r="G144" s="630"/>
      <c r="H144" s="630"/>
      <c r="I144" s="468"/>
      <c r="J144" s="468"/>
      <c r="K144" s="468"/>
      <c r="L144" s="468"/>
      <c r="M144" s="172">
        <f t="shared" si="4"/>
        <v>365157456.27999997</v>
      </c>
      <c r="N144" s="518"/>
      <c r="O144" s="518"/>
      <c r="P144" s="518"/>
      <c r="Q144" s="172">
        <f>'2b. RB-sf'!Q87</f>
        <v>174453717.5478189</v>
      </c>
      <c r="R144" s="172"/>
      <c r="S144" s="172"/>
      <c r="T144" s="172">
        <f>'2b. RB-sf'!T87</f>
        <v>190703738.73218107</v>
      </c>
      <c r="U144" s="518"/>
      <c r="V144" s="518"/>
      <c r="W144" s="518"/>
      <c r="X144" s="526"/>
      <c r="Y144" s="526"/>
      <c r="Z144" s="526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</row>
    <row r="145" spans="1:38" x14ac:dyDescent="0.3">
      <c r="A145" s="461">
        <v>596</v>
      </c>
      <c r="B145" s="461" t="s">
        <v>690</v>
      </c>
      <c r="C145" s="461"/>
      <c r="D145" s="468"/>
      <c r="E145" s="468"/>
      <c r="F145" s="630"/>
      <c r="G145" s="630"/>
      <c r="H145" s="630"/>
      <c r="I145" s="468"/>
      <c r="J145" s="468"/>
      <c r="K145" s="468"/>
      <c r="L145" s="468"/>
      <c r="M145" s="521">
        <f t="shared" si="4"/>
        <v>1</v>
      </c>
      <c r="N145" s="526"/>
      <c r="O145" s="526"/>
      <c r="P145" s="526"/>
      <c r="Q145" s="526"/>
      <c r="R145" s="526"/>
      <c r="S145" s="526"/>
      <c r="T145" s="526"/>
      <c r="U145" s="526"/>
      <c r="V145" s="526">
        <v>1</v>
      </c>
      <c r="W145" s="526"/>
      <c r="X145" s="526"/>
      <c r="Y145" s="526"/>
      <c r="Z145" s="526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</row>
    <row r="146" spans="1:38" x14ac:dyDescent="0.3">
      <c r="A146" s="461">
        <v>597</v>
      </c>
      <c r="B146" s="461" t="s">
        <v>692</v>
      </c>
      <c r="C146" s="461"/>
      <c r="D146" s="468"/>
      <c r="E146" s="468"/>
      <c r="F146" s="630"/>
      <c r="G146" s="630"/>
      <c r="H146" s="630"/>
      <c r="I146" s="468"/>
      <c r="J146" s="468"/>
      <c r="K146" s="468"/>
      <c r="L146" s="468"/>
      <c r="M146" s="521">
        <v>1</v>
      </c>
      <c r="N146" s="526"/>
      <c r="O146" s="526"/>
      <c r="P146" s="526"/>
      <c r="Q146" s="526"/>
      <c r="R146" s="526"/>
      <c r="S146" s="526"/>
      <c r="T146" s="526"/>
      <c r="U146" s="526"/>
      <c r="V146" s="526"/>
      <c r="W146" s="526"/>
      <c r="X146" s="526">
        <f>SUM(Y146:Z146)</f>
        <v>1</v>
      </c>
      <c r="Y146" s="526">
        <v>1</v>
      </c>
      <c r="Z146" s="526">
        <v>0</v>
      </c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</row>
    <row r="147" spans="1:38" x14ac:dyDescent="0.3">
      <c r="A147" s="461">
        <v>598</v>
      </c>
      <c r="B147" s="461" t="s">
        <v>694</v>
      </c>
      <c r="C147" s="461" t="s">
        <v>49</v>
      </c>
      <c r="D147" s="468"/>
      <c r="E147" s="468"/>
      <c r="F147" s="630"/>
      <c r="G147" s="630"/>
      <c r="H147" s="630"/>
      <c r="I147" s="468"/>
      <c r="J147" s="468"/>
      <c r="K147" s="468"/>
      <c r="L147" s="468"/>
      <c r="M147" s="529">
        <f>SUM(N147:W147)</f>
        <v>51830994.990000002</v>
      </c>
      <c r="N147" s="540">
        <f>'3b. OM_AG-sf'!N$149</f>
        <v>5780399.1299999999</v>
      </c>
      <c r="O147" s="540">
        <f>'3b. OM_AG-sf'!O$149</f>
        <v>18788825.647820603</v>
      </c>
      <c r="P147" s="540">
        <f>'3b. OM_AG-sf'!P$149</f>
        <v>5217371.1033234503</v>
      </c>
      <c r="Q147" s="540">
        <f>'3b. OM_AG-sf'!Q$149</f>
        <v>1080911.0827096831</v>
      </c>
      <c r="R147" s="540">
        <f>'3b. OM_AG-sf'!R$149</f>
        <v>14260334.859182455</v>
      </c>
      <c r="S147" s="540">
        <f>'3b. OM_AG-sf'!S$149</f>
        <v>3856063.0678833672</v>
      </c>
      <c r="T147" s="540">
        <f>'3b. OM_AG-sf'!T$149</f>
        <v>1181595.827290317</v>
      </c>
      <c r="U147" s="540">
        <f>'3b. OM_AG-sf'!U$149</f>
        <v>0</v>
      </c>
      <c r="V147" s="540">
        <f>'3b. OM_AG-sf'!V$149</f>
        <v>1665494.2717901245</v>
      </c>
      <c r="W147" s="540">
        <f>'3b. OM_AG-sf'!W$149</f>
        <v>0</v>
      </c>
      <c r="X147" s="540">
        <f>SUM(Y147:Z147)</f>
        <v>0</v>
      </c>
      <c r="Y147" s="526"/>
      <c r="Z147" s="526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</row>
    <row r="148" spans="1:38" x14ac:dyDescent="0.3">
      <c r="A148" s="461"/>
      <c r="B148" s="474" t="s">
        <v>524</v>
      </c>
      <c r="C148" s="474"/>
      <c r="D148" s="171"/>
      <c r="E148" s="171"/>
      <c r="F148" s="627"/>
      <c r="G148" s="627"/>
      <c r="H148" s="627"/>
      <c r="I148" s="171"/>
      <c r="J148" s="171"/>
      <c r="K148" s="171"/>
      <c r="L148" s="171"/>
      <c r="M148" s="171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</row>
    <row r="149" spans="1:38" x14ac:dyDescent="0.3">
      <c r="A149" s="461" t="s">
        <v>1206</v>
      </c>
      <c r="B149" s="461"/>
      <c r="C149" s="461"/>
      <c r="D149" s="171"/>
      <c r="E149" s="171"/>
      <c r="F149" s="627"/>
      <c r="G149" s="627"/>
      <c r="H149" s="627"/>
      <c r="I149" s="171"/>
      <c r="J149" s="171"/>
      <c r="K149" s="171"/>
      <c r="L149" s="171"/>
      <c r="M149" s="171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</row>
    <row r="150" spans="1:38" x14ac:dyDescent="0.3">
      <c r="A150" s="461"/>
      <c r="B150" s="479" t="s">
        <v>542</v>
      </c>
      <c r="C150" s="479"/>
      <c r="D150" s="171"/>
      <c r="E150" s="171"/>
      <c r="F150" s="627"/>
      <c r="G150" s="627"/>
      <c r="H150" s="627"/>
      <c r="I150" s="171"/>
      <c r="J150" s="171"/>
      <c r="K150" s="171"/>
      <c r="L150" s="171"/>
      <c r="M150" s="171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</row>
    <row r="151" spans="1:38" x14ac:dyDescent="0.3">
      <c r="A151" s="461"/>
      <c r="B151" s="479"/>
      <c r="C151" s="479"/>
      <c r="D151" s="171"/>
      <c r="E151" s="171"/>
      <c r="F151" s="627"/>
      <c r="G151" s="627"/>
      <c r="H151" s="627"/>
      <c r="I151" s="171"/>
      <c r="J151" s="171"/>
      <c r="K151" s="171"/>
      <c r="L151" s="171"/>
      <c r="M151" s="171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</row>
    <row r="152" spans="1:38" x14ac:dyDescent="0.3">
      <c r="A152" s="461"/>
      <c r="B152" s="479" t="s">
        <v>695</v>
      </c>
      <c r="C152" s="479"/>
      <c r="D152" s="171"/>
      <c r="E152" s="171"/>
      <c r="F152" s="627"/>
      <c r="G152" s="627"/>
      <c r="H152" s="627"/>
      <c r="I152" s="171"/>
      <c r="J152" s="171"/>
      <c r="K152" s="171"/>
      <c r="L152" s="171"/>
      <c r="M152" s="171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</row>
    <row r="153" spans="1:38" x14ac:dyDescent="0.3">
      <c r="A153" s="9"/>
      <c r="B153" s="57"/>
      <c r="C153" s="57"/>
      <c r="F153" s="631"/>
      <c r="G153" s="631"/>
      <c r="H153" s="631"/>
    </row>
    <row r="154" spans="1:38" x14ac:dyDescent="0.3">
      <c r="A154" s="9"/>
      <c r="B154" s="31"/>
      <c r="C154" s="31"/>
      <c r="F154" s="631"/>
      <c r="G154" s="631"/>
      <c r="H154" s="631"/>
    </row>
    <row r="155" spans="1:38" x14ac:dyDescent="0.3">
      <c r="A155" s="52" t="s">
        <v>840</v>
      </c>
      <c r="B155" s="31"/>
      <c r="C155" s="31"/>
      <c r="D155" s="173"/>
      <c r="E155" s="173"/>
      <c r="F155" s="631"/>
      <c r="G155" s="631"/>
      <c r="H155" s="631"/>
      <c r="I155" s="173"/>
      <c r="J155" s="173"/>
      <c r="K155" s="173"/>
      <c r="L155" s="173"/>
      <c r="M155" s="173"/>
      <c r="N155" s="175"/>
      <c r="O155" s="175"/>
      <c r="P155" s="175"/>
      <c r="Q155" s="175"/>
      <c r="R155" s="175"/>
      <c r="S155" s="175"/>
      <c r="T155" s="175"/>
      <c r="U155" s="175"/>
      <c r="V155" s="175"/>
      <c r="W155" s="175"/>
      <c r="X155" s="175"/>
      <c r="Y155" s="175"/>
      <c r="Z155" s="175"/>
      <c r="AA155" s="175"/>
      <c r="AB155" s="175"/>
      <c r="AC155" s="175"/>
      <c r="AD155" s="175"/>
      <c r="AE155" s="175"/>
      <c r="AF155" s="175"/>
      <c r="AG155" s="175"/>
      <c r="AH155" s="175"/>
    </row>
    <row r="156" spans="1:38" x14ac:dyDescent="0.3">
      <c r="A156" s="9"/>
      <c r="B156" s="31"/>
      <c r="C156" s="31"/>
      <c r="D156" s="173"/>
      <c r="E156" s="173"/>
      <c r="F156" s="631"/>
      <c r="G156" s="631"/>
      <c r="H156" s="631"/>
      <c r="I156" s="173"/>
      <c r="J156" s="173"/>
      <c r="K156" s="173"/>
      <c r="L156" s="173"/>
      <c r="M156" s="173"/>
      <c r="N156" s="175"/>
      <c r="O156" s="175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  <c r="AB156" s="175"/>
      <c r="AC156" s="175"/>
      <c r="AD156" s="175"/>
      <c r="AE156" s="175"/>
      <c r="AF156" s="175"/>
      <c r="AG156" s="175"/>
      <c r="AH156" s="175"/>
    </row>
    <row r="157" spans="1:38" x14ac:dyDescent="0.3">
      <c r="A157" s="52" t="s">
        <v>839</v>
      </c>
      <c r="B157" s="31"/>
      <c r="C157" s="31"/>
      <c r="D157" s="173"/>
      <c r="E157" s="173"/>
      <c r="F157" s="631"/>
      <c r="G157" s="631"/>
      <c r="H157" s="631"/>
      <c r="I157" s="173"/>
      <c r="J157" s="173"/>
      <c r="K157" s="173"/>
      <c r="L157" s="173"/>
      <c r="M157" s="173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  <c r="AB157" s="175"/>
      <c r="AC157" s="175"/>
      <c r="AD157" s="175"/>
      <c r="AE157" s="175"/>
      <c r="AF157" s="175"/>
      <c r="AG157" s="175"/>
      <c r="AH157" s="175"/>
    </row>
    <row r="158" spans="1:38" x14ac:dyDescent="0.3">
      <c r="A158" s="9"/>
      <c r="B158" s="31"/>
      <c r="C158" s="31"/>
      <c r="D158" s="173"/>
      <c r="E158" s="173"/>
      <c r="F158" s="631"/>
      <c r="G158" s="631"/>
      <c r="H158" s="631"/>
      <c r="I158" s="173"/>
      <c r="J158" s="173"/>
      <c r="K158" s="173"/>
      <c r="L158" s="173"/>
      <c r="M158" s="173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  <c r="AF158" s="175"/>
      <c r="AG158" s="175"/>
      <c r="AH158" s="175"/>
    </row>
    <row r="159" spans="1:38" x14ac:dyDescent="0.3">
      <c r="A159" s="9"/>
      <c r="B159" s="56" t="s">
        <v>810</v>
      </c>
      <c r="C159" s="31"/>
      <c r="D159" s="173"/>
      <c r="E159" s="173"/>
      <c r="F159" s="631"/>
      <c r="G159" s="631"/>
      <c r="H159" s="631"/>
      <c r="I159" s="173"/>
      <c r="J159" s="173"/>
      <c r="K159" s="173"/>
      <c r="L159" s="173"/>
      <c r="M159" s="173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  <c r="AD159" s="175"/>
      <c r="AE159" s="175"/>
      <c r="AF159" s="175"/>
      <c r="AG159" s="175"/>
      <c r="AH159" s="175"/>
    </row>
    <row r="160" spans="1:38" s="1" customFormat="1" x14ac:dyDescent="0.3">
      <c r="A160" s="9">
        <v>803</v>
      </c>
      <c r="B160" s="9" t="s">
        <v>1183</v>
      </c>
      <c r="C160" s="9"/>
      <c r="D160" s="173"/>
      <c r="E160" s="173"/>
      <c r="F160" s="631"/>
      <c r="G160" s="631"/>
      <c r="H160" s="631"/>
      <c r="I160" s="173"/>
      <c r="J160" s="173"/>
      <c r="K160" s="173"/>
      <c r="L160" s="173"/>
      <c r="M160" s="173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  <c r="AF160" s="175"/>
      <c r="AG160" s="175"/>
      <c r="AH160" s="175"/>
    </row>
    <row r="161" spans="1:34" s="1" customFormat="1" x14ac:dyDescent="0.3">
      <c r="A161" s="9">
        <v>804</v>
      </c>
      <c r="B161" s="9" t="s">
        <v>839</v>
      </c>
      <c r="C161" s="9"/>
      <c r="D161" s="173"/>
      <c r="E161" s="173"/>
      <c r="F161" s="631"/>
      <c r="G161" s="631"/>
      <c r="H161" s="631"/>
      <c r="I161" s="173"/>
      <c r="J161" s="173"/>
      <c r="K161" s="173"/>
      <c r="L161" s="173"/>
      <c r="M161" s="173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  <c r="AD161" s="175"/>
      <c r="AE161" s="175"/>
      <c r="AF161" s="175"/>
      <c r="AG161" s="175"/>
      <c r="AH161" s="175"/>
    </row>
    <row r="162" spans="1:34" s="1" customFormat="1" x14ac:dyDescent="0.3">
      <c r="A162" s="9">
        <v>807</v>
      </c>
      <c r="B162" s="9" t="s">
        <v>842</v>
      </c>
      <c r="C162" s="9"/>
      <c r="D162" s="173"/>
      <c r="E162" s="173"/>
      <c r="F162" s="631"/>
      <c r="G162" s="631"/>
      <c r="H162" s="631"/>
      <c r="I162" s="173"/>
      <c r="J162" s="173"/>
      <c r="K162" s="173"/>
      <c r="L162" s="173"/>
      <c r="M162" s="173"/>
      <c r="N162" s="175"/>
      <c r="O162" s="175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  <c r="AB162" s="175"/>
      <c r="AC162" s="175"/>
      <c r="AD162" s="175"/>
      <c r="AE162" s="175"/>
      <c r="AF162" s="175"/>
      <c r="AG162" s="175"/>
      <c r="AH162" s="175"/>
    </row>
    <row r="163" spans="1:34" s="1" customFormat="1" x14ac:dyDescent="0.3">
      <c r="A163" s="58">
        <v>810</v>
      </c>
      <c r="B163" s="18" t="s">
        <v>1185</v>
      </c>
      <c r="C163" s="9"/>
      <c r="D163" s="173"/>
      <c r="E163" s="173"/>
      <c r="F163" s="631"/>
      <c r="G163" s="631"/>
      <c r="H163" s="631"/>
      <c r="I163" s="173"/>
      <c r="J163" s="173"/>
      <c r="K163" s="173"/>
      <c r="L163" s="173"/>
      <c r="M163" s="173"/>
      <c r="N163" s="175"/>
      <c r="O163" s="175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  <c r="AD163" s="175"/>
      <c r="AE163" s="175"/>
      <c r="AF163" s="175"/>
      <c r="AG163" s="175"/>
      <c r="AH163" s="175"/>
    </row>
    <row r="164" spans="1:34" s="1" customFormat="1" x14ac:dyDescent="0.3">
      <c r="A164" s="9">
        <v>812</v>
      </c>
      <c r="B164" s="9" t="s">
        <v>843</v>
      </c>
      <c r="C164" s="9"/>
      <c r="D164" s="173"/>
      <c r="E164" s="173"/>
      <c r="F164" s="631"/>
      <c r="G164" s="631"/>
      <c r="H164" s="631"/>
      <c r="I164" s="173"/>
      <c r="J164" s="173"/>
      <c r="K164" s="173"/>
      <c r="L164" s="173"/>
      <c r="M164" s="173"/>
      <c r="N164" s="175"/>
      <c r="O164" s="175"/>
      <c r="P164" s="175"/>
      <c r="Q164" s="17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  <c r="AD164" s="175"/>
      <c r="AE164" s="175"/>
      <c r="AF164" s="175"/>
      <c r="AG164" s="175"/>
      <c r="AH164" s="175"/>
    </row>
    <row r="165" spans="1:34" s="1" customFormat="1" x14ac:dyDescent="0.3">
      <c r="A165" s="9"/>
      <c r="B165" s="52" t="s">
        <v>861</v>
      </c>
      <c r="C165" s="9"/>
      <c r="D165" s="173"/>
      <c r="E165" s="173"/>
      <c r="F165" s="631"/>
      <c r="G165" s="631"/>
      <c r="H165" s="631"/>
      <c r="I165" s="173"/>
      <c r="J165" s="173"/>
      <c r="K165" s="173"/>
      <c r="L165" s="173"/>
      <c r="M165" s="173"/>
      <c r="N165" s="175"/>
      <c r="O165" s="175"/>
      <c r="P165" s="175"/>
      <c r="Q165" s="175"/>
      <c r="R165" s="175"/>
      <c r="S165" s="175"/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  <c r="AD165" s="175"/>
      <c r="AE165" s="175"/>
      <c r="AF165" s="175"/>
      <c r="AG165" s="175"/>
      <c r="AH165" s="175"/>
    </row>
    <row r="166" spans="1:34" s="1" customFormat="1" x14ac:dyDescent="0.3">
      <c r="A166" s="9"/>
      <c r="B166" s="9"/>
      <c r="C166" s="9"/>
      <c r="D166" s="173"/>
      <c r="E166" s="173"/>
      <c r="F166" s="631"/>
      <c r="G166" s="631"/>
      <c r="H166" s="631"/>
      <c r="I166" s="173"/>
      <c r="J166" s="173"/>
      <c r="K166" s="173"/>
      <c r="L166" s="173"/>
      <c r="M166" s="173"/>
      <c r="N166" s="175"/>
      <c r="O166" s="175"/>
      <c r="P166" s="175"/>
      <c r="Q166" s="175"/>
      <c r="R166" s="175"/>
      <c r="S166" s="175"/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  <c r="AD166" s="175"/>
      <c r="AE166" s="175"/>
      <c r="AF166" s="175"/>
      <c r="AG166" s="175"/>
      <c r="AH166" s="175"/>
    </row>
    <row r="167" spans="1:34" s="1" customFormat="1" x14ac:dyDescent="0.3">
      <c r="A167" s="9"/>
      <c r="B167" s="50" t="s">
        <v>366</v>
      </c>
      <c r="C167" s="9"/>
      <c r="D167" s="173"/>
      <c r="E167" s="173"/>
      <c r="F167" s="631"/>
      <c r="G167" s="631"/>
      <c r="H167" s="631"/>
      <c r="I167" s="173"/>
      <c r="J167" s="173"/>
      <c r="K167" s="173"/>
      <c r="L167" s="173"/>
      <c r="M167" s="173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175"/>
      <c r="AE167" s="175"/>
      <c r="AF167" s="175"/>
      <c r="AG167" s="175"/>
      <c r="AH167" s="175"/>
    </row>
    <row r="168" spans="1:34" s="1" customFormat="1" x14ac:dyDescent="0.3">
      <c r="A168" s="9">
        <v>823</v>
      </c>
      <c r="B168" s="9" t="s">
        <v>1187</v>
      </c>
      <c r="C168" s="9"/>
      <c r="D168" s="173"/>
      <c r="E168" s="173"/>
      <c r="F168" s="631"/>
      <c r="G168" s="631"/>
      <c r="H168" s="631"/>
      <c r="I168" s="173"/>
      <c r="J168" s="173"/>
      <c r="K168" s="173"/>
      <c r="L168" s="173"/>
      <c r="M168" s="173"/>
      <c r="N168" s="175"/>
      <c r="O168" s="175"/>
      <c r="P168" s="175"/>
      <c r="Q168" s="175"/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  <c r="AD168" s="175"/>
      <c r="AE168" s="175"/>
      <c r="AF168" s="175"/>
      <c r="AG168" s="175"/>
      <c r="AH168" s="175"/>
    </row>
    <row r="169" spans="1:34" s="1" customFormat="1" x14ac:dyDescent="0.3">
      <c r="A169" s="9">
        <v>850</v>
      </c>
      <c r="B169" s="9" t="s">
        <v>1065</v>
      </c>
      <c r="C169" s="9"/>
      <c r="D169" s="173"/>
      <c r="E169" s="173"/>
      <c r="F169" s="631"/>
      <c r="G169" s="631"/>
      <c r="H169" s="631"/>
      <c r="I169" s="173"/>
      <c r="J169" s="173"/>
      <c r="K169" s="173"/>
      <c r="L169" s="173"/>
      <c r="M169" s="173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  <c r="AB169" s="175"/>
      <c r="AC169" s="175"/>
      <c r="AD169" s="175"/>
      <c r="AE169" s="175"/>
      <c r="AF169" s="175"/>
      <c r="AG169" s="175"/>
      <c r="AH169" s="175"/>
    </row>
    <row r="170" spans="1:34" s="1" customFormat="1" x14ac:dyDescent="0.3">
      <c r="A170" s="9">
        <v>851</v>
      </c>
      <c r="B170" s="9" t="s">
        <v>1189</v>
      </c>
      <c r="C170" s="9"/>
      <c r="D170" s="173"/>
      <c r="E170" s="173"/>
      <c r="F170" s="631"/>
      <c r="G170" s="631"/>
      <c r="H170" s="631"/>
      <c r="I170" s="173"/>
      <c r="J170" s="173"/>
      <c r="K170" s="173"/>
      <c r="L170" s="173"/>
      <c r="M170" s="173"/>
      <c r="N170" s="175"/>
      <c r="O170" s="175"/>
      <c r="P170" s="175"/>
      <c r="Q170" s="175"/>
      <c r="R170" s="175"/>
      <c r="S170" s="175"/>
      <c r="T170" s="175"/>
      <c r="U170" s="175"/>
      <c r="V170" s="175"/>
      <c r="W170" s="175"/>
      <c r="X170" s="175"/>
      <c r="Y170" s="175"/>
      <c r="Z170" s="175"/>
      <c r="AA170" s="175"/>
      <c r="AB170" s="175"/>
      <c r="AC170" s="175"/>
      <c r="AD170" s="175"/>
      <c r="AE170" s="175"/>
      <c r="AF170" s="175"/>
      <c r="AG170" s="175"/>
      <c r="AH170" s="175"/>
    </row>
    <row r="171" spans="1:34" s="1" customFormat="1" x14ac:dyDescent="0.3">
      <c r="A171" s="9">
        <v>853</v>
      </c>
      <c r="B171" s="9" t="s">
        <v>1061</v>
      </c>
      <c r="C171" s="9"/>
      <c r="D171" s="173"/>
      <c r="E171" s="173"/>
      <c r="F171" s="631"/>
      <c r="G171" s="631"/>
      <c r="H171" s="631"/>
      <c r="I171" s="173"/>
      <c r="J171" s="173"/>
      <c r="K171" s="173"/>
      <c r="L171" s="173"/>
      <c r="M171" s="173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  <c r="AB171" s="175"/>
      <c r="AC171" s="175"/>
      <c r="AD171" s="175"/>
      <c r="AE171" s="175"/>
      <c r="AF171" s="175"/>
      <c r="AG171" s="175"/>
      <c r="AH171" s="175"/>
    </row>
    <row r="172" spans="1:34" s="1" customFormat="1" x14ac:dyDescent="0.3">
      <c r="A172" s="58">
        <v>856</v>
      </c>
      <c r="B172" s="58" t="s">
        <v>1191</v>
      </c>
      <c r="C172" s="9"/>
      <c r="D172" s="173"/>
      <c r="E172" s="173"/>
      <c r="F172" s="631"/>
      <c r="G172" s="631"/>
      <c r="H172" s="631"/>
      <c r="I172" s="173"/>
      <c r="J172" s="173"/>
      <c r="K172" s="173"/>
      <c r="L172" s="173"/>
      <c r="M172" s="173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5"/>
      <c r="Y172" s="175"/>
      <c r="Z172" s="175"/>
      <c r="AA172" s="175"/>
      <c r="AB172" s="175"/>
      <c r="AC172" s="175"/>
      <c r="AD172" s="175"/>
      <c r="AE172" s="175"/>
      <c r="AF172" s="175"/>
      <c r="AG172" s="175"/>
      <c r="AH172" s="175"/>
    </row>
    <row r="173" spans="1:34" s="1" customFormat="1" x14ac:dyDescent="0.3">
      <c r="A173" s="9">
        <v>857</v>
      </c>
      <c r="B173" s="9" t="s">
        <v>1062</v>
      </c>
      <c r="C173" s="9"/>
      <c r="D173" s="173"/>
      <c r="E173" s="173"/>
      <c r="F173" s="631"/>
      <c r="G173" s="631"/>
      <c r="H173" s="631"/>
      <c r="I173" s="173"/>
      <c r="J173" s="173"/>
      <c r="K173" s="173"/>
      <c r="L173" s="173"/>
      <c r="M173" s="173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  <c r="AB173" s="175"/>
      <c r="AC173" s="175"/>
      <c r="AD173" s="175"/>
      <c r="AE173" s="175"/>
      <c r="AF173" s="175"/>
      <c r="AG173" s="175"/>
      <c r="AH173" s="175"/>
    </row>
    <row r="174" spans="1:34" s="1" customFormat="1" x14ac:dyDescent="0.3">
      <c r="A174" s="9">
        <v>859</v>
      </c>
      <c r="B174" s="9"/>
      <c r="C174" s="9"/>
      <c r="D174" s="175"/>
      <c r="E174" s="175"/>
      <c r="F174" s="632"/>
      <c r="G174" s="632"/>
      <c r="H174" s="632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5"/>
      <c r="V174" s="175"/>
      <c r="W174" s="175"/>
      <c r="X174" s="175"/>
      <c r="Y174" s="175"/>
      <c r="Z174" s="175"/>
      <c r="AA174" s="175"/>
      <c r="AB174" s="175"/>
      <c r="AC174" s="175"/>
      <c r="AD174" s="175"/>
      <c r="AE174" s="175"/>
      <c r="AF174" s="175"/>
      <c r="AG174" s="175"/>
      <c r="AH174" s="175"/>
    </row>
    <row r="175" spans="1:34" s="1" customFormat="1" x14ac:dyDescent="0.3">
      <c r="A175" s="9">
        <v>862</v>
      </c>
      <c r="B175" s="9"/>
      <c r="C175" s="9"/>
      <c r="D175" s="175"/>
      <c r="E175" s="175"/>
      <c r="F175" s="632"/>
      <c r="G175" s="632"/>
      <c r="H175" s="632"/>
      <c r="I175" s="175"/>
      <c r="J175" s="175"/>
      <c r="K175" s="175"/>
      <c r="L175" s="175"/>
      <c r="M175" s="175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5"/>
      <c r="Y175" s="175"/>
      <c r="Z175" s="175"/>
      <c r="AA175" s="175"/>
      <c r="AB175" s="175"/>
      <c r="AC175" s="175"/>
      <c r="AD175" s="175"/>
      <c r="AE175" s="175"/>
      <c r="AF175" s="175"/>
      <c r="AG175" s="175"/>
      <c r="AH175" s="175"/>
    </row>
    <row r="176" spans="1:34" s="1" customFormat="1" x14ac:dyDescent="0.3">
      <c r="A176" s="9">
        <v>863</v>
      </c>
      <c r="B176" s="9" t="s">
        <v>1063</v>
      </c>
      <c r="C176" s="9"/>
      <c r="D176" s="175"/>
      <c r="E176" s="175"/>
      <c r="F176" s="632"/>
      <c r="G176" s="632"/>
      <c r="H176" s="632"/>
      <c r="I176" s="175"/>
      <c r="J176" s="175"/>
      <c r="K176" s="175"/>
      <c r="L176" s="175"/>
      <c r="M176" s="175"/>
      <c r="N176" s="175"/>
      <c r="O176" s="175"/>
      <c r="P176" s="175"/>
      <c r="Q176" s="175"/>
      <c r="R176" s="175"/>
      <c r="S176" s="175"/>
      <c r="T176" s="175"/>
      <c r="U176" s="175"/>
      <c r="V176" s="175"/>
      <c r="W176" s="175"/>
      <c r="X176" s="175"/>
      <c r="Y176" s="175"/>
      <c r="Z176" s="175"/>
      <c r="AA176" s="175"/>
      <c r="AB176" s="175"/>
      <c r="AC176" s="175"/>
      <c r="AD176" s="175"/>
      <c r="AE176" s="175"/>
      <c r="AF176" s="175"/>
      <c r="AG176" s="175"/>
      <c r="AH176" s="175"/>
    </row>
    <row r="177" spans="1:34" s="1" customFormat="1" x14ac:dyDescent="0.3">
      <c r="A177" s="9">
        <v>865</v>
      </c>
      <c r="B177" s="9" t="s">
        <v>1064</v>
      </c>
      <c r="C177" s="9"/>
      <c r="D177" s="175"/>
      <c r="E177" s="175"/>
      <c r="F177" s="632"/>
      <c r="G177" s="632"/>
      <c r="H177" s="632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5"/>
      <c r="AC177" s="175"/>
      <c r="AD177" s="175"/>
      <c r="AE177" s="175"/>
      <c r="AF177" s="175"/>
      <c r="AG177" s="175"/>
      <c r="AH177" s="175"/>
    </row>
    <row r="178" spans="1:34" s="1" customFormat="1" x14ac:dyDescent="0.3">
      <c r="A178" s="9">
        <v>867</v>
      </c>
      <c r="B178" s="9" t="s">
        <v>1193</v>
      </c>
      <c r="C178" s="9"/>
      <c r="D178" s="175"/>
      <c r="E178" s="175"/>
      <c r="F178" s="632"/>
      <c r="G178" s="632"/>
      <c r="H178" s="632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  <c r="AD178" s="175"/>
      <c r="AE178" s="175"/>
      <c r="AF178" s="175"/>
      <c r="AG178" s="175"/>
      <c r="AH178" s="175"/>
    </row>
    <row r="179" spans="1:34" s="1" customFormat="1" x14ac:dyDescent="0.3">
      <c r="A179" s="9"/>
      <c r="B179" s="52" t="s">
        <v>1066</v>
      </c>
      <c r="C179" s="9"/>
      <c r="D179" s="175"/>
      <c r="E179" s="175"/>
      <c r="F179" s="632"/>
      <c r="G179" s="632"/>
      <c r="H179" s="632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D179" s="175"/>
      <c r="AE179" s="175"/>
      <c r="AF179" s="175"/>
      <c r="AG179" s="175"/>
      <c r="AH179" s="175"/>
    </row>
    <row r="180" spans="1:34" s="1" customFormat="1" x14ac:dyDescent="0.3">
      <c r="A180" s="9"/>
      <c r="B180" s="9"/>
      <c r="C180" s="9"/>
      <c r="D180" s="175"/>
      <c r="E180" s="175"/>
      <c r="F180" s="632"/>
      <c r="G180" s="632"/>
      <c r="H180" s="632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  <c r="AF180" s="175"/>
      <c r="AG180" s="175"/>
      <c r="AH180" s="175"/>
    </row>
    <row r="181" spans="1:34" x14ac:dyDescent="0.3">
      <c r="A181" s="52" t="s">
        <v>846</v>
      </c>
      <c r="B181" s="56"/>
      <c r="C181" s="31"/>
      <c r="D181" s="175"/>
      <c r="E181" s="175"/>
      <c r="F181" s="632"/>
      <c r="G181" s="632"/>
      <c r="H181" s="632"/>
      <c r="I181" s="175"/>
      <c r="J181" s="175"/>
      <c r="K181" s="175"/>
      <c r="L181" s="175"/>
      <c r="M181" s="175"/>
      <c r="N181" s="175"/>
      <c r="O181" s="175"/>
      <c r="P181" s="175"/>
      <c r="Q181" s="175"/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  <c r="AC181" s="175"/>
      <c r="AD181" s="175"/>
      <c r="AE181" s="175"/>
      <c r="AF181" s="175"/>
      <c r="AG181" s="175"/>
      <c r="AH181" s="175"/>
    </row>
    <row r="182" spans="1:34" x14ac:dyDescent="0.3">
      <c r="A182" s="52"/>
      <c r="B182" s="56" t="s">
        <v>549</v>
      </c>
      <c r="C182" s="31"/>
      <c r="D182" s="175"/>
      <c r="E182" s="175"/>
      <c r="F182" s="632"/>
      <c r="G182" s="632"/>
      <c r="H182" s="632"/>
      <c r="I182" s="175"/>
      <c r="J182" s="175"/>
      <c r="K182" s="175"/>
      <c r="L182" s="175"/>
      <c r="M182" s="175"/>
      <c r="N182" s="175"/>
      <c r="O182" s="175"/>
      <c r="P182" s="175"/>
      <c r="Q182" s="175"/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  <c r="AC182" s="175"/>
      <c r="AD182" s="175"/>
      <c r="AE182" s="175"/>
      <c r="AF182" s="175"/>
      <c r="AG182" s="175"/>
      <c r="AH182" s="175"/>
    </row>
    <row r="183" spans="1:34" x14ac:dyDescent="0.3">
      <c r="A183" s="9">
        <v>870</v>
      </c>
      <c r="B183" s="31" t="s">
        <v>847</v>
      </c>
      <c r="C183" s="31"/>
      <c r="D183" s="175"/>
      <c r="E183" s="175"/>
      <c r="F183" s="632"/>
      <c r="G183" s="632"/>
      <c r="H183" s="632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  <c r="AC183" s="175"/>
      <c r="AD183" s="175"/>
      <c r="AE183" s="175"/>
      <c r="AF183" s="175"/>
      <c r="AG183" s="175"/>
      <c r="AH183" s="175"/>
    </row>
    <row r="184" spans="1:34" x14ac:dyDescent="0.3">
      <c r="A184" s="9">
        <v>871</v>
      </c>
      <c r="B184" s="31" t="s">
        <v>644</v>
      </c>
      <c r="C184" s="31"/>
      <c r="D184" s="175"/>
      <c r="E184" s="175"/>
      <c r="F184" s="632"/>
      <c r="G184" s="632"/>
      <c r="H184" s="632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75"/>
      <c r="AC184" s="175"/>
      <c r="AD184" s="175"/>
      <c r="AE184" s="175"/>
      <c r="AF184" s="175"/>
      <c r="AG184" s="175"/>
      <c r="AH184" s="175"/>
    </row>
    <row r="185" spans="1:34" x14ac:dyDescent="0.3">
      <c r="A185" s="9">
        <v>872</v>
      </c>
      <c r="B185" s="31" t="s">
        <v>848</v>
      </c>
      <c r="C185" s="31"/>
      <c r="D185" s="175"/>
      <c r="E185" s="175"/>
      <c r="F185" s="632"/>
      <c r="G185" s="632"/>
      <c r="H185" s="632"/>
      <c r="I185" s="175"/>
      <c r="J185" s="175"/>
      <c r="K185" s="175"/>
      <c r="L185" s="175"/>
      <c r="M185" s="175"/>
      <c r="N185" s="175"/>
      <c r="O185" s="175"/>
      <c r="P185" s="175"/>
      <c r="Q185" s="175"/>
      <c r="R185" s="175"/>
      <c r="S185" s="175"/>
      <c r="T185" s="175"/>
      <c r="U185" s="175"/>
      <c r="V185" s="175"/>
      <c r="W185" s="175"/>
      <c r="X185" s="175"/>
      <c r="Y185" s="175"/>
      <c r="Z185" s="175"/>
      <c r="AA185" s="175"/>
      <c r="AB185" s="175"/>
      <c r="AC185" s="175"/>
      <c r="AD185" s="175"/>
      <c r="AE185" s="175"/>
      <c r="AF185" s="175"/>
      <c r="AG185" s="175"/>
      <c r="AH185" s="175"/>
    </row>
    <row r="186" spans="1:34" x14ac:dyDescent="0.3">
      <c r="A186" s="9">
        <v>873</v>
      </c>
      <c r="B186" s="31" t="s">
        <v>849</v>
      </c>
      <c r="C186" s="31"/>
      <c r="D186" s="175"/>
      <c r="E186" s="175"/>
      <c r="F186" s="632"/>
      <c r="G186" s="632"/>
      <c r="H186" s="632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5"/>
      <c r="AC186" s="175"/>
      <c r="AD186" s="175"/>
      <c r="AE186" s="175"/>
      <c r="AF186" s="175"/>
      <c r="AG186" s="175"/>
      <c r="AH186" s="175"/>
    </row>
    <row r="187" spans="1:34" x14ac:dyDescent="0.3">
      <c r="A187" s="9">
        <v>874</v>
      </c>
      <c r="B187" s="31" t="s">
        <v>850</v>
      </c>
      <c r="C187" s="31"/>
      <c r="D187" s="175"/>
      <c r="E187" s="175"/>
      <c r="F187" s="632"/>
      <c r="G187" s="632"/>
      <c r="H187" s="632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  <c r="AG187" s="175"/>
      <c r="AH187" s="175"/>
    </row>
    <row r="188" spans="1:34" x14ac:dyDescent="0.3">
      <c r="A188" s="9">
        <v>875</v>
      </c>
      <c r="B188" s="31" t="s">
        <v>851</v>
      </c>
      <c r="C188" s="31"/>
      <c r="D188" s="175"/>
      <c r="E188" s="175"/>
      <c r="F188" s="632"/>
      <c r="G188" s="632"/>
      <c r="H188" s="632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  <c r="Z188" s="175"/>
      <c r="AA188" s="175"/>
      <c r="AB188" s="175"/>
      <c r="AC188" s="175"/>
      <c r="AD188" s="175"/>
      <c r="AE188" s="175"/>
      <c r="AF188" s="175"/>
      <c r="AG188" s="175"/>
      <c r="AH188" s="175"/>
    </row>
    <row r="189" spans="1:34" x14ac:dyDescent="0.3">
      <c r="A189" s="9">
        <v>876</v>
      </c>
      <c r="B189" s="31" t="s">
        <v>852</v>
      </c>
      <c r="C189" s="31"/>
      <c r="D189" s="175"/>
      <c r="E189" s="175"/>
      <c r="F189" s="632"/>
      <c r="G189" s="632"/>
      <c r="H189" s="632"/>
      <c r="I189" s="175"/>
      <c r="J189" s="175"/>
      <c r="K189" s="175"/>
      <c r="L189" s="175"/>
      <c r="M189" s="175"/>
      <c r="N189" s="175"/>
      <c r="O189" s="175"/>
      <c r="P189" s="175"/>
      <c r="Q189" s="175"/>
      <c r="R189" s="175"/>
      <c r="S189" s="175"/>
      <c r="T189" s="175"/>
      <c r="U189" s="175"/>
      <c r="V189" s="175"/>
      <c r="W189" s="175"/>
      <c r="X189" s="175"/>
      <c r="Y189" s="175"/>
      <c r="Z189" s="175"/>
      <c r="AA189" s="175"/>
      <c r="AB189" s="175"/>
      <c r="AC189" s="175"/>
      <c r="AD189" s="175"/>
      <c r="AE189" s="175"/>
      <c r="AF189" s="175"/>
      <c r="AG189" s="175"/>
      <c r="AH189" s="175"/>
    </row>
    <row r="190" spans="1:34" x14ac:dyDescent="0.3">
      <c r="A190" s="9">
        <v>877</v>
      </c>
      <c r="B190" s="31" t="s">
        <v>853</v>
      </c>
      <c r="C190" s="31"/>
      <c r="D190" s="175"/>
      <c r="E190" s="175"/>
      <c r="F190" s="632"/>
      <c r="G190" s="632"/>
      <c r="H190" s="632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  <c r="Z190" s="175"/>
      <c r="AA190" s="175"/>
      <c r="AB190" s="175"/>
      <c r="AC190" s="175"/>
      <c r="AD190" s="175"/>
      <c r="AE190" s="175"/>
      <c r="AF190" s="175"/>
      <c r="AG190" s="175"/>
      <c r="AH190" s="175"/>
    </row>
    <row r="191" spans="1:34" x14ac:dyDescent="0.3">
      <c r="A191" s="9">
        <v>878</v>
      </c>
      <c r="B191" s="31" t="s">
        <v>854</v>
      </c>
      <c r="C191" s="31"/>
      <c r="D191" s="175"/>
      <c r="E191" s="175"/>
      <c r="F191" s="632"/>
      <c r="G191" s="632"/>
      <c r="H191" s="632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  <c r="Z191" s="175"/>
      <c r="AA191" s="175"/>
      <c r="AB191" s="175"/>
      <c r="AC191" s="175"/>
      <c r="AD191" s="175"/>
      <c r="AE191" s="175"/>
      <c r="AF191" s="175"/>
      <c r="AG191" s="175"/>
      <c r="AH191" s="175"/>
    </row>
    <row r="192" spans="1:34" x14ac:dyDescent="0.3">
      <c r="A192" s="9">
        <v>879</v>
      </c>
      <c r="B192" s="31" t="s">
        <v>855</v>
      </c>
      <c r="C192" s="31"/>
      <c r="D192" s="175"/>
      <c r="E192" s="175"/>
      <c r="F192" s="632"/>
      <c r="G192" s="632"/>
      <c r="H192" s="632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  <c r="Z192" s="175"/>
      <c r="AA192" s="175"/>
      <c r="AB192" s="175"/>
      <c r="AC192" s="175"/>
      <c r="AD192" s="175"/>
      <c r="AE192" s="175"/>
      <c r="AF192" s="175"/>
      <c r="AG192" s="175"/>
      <c r="AH192" s="175"/>
    </row>
    <row r="193" spans="1:34" x14ac:dyDescent="0.3">
      <c r="A193" s="9">
        <v>880</v>
      </c>
      <c r="B193" s="31" t="s">
        <v>856</v>
      </c>
      <c r="C193" s="31"/>
      <c r="D193" s="173"/>
      <c r="E193" s="173"/>
      <c r="F193" s="631"/>
      <c r="G193" s="631"/>
      <c r="H193" s="631"/>
      <c r="I193" s="173"/>
      <c r="J193" s="173"/>
      <c r="K193" s="173"/>
      <c r="L193" s="173"/>
      <c r="M193" s="173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  <c r="Z193" s="175"/>
      <c r="AA193" s="175"/>
      <c r="AB193" s="175"/>
      <c r="AC193" s="175"/>
      <c r="AD193" s="175"/>
      <c r="AE193" s="175"/>
      <c r="AF193" s="175"/>
      <c r="AG193" s="175"/>
      <c r="AH193" s="175"/>
    </row>
    <row r="194" spans="1:34" x14ac:dyDescent="0.3">
      <c r="A194" s="9"/>
      <c r="B194" s="45" t="s">
        <v>524</v>
      </c>
      <c r="C194" s="31"/>
      <c r="D194" s="173"/>
      <c r="E194" s="173"/>
      <c r="F194" s="631"/>
      <c r="G194" s="631"/>
      <c r="H194" s="631"/>
      <c r="I194" s="173"/>
      <c r="J194" s="173"/>
      <c r="K194" s="173"/>
      <c r="L194" s="173"/>
      <c r="M194" s="173"/>
      <c r="N194" s="175"/>
      <c r="O194" s="175"/>
      <c r="P194" s="175"/>
      <c r="Q194" s="175"/>
      <c r="R194" s="175"/>
      <c r="S194" s="175"/>
      <c r="T194" s="175"/>
      <c r="U194" s="175"/>
      <c r="V194" s="175"/>
      <c r="W194" s="175"/>
      <c r="X194" s="175"/>
      <c r="Y194" s="175"/>
      <c r="Z194" s="175"/>
      <c r="AA194" s="175"/>
      <c r="AB194" s="175"/>
      <c r="AC194" s="175"/>
      <c r="AD194" s="175"/>
      <c r="AE194" s="175"/>
      <c r="AF194" s="175"/>
      <c r="AG194" s="175"/>
      <c r="AH194" s="175"/>
    </row>
    <row r="195" spans="1:34" x14ac:dyDescent="0.3">
      <c r="A195" s="9"/>
      <c r="B195" s="31"/>
      <c r="C195" s="31"/>
      <c r="D195" s="173"/>
      <c r="E195" s="173"/>
      <c r="F195" s="631"/>
      <c r="G195" s="631"/>
      <c r="H195" s="631"/>
      <c r="I195" s="173"/>
      <c r="J195" s="173"/>
      <c r="K195" s="173"/>
      <c r="L195" s="173"/>
      <c r="M195" s="173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  <c r="Z195" s="175"/>
      <c r="AA195" s="175"/>
      <c r="AB195" s="175"/>
      <c r="AC195" s="175"/>
      <c r="AD195" s="175"/>
      <c r="AE195" s="175"/>
      <c r="AF195" s="175"/>
      <c r="AG195" s="175"/>
      <c r="AH195" s="175"/>
    </row>
    <row r="196" spans="1:34" x14ac:dyDescent="0.3">
      <c r="A196" s="9"/>
      <c r="B196" s="56" t="s">
        <v>565</v>
      </c>
      <c r="C196" s="31"/>
      <c r="D196" s="173"/>
      <c r="E196" s="173"/>
      <c r="F196" s="631"/>
      <c r="G196" s="631"/>
      <c r="H196" s="631"/>
      <c r="I196" s="173"/>
      <c r="J196" s="173"/>
      <c r="K196" s="173"/>
      <c r="L196" s="173"/>
      <c r="M196" s="173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5"/>
      <c r="Y196" s="175"/>
      <c r="Z196" s="175"/>
      <c r="AA196" s="175"/>
      <c r="AB196" s="175"/>
      <c r="AC196" s="175"/>
      <c r="AD196" s="175"/>
      <c r="AE196" s="175"/>
      <c r="AF196" s="175"/>
      <c r="AG196" s="175"/>
      <c r="AH196" s="175"/>
    </row>
    <row r="197" spans="1:34" x14ac:dyDescent="0.3">
      <c r="A197" s="9">
        <v>885</v>
      </c>
      <c r="B197" s="31" t="s">
        <v>847</v>
      </c>
      <c r="C197" s="31"/>
      <c r="D197" s="173"/>
      <c r="E197" s="173"/>
      <c r="F197" s="631"/>
      <c r="G197" s="631"/>
      <c r="H197" s="631"/>
      <c r="I197" s="173"/>
      <c r="J197" s="173"/>
      <c r="K197" s="173"/>
      <c r="L197" s="173"/>
      <c r="M197" s="173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5"/>
      <c r="Z197" s="175"/>
      <c r="AA197" s="175"/>
      <c r="AB197" s="175"/>
      <c r="AC197" s="175"/>
      <c r="AD197" s="175"/>
      <c r="AE197" s="175"/>
      <c r="AF197" s="175"/>
      <c r="AG197" s="175"/>
      <c r="AH197" s="175"/>
    </row>
    <row r="198" spans="1:34" x14ac:dyDescent="0.3">
      <c r="A198" s="9">
        <v>886</v>
      </c>
      <c r="B198" s="31" t="s">
        <v>857</v>
      </c>
      <c r="C198" s="31"/>
      <c r="D198" s="173"/>
      <c r="E198" s="173"/>
      <c r="F198" s="631"/>
      <c r="G198" s="631"/>
      <c r="H198" s="631"/>
      <c r="I198" s="173"/>
      <c r="J198" s="173"/>
      <c r="K198" s="173"/>
      <c r="L198" s="173"/>
      <c r="M198" s="173"/>
      <c r="N198" s="175"/>
      <c r="O198" s="175"/>
      <c r="P198" s="175"/>
      <c r="Q198" s="175"/>
      <c r="R198" s="175"/>
      <c r="S198" s="175"/>
      <c r="T198" s="175"/>
      <c r="U198" s="175"/>
      <c r="V198" s="175"/>
      <c r="W198" s="175"/>
      <c r="X198" s="175"/>
      <c r="Y198" s="175"/>
      <c r="Z198" s="175"/>
      <c r="AA198" s="175"/>
      <c r="AB198" s="175"/>
      <c r="AC198" s="175"/>
      <c r="AD198" s="175"/>
      <c r="AE198" s="175"/>
      <c r="AF198" s="175"/>
      <c r="AG198" s="175"/>
      <c r="AH198" s="175"/>
    </row>
    <row r="199" spans="1:34" x14ac:dyDescent="0.3">
      <c r="A199" s="9">
        <v>887</v>
      </c>
      <c r="B199" s="31" t="s">
        <v>858</v>
      </c>
      <c r="C199" s="31"/>
      <c r="D199" s="173"/>
      <c r="E199" s="173"/>
      <c r="F199" s="631"/>
      <c r="G199" s="631"/>
      <c r="H199" s="631"/>
      <c r="I199" s="173"/>
      <c r="J199" s="173"/>
      <c r="K199" s="173"/>
      <c r="L199" s="173"/>
      <c r="M199" s="173"/>
      <c r="N199" s="175"/>
      <c r="O199" s="175"/>
      <c r="P199" s="175"/>
      <c r="Q199" s="175"/>
      <c r="R199" s="175"/>
      <c r="S199" s="175"/>
      <c r="T199" s="175"/>
      <c r="U199" s="175"/>
      <c r="V199" s="175"/>
      <c r="W199" s="175"/>
      <c r="X199" s="175"/>
      <c r="Y199" s="175"/>
      <c r="Z199" s="175"/>
      <c r="AA199" s="175"/>
      <c r="AB199" s="175"/>
      <c r="AC199" s="175"/>
      <c r="AD199" s="175"/>
      <c r="AE199" s="175"/>
      <c r="AF199" s="175"/>
      <c r="AG199" s="175"/>
      <c r="AH199" s="175"/>
    </row>
    <row r="200" spans="1:34" x14ac:dyDescent="0.3">
      <c r="A200" s="9">
        <v>888</v>
      </c>
      <c r="B200" s="31" t="s">
        <v>859</v>
      </c>
      <c r="C200" s="31"/>
      <c r="D200" s="173"/>
      <c r="E200" s="173"/>
      <c r="F200" s="631"/>
      <c r="G200" s="631"/>
      <c r="H200" s="631"/>
      <c r="I200" s="173"/>
      <c r="J200" s="173"/>
      <c r="K200" s="173"/>
      <c r="L200" s="173"/>
      <c r="M200" s="173"/>
      <c r="N200" s="175"/>
      <c r="O200" s="175"/>
      <c r="P200" s="175"/>
      <c r="Q200" s="175"/>
      <c r="R200" s="175"/>
      <c r="S200" s="175"/>
      <c r="T200" s="175"/>
      <c r="U200" s="175"/>
      <c r="V200" s="175"/>
      <c r="W200" s="175"/>
      <c r="X200" s="175"/>
      <c r="Y200" s="175"/>
      <c r="Z200" s="175"/>
      <c r="AA200" s="175"/>
      <c r="AB200" s="175"/>
      <c r="AC200" s="175"/>
      <c r="AD200" s="175"/>
      <c r="AE200" s="175"/>
      <c r="AF200" s="175"/>
      <c r="AG200" s="175"/>
      <c r="AH200" s="175"/>
    </row>
    <row r="201" spans="1:34" x14ac:dyDescent="0.3">
      <c r="A201" s="9">
        <v>889</v>
      </c>
      <c r="B201" s="31" t="s">
        <v>851</v>
      </c>
      <c r="C201" s="31"/>
      <c r="D201" s="173"/>
      <c r="E201" s="173"/>
      <c r="F201" s="631"/>
      <c r="G201" s="631"/>
      <c r="H201" s="631"/>
      <c r="I201" s="173"/>
      <c r="J201" s="173"/>
      <c r="K201" s="173"/>
      <c r="L201" s="173"/>
      <c r="M201" s="173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5"/>
      <c r="Y201" s="175"/>
      <c r="Z201" s="175"/>
      <c r="AA201" s="175"/>
      <c r="AB201" s="175"/>
      <c r="AC201" s="175"/>
      <c r="AD201" s="175"/>
      <c r="AE201" s="175"/>
      <c r="AF201" s="175"/>
      <c r="AG201" s="175"/>
      <c r="AH201" s="175"/>
    </row>
    <row r="202" spans="1:34" x14ac:dyDescent="0.3">
      <c r="A202" s="9">
        <v>890</v>
      </c>
      <c r="B202" s="31" t="s">
        <v>852</v>
      </c>
      <c r="C202" s="31"/>
      <c r="D202" s="173"/>
      <c r="E202" s="173"/>
      <c r="F202" s="631"/>
      <c r="G202" s="631"/>
      <c r="H202" s="631"/>
      <c r="I202" s="173"/>
      <c r="J202" s="173"/>
      <c r="K202" s="173"/>
      <c r="L202" s="173"/>
      <c r="M202" s="173"/>
      <c r="N202" s="175"/>
      <c r="O202" s="175"/>
      <c r="P202" s="175"/>
      <c r="Q202" s="175"/>
      <c r="R202" s="175"/>
      <c r="S202" s="175"/>
      <c r="T202" s="175"/>
      <c r="U202" s="175"/>
      <c r="V202" s="175"/>
      <c r="W202" s="175"/>
      <c r="X202" s="175"/>
      <c r="Y202" s="175"/>
      <c r="Z202" s="175"/>
      <c r="AA202" s="175"/>
      <c r="AB202" s="175"/>
      <c r="AC202" s="175"/>
      <c r="AD202" s="175"/>
      <c r="AE202" s="175"/>
      <c r="AF202" s="175"/>
      <c r="AG202" s="175"/>
      <c r="AH202" s="175"/>
    </row>
    <row r="203" spans="1:34" x14ac:dyDescent="0.3">
      <c r="A203" s="9">
        <v>891</v>
      </c>
      <c r="B203" s="31" t="s">
        <v>853</v>
      </c>
      <c r="C203" s="31"/>
      <c r="D203" s="173"/>
      <c r="E203" s="173"/>
      <c r="F203" s="631"/>
      <c r="G203" s="631"/>
      <c r="H203" s="631"/>
      <c r="I203" s="173"/>
      <c r="J203" s="173"/>
      <c r="K203" s="173"/>
      <c r="L203" s="173"/>
      <c r="M203" s="173"/>
      <c r="N203" s="175"/>
      <c r="O203" s="175"/>
      <c r="P203" s="175"/>
      <c r="Q203" s="175"/>
      <c r="R203" s="175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75"/>
      <c r="AC203" s="175"/>
      <c r="AD203" s="175"/>
      <c r="AE203" s="175"/>
      <c r="AF203" s="175"/>
      <c r="AG203" s="175"/>
      <c r="AH203" s="175"/>
    </row>
    <row r="204" spans="1:34" x14ac:dyDescent="0.3">
      <c r="A204" s="9">
        <v>892</v>
      </c>
      <c r="B204" s="31" t="s">
        <v>456</v>
      </c>
      <c r="C204" s="31"/>
      <c r="D204" s="173"/>
      <c r="E204" s="173"/>
      <c r="F204" s="631"/>
      <c r="G204" s="631"/>
      <c r="H204" s="631"/>
      <c r="I204" s="173"/>
      <c r="J204" s="173"/>
      <c r="K204" s="173"/>
      <c r="L204" s="173"/>
      <c r="M204" s="173"/>
      <c r="N204" s="175"/>
      <c r="O204" s="175"/>
      <c r="P204" s="175"/>
      <c r="Q204" s="175"/>
      <c r="R204" s="175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75"/>
      <c r="AC204" s="175"/>
      <c r="AD204" s="175"/>
      <c r="AE204" s="175"/>
      <c r="AF204" s="175"/>
      <c r="AG204" s="175"/>
      <c r="AH204" s="175"/>
    </row>
    <row r="205" spans="1:34" x14ac:dyDescent="0.3">
      <c r="A205" s="9">
        <v>893</v>
      </c>
      <c r="B205" s="31" t="s">
        <v>854</v>
      </c>
      <c r="C205" s="31"/>
      <c r="D205" s="173"/>
      <c r="E205" s="173"/>
      <c r="F205" s="631"/>
      <c r="G205" s="631"/>
      <c r="H205" s="631"/>
      <c r="I205" s="173"/>
      <c r="J205" s="173"/>
      <c r="K205" s="173"/>
      <c r="L205" s="173"/>
      <c r="M205" s="173"/>
      <c r="N205" s="175"/>
      <c r="O205" s="175"/>
      <c r="P205" s="175"/>
      <c r="Q205" s="175"/>
      <c r="R205" s="175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75"/>
      <c r="AC205" s="175"/>
      <c r="AD205" s="175"/>
      <c r="AE205" s="175"/>
      <c r="AF205" s="175"/>
      <c r="AG205" s="175"/>
      <c r="AH205" s="175"/>
    </row>
    <row r="206" spans="1:34" x14ac:dyDescent="0.3">
      <c r="A206" s="9">
        <v>894</v>
      </c>
      <c r="B206" s="31" t="s">
        <v>860</v>
      </c>
      <c r="C206" s="31"/>
      <c r="D206" s="173"/>
      <c r="E206" s="173"/>
      <c r="F206" s="631"/>
      <c r="G206" s="631"/>
      <c r="H206" s="631"/>
      <c r="I206" s="173"/>
      <c r="J206" s="173"/>
      <c r="K206" s="173"/>
      <c r="L206" s="173"/>
      <c r="M206" s="173"/>
      <c r="N206" s="175"/>
      <c r="O206" s="175"/>
      <c r="P206" s="175"/>
      <c r="Q206" s="175"/>
      <c r="R206" s="175"/>
      <c r="S206" s="175"/>
      <c r="T206" s="175"/>
      <c r="U206" s="175"/>
      <c r="V206" s="175"/>
      <c r="W206" s="175"/>
      <c r="X206" s="175"/>
      <c r="Y206" s="175"/>
      <c r="Z206" s="175"/>
      <c r="AA206" s="175"/>
      <c r="AB206" s="175"/>
      <c r="AC206" s="175"/>
      <c r="AD206" s="175"/>
      <c r="AE206" s="175"/>
      <c r="AF206" s="175"/>
      <c r="AG206" s="175"/>
      <c r="AH206" s="175"/>
    </row>
    <row r="207" spans="1:34" x14ac:dyDescent="0.3">
      <c r="A207" s="9"/>
      <c r="B207" s="45" t="s">
        <v>524</v>
      </c>
      <c r="C207" s="31"/>
      <c r="D207" s="173"/>
      <c r="E207" s="173"/>
      <c r="F207" s="631"/>
      <c r="G207" s="631"/>
      <c r="H207" s="631"/>
      <c r="I207" s="173"/>
      <c r="J207" s="173"/>
      <c r="K207" s="173"/>
      <c r="L207" s="173"/>
      <c r="M207" s="175"/>
      <c r="N207" s="175"/>
      <c r="O207" s="175"/>
      <c r="P207" s="175"/>
      <c r="Q207" s="175"/>
      <c r="R207" s="175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75"/>
      <c r="AC207" s="175"/>
      <c r="AD207" s="175"/>
      <c r="AE207" s="175"/>
      <c r="AF207" s="175"/>
      <c r="AG207" s="175"/>
      <c r="AH207" s="175"/>
    </row>
    <row r="208" spans="1:34" x14ac:dyDescent="0.3">
      <c r="A208" s="9"/>
      <c r="B208" s="31"/>
      <c r="C208" s="31"/>
      <c r="D208" s="173"/>
      <c r="E208" s="173"/>
      <c r="F208" s="631"/>
      <c r="G208" s="631"/>
      <c r="H208" s="631"/>
      <c r="I208" s="173"/>
      <c r="J208" s="173"/>
      <c r="K208" s="173"/>
      <c r="L208" s="173"/>
      <c r="M208" s="175"/>
      <c r="N208" s="175"/>
      <c r="O208" s="175"/>
      <c r="P208" s="175"/>
      <c r="Q208" s="175"/>
      <c r="R208" s="175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75"/>
      <c r="AC208" s="175"/>
      <c r="AD208" s="175"/>
      <c r="AE208" s="175"/>
      <c r="AF208" s="175"/>
      <c r="AG208" s="175"/>
      <c r="AH208" s="175"/>
    </row>
    <row r="209" spans="1:35" x14ac:dyDescent="0.3">
      <c r="A209" s="9"/>
      <c r="B209" s="57" t="s">
        <v>543</v>
      </c>
      <c r="C209" s="31"/>
      <c r="D209" s="173"/>
      <c r="E209" s="173"/>
      <c r="F209" s="631"/>
      <c r="G209" s="631"/>
      <c r="H209" s="631"/>
      <c r="I209" s="173"/>
      <c r="J209" s="173"/>
      <c r="K209" s="173"/>
      <c r="L209" s="173"/>
      <c r="M209" s="175"/>
      <c r="N209" s="175"/>
      <c r="O209" s="175"/>
      <c r="P209" s="175"/>
      <c r="Q209" s="175"/>
      <c r="R209" s="175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75"/>
      <c r="AC209" s="175"/>
      <c r="AD209" s="175"/>
      <c r="AE209" s="175"/>
      <c r="AF209" s="175"/>
      <c r="AG209" s="175"/>
      <c r="AH209" s="175"/>
    </row>
    <row r="210" spans="1:35" x14ac:dyDescent="0.3">
      <c r="A210" s="9"/>
      <c r="B210" s="31"/>
      <c r="C210" s="31"/>
      <c r="D210" s="173"/>
      <c r="E210" s="173"/>
      <c r="F210" s="631"/>
      <c r="G210" s="631"/>
      <c r="H210" s="631"/>
      <c r="I210" s="173"/>
      <c r="J210" s="173"/>
      <c r="K210" s="173"/>
      <c r="L210" s="173"/>
      <c r="M210" s="175"/>
      <c r="N210" s="175"/>
      <c r="O210" s="175"/>
      <c r="P210" s="175"/>
      <c r="Q210" s="175"/>
      <c r="R210" s="175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75"/>
      <c r="AC210" s="175"/>
      <c r="AD210" s="175"/>
      <c r="AE210" s="175"/>
      <c r="AF210" s="175"/>
      <c r="AG210" s="175"/>
      <c r="AH210" s="175"/>
    </row>
    <row r="211" spans="1:35" x14ac:dyDescent="0.3">
      <c r="A211" s="9"/>
      <c r="B211" s="57" t="s">
        <v>862</v>
      </c>
      <c r="C211" s="31"/>
      <c r="D211" s="173"/>
      <c r="E211" s="173"/>
      <c r="F211" s="631"/>
      <c r="G211" s="631"/>
      <c r="H211" s="631"/>
      <c r="I211" s="173"/>
      <c r="J211" s="173"/>
      <c r="K211" s="173"/>
      <c r="L211" s="173"/>
      <c r="M211" s="175"/>
      <c r="N211" s="175"/>
      <c r="O211" s="175"/>
      <c r="P211" s="175"/>
      <c r="Q211" s="175"/>
      <c r="R211" s="175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75"/>
      <c r="AC211" s="175"/>
      <c r="AD211" s="175"/>
      <c r="AE211" s="175"/>
      <c r="AF211" s="175"/>
      <c r="AG211" s="175"/>
      <c r="AH211" s="175"/>
    </row>
    <row r="212" spans="1:35" x14ac:dyDescent="0.3">
      <c r="A212" s="9"/>
      <c r="B212" s="31"/>
      <c r="C212" s="31"/>
      <c r="D212" s="173"/>
      <c r="E212" s="173"/>
      <c r="F212" s="631"/>
      <c r="G212" s="631"/>
      <c r="H212" s="631"/>
      <c r="I212" s="173"/>
      <c r="J212" s="173"/>
      <c r="K212" s="173"/>
      <c r="L212" s="173"/>
      <c r="M212" s="175"/>
      <c r="N212" s="175"/>
      <c r="O212" s="175"/>
      <c r="P212" s="175"/>
      <c r="Q212" s="175"/>
      <c r="R212" s="175"/>
      <c r="S212" s="175"/>
      <c r="T212" s="175"/>
      <c r="U212" s="175"/>
      <c r="V212" s="175"/>
      <c r="W212" s="175"/>
      <c r="X212" s="175"/>
      <c r="Y212" s="175"/>
      <c r="Z212" s="175"/>
      <c r="AA212" s="175"/>
      <c r="AB212" s="175"/>
      <c r="AC212" s="175"/>
      <c r="AD212" s="175"/>
      <c r="AE212" s="175"/>
      <c r="AF212" s="175"/>
      <c r="AG212" s="175"/>
      <c r="AH212" s="175"/>
    </row>
    <row r="213" spans="1:35" x14ac:dyDescent="0.3">
      <c r="A213" s="9"/>
      <c r="B213" s="31"/>
      <c r="C213" s="31"/>
      <c r="F213" s="631"/>
      <c r="G213" s="631"/>
      <c r="H213" s="631"/>
      <c r="M213" s="1"/>
    </row>
    <row r="214" spans="1:35" x14ac:dyDescent="0.3">
      <c r="A214" s="479" t="s">
        <v>696</v>
      </c>
      <c r="B214" s="461"/>
      <c r="C214" s="461"/>
      <c r="D214" s="171"/>
      <c r="E214" s="171"/>
      <c r="F214" s="627"/>
      <c r="G214" s="627"/>
      <c r="H214" s="627"/>
      <c r="I214" s="171"/>
      <c r="J214" s="171"/>
      <c r="K214" s="171"/>
      <c r="L214" s="171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</row>
    <row r="215" spans="1:35" x14ac:dyDescent="0.3">
      <c r="A215" s="461"/>
      <c r="B215" s="461"/>
      <c r="C215" s="461"/>
      <c r="D215" s="171"/>
      <c r="E215" s="171"/>
      <c r="F215" s="627"/>
      <c r="G215" s="627"/>
      <c r="H215" s="627"/>
      <c r="I215" s="171"/>
      <c r="J215" s="171"/>
      <c r="K215" s="171"/>
      <c r="L215" s="171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</row>
    <row r="216" spans="1:35" x14ac:dyDescent="0.3">
      <c r="A216" s="461"/>
      <c r="B216" s="464" t="s">
        <v>697</v>
      </c>
      <c r="C216" s="464"/>
      <c r="D216" s="171"/>
      <c r="E216" s="171"/>
      <c r="F216" s="627"/>
      <c r="G216" s="627"/>
      <c r="H216" s="627"/>
      <c r="I216" s="171"/>
      <c r="J216" s="171"/>
      <c r="K216" s="171"/>
      <c r="L216" s="171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</row>
    <row r="217" spans="1:35" x14ac:dyDescent="0.3">
      <c r="A217" s="461">
        <v>901</v>
      </c>
      <c r="B217" s="461" t="s">
        <v>699</v>
      </c>
      <c r="C217" s="461"/>
      <c r="D217" s="468"/>
      <c r="E217" s="468"/>
      <c r="F217" s="630"/>
      <c r="G217" s="630"/>
      <c r="H217" s="630"/>
      <c r="I217" s="468"/>
      <c r="J217" s="468"/>
      <c r="K217" s="468"/>
      <c r="L217" s="468"/>
      <c r="M217" s="62"/>
      <c r="N217" s="468"/>
      <c r="O217" s="468"/>
      <c r="P217" s="468"/>
      <c r="Q217" s="468"/>
      <c r="R217" s="468"/>
      <c r="S217" s="468"/>
      <c r="T217" s="468"/>
      <c r="U217" s="468"/>
      <c r="V217" s="468"/>
      <c r="W217" s="468"/>
      <c r="X217" s="526">
        <f>SUM(Y217:Z217)</f>
        <v>1</v>
      </c>
      <c r="Y217" s="526">
        <v>0</v>
      </c>
      <c r="Z217" s="526">
        <v>1</v>
      </c>
      <c r="AA217" s="526">
        <v>1</v>
      </c>
      <c r="AB217" s="526">
        <f>SUM(AC217:AE217)</f>
        <v>1</v>
      </c>
      <c r="AC217" s="526">
        <v>1</v>
      </c>
      <c r="AD217" s="468"/>
      <c r="AE217" s="468"/>
      <c r="AF217" s="468"/>
      <c r="AG217" s="468"/>
      <c r="AH217" s="468"/>
      <c r="AI217" s="62"/>
    </row>
    <row r="218" spans="1:35" x14ac:dyDescent="0.3">
      <c r="A218" s="461">
        <v>902</v>
      </c>
      <c r="B218" s="461" t="s">
        <v>701</v>
      </c>
      <c r="C218" s="461"/>
      <c r="D218" s="468"/>
      <c r="E218" s="468"/>
      <c r="F218" s="630"/>
      <c r="G218" s="630"/>
      <c r="H218" s="630"/>
      <c r="I218" s="468"/>
      <c r="J218" s="468"/>
      <c r="K218" s="468"/>
      <c r="L218" s="468"/>
      <c r="M218" s="62"/>
      <c r="N218" s="468"/>
      <c r="O218" s="62"/>
      <c r="P218" s="62"/>
      <c r="Q218" s="62"/>
      <c r="R218" s="62"/>
      <c r="S218" s="62"/>
      <c r="T218" s="62"/>
      <c r="U218" s="62"/>
      <c r="V218" s="62"/>
      <c r="W218" s="62"/>
      <c r="X218" s="526">
        <f>SUM(Y218:Z218)</f>
        <v>1</v>
      </c>
      <c r="Y218" s="526">
        <v>0</v>
      </c>
      <c r="Z218" s="526">
        <v>1</v>
      </c>
      <c r="AA218" s="62"/>
      <c r="AB218" s="62"/>
      <c r="AC218" s="62"/>
      <c r="AD218" s="62"/>
      <c r="AE218" s="62"/>
      <c r="AF218" s="62"/>
      <c r="AG218" s="62"/>
      <c r="AH218" s="62"/>
      <c r="AI218" s="62"/>
    </row>
    <row r="219" spans="1:35" x14ac:dyDescent="0.3">
      <c r="A219" s="461">
        <v>903</v>
      </c>
      <c r="B219" s="461" t="s">
        <v>703</v>
      </c>
      <c r="C219" s="461"/>
      <c r="D219" s="468"/>
      <c r="E219" s="468"/>
      <c r="F219" s="630"/>
      <c r="G219" s="630"/>
      <c r="H219" s="630"/>
      <c r="I219" s="468"/>
      <c r="J219" s="468"/>
      <c r="K219" s="468"/>
      <c r="L219" s="468"/>
      <c r="M219" s="62"/>
      <c r="N219" s="468"/>
      <c r="O219" s="62"/>
      <c r="P219" s="62"/>
      <c r="Q219" s="62"/>
      <c r="R219" s="62"/>
      <c r="S219" s="62"/>
      <c r="T219" s="62"/>
      <c r="U219" s="62"/>
      <c r="V219" s="62"/>
      <c r="W219" s="62"/>
      <c r="X219" s="526"/>
      <c r="Y219" s="526"/>
      <c r="Z219" s="526"/>
      <c r="AA219" s="535">
        <v>1</v>
      </c>
      <c r="AB219" s="526">
        <f>SUM(AC219:AE219)</f>
        <v>1</v>
      </c>
      <c r="AC219" s="526">
        <v>1</v>
      </c>
      <c r="AD219" s="62"/>
      <c r="AE219" s="62"/>
      <c r="AF219" s="62"/>
      <c r="AG219" s="62"/>
      <c r="AH219" s="62"/>
      <c r="AI219" s="62"/>
    </row>
    <row r="220" spans="1:35" x14ac:dyDescent="0.3">
      <c r="A220" s="461">
        <v>904</v>
      </c>
      <c r="B220" s="461" t="s">
        <v>705</v>
      </c>
      <c r="C220" s="461"/>
      <c r="D220" s="468"/>
      <c r="E220" s="468"/>
      <c r="F220" s="630"/>
      <c r="G220" s="630"/>
      <c r="H220" s="630"/>
      <c r="I220" s="468"/>
      <c r="J220" s="468"/>
      <c r="K220" s="468"/>
      <c r="L220" s="468"/>
      <c r="M220" s="62"/>
      <c r="N220" s="468"/>
      <c r="O220" s="62"/>
      <c r="P220" s="62"/>
      <c r="Q220" s="62"/>
      <c r="R220" s="62"/>
      <c r="S220" s="62"/>
      <c r="T220" s="62"/>
      <c r="U220" s="62"/>
      <c r="V220" s="62"/>
      <c r="W220" s="62"/>
      <c r="X220" s="526"/>
      <c r="Y220" s="526"/>
      <c r="Z220" s="526"/>
      <c r="AA220" s="62"/>
      <c r="AB220" s="62"/>
      <c r="AC220" s="62"/>
      <c r="AD220" s="62"/>
      <c r="AE220" s="62"/>
      <c r="AF220" s="62"/>
      <c r="AG220" s="62"/>
      <c r="AH220" s="62"/>
      <c r="AI220" s="62"/>
    </row>
    <row r="221" spans="1:35" x14ac:dyDescent="0.3">
      <c r="A221" s="461">
        <v>905</v>
      </c>
      <c r="B221" s="466" t="s">
        <v>707</v>
      </c>
      <c r="C221" s="466"/>
      <c r="D221" s="468"/>
      <c r="E221" s="468"/>
      <c r="F221" s="630"/>
      <c r="G221" s="630"/>
      <c r="H221" s="630"/>
      <c r="I221" s="468"/>
      <c r="J221" s="468"/>
      <c r="K221" s="468"/>
      <c r="L221" s="468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526">
        <f>SUM(Y221:Z221)</f>
        <v>1</v>
      </c>
      <c r="Y221" s="526">
        <v>0</v>
      </c>
      <c r="Z221" s="526">
        <v>1</v>
      </c>
      <c r="AA221" s="535">
        <v>1</v>
      </c>
      <c r="AB221" s="526">
        <f>SUM(AC221:AE221)</f>
        <v>1</v>
      </c>
      <c r="AC221" s="526">
        <v>1</v>
      </c>
      <c r="AD221" s="62"/>
      <c r="AE221" s="62"/>
      <c r="AF221" s="62"/>
      <c r="AG221" s="62"/>
      <c r="AH221" s="62"/>
      <c r="AI221" s="62"/>
    </row>
    <row r="222" spans="1:35" x14ac:dyDescent="0.3">
      <c r="A222" s="461"/>
      <c r="B222" s="474" t="s">
        <v>524</v>
      </c>
      <c r="C222" s="474"/>
      <c r="D222" s="171"/>
      <c r="E222" s="171"/>
      <c r="F222" s="627"/>
      <c r="G222" s="627"/>
      <c r="H222" s="627"/>
      <c r="I222" s="171"/>
      <c r="J222" s="171"/>
      <c r="K222" s="171"/>
      <c r="L222" s="171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</row>
    <row r="223" spans="1:35" x14ac:dyDescent="0.3">
      <c r="A223" s="461" t="s">
        <v>1207</v>
      </c>
      <c r="B223" s="461"/>
      <c r="C223" s="461"/>
      <c r="D223" s="171"/>
      <c r="E223" s="171"/>
      <c r="F223" s="627"/>
      <c r="G223" s="627"/>
      <c r="H223" s="627"/>
      <c r="I223" s="171"/>
      <c r="J223" s="171"/>
      <c r="K223" s="171"/>
      <c r="L223" s="171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</row>
    <row r="224" spans="1:35" x14ac:dyDescent="0.3">
      <c r="A224" s="461"/>
      <c r="B224" s="464" t="s">
        <v>708</v>
      </c>
      <c r="C224" s="464"/>
      <c r="D224" s="171"/>
      <c r="E224" s="171"/>
      <c r="F224" s="627"/>
      <c r="G224" s="627"/>
      <c r="H224" s="627"/>
      <c r="I224" s="171"/>
      <c r="J224" s="171"/>
      <c r="K224" s="171"/>
      <c r="L224" s="171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</row>
    <row r="225" spans="1:35" x14ac:dyDescent="0.3">
      <c r="A225" s="461">
        <v>906</v>
      </c>
      <c r="B225" s="461" t="s">
        <v>710</v>
      </c>
      <c r="C225" s="461"/>
      <c r="D225" s="468"/>
      <c r="E225" s="468"/>
      <c r="F225" s="630"/>
      <c r="G225" s="630"/>
      <c r="H225" s="630"/>
      <c r="I225" s="468"/>
      <c r="J225" s="468"/>
      <c r="K225" s="468"/>
      <c r="L225" s="468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526">
        <v>1</v>
      </c>
      <c r="AB225" s="526">
        <v>1</v>
      </c>
      <c r="AC225" s="526">
        <v>1</v>
      </c>
      <c r="AD225" s="526"/>
      <c r="AE225" s="526"/>
      <c r="AF225" s="526"/>
      <c r="AG225" s="526"/>
      <c r="AH225" s="526"/>
      <c r="AI225" s="62"/>
    </row>
    <row r="226" spans="1:35" x14ac:dyDescent="0.3">
      <c r="A226" s="461">
        <v>907</v>
      </c>
      <c r="B226" s="461" t="s">
        <v>699</v>
      </c>
      <c r="C226" s="461"/>
      <c r="D226" s="468"/>
      <c r="E226" s="468"/>
      <c r="F226" s="630"/>
      <c r="G226" s="630"/>
      <c r="H226" s="630"/>
      <c r="I226" s="468"/>
      <c r="J226" s="468"/>
      <c r="K226" s="468"/>
      <c r="L226" s="468"/>
      <c r="M226" s="62"/>
      <c r="N226" s="468"/>
      <c r="O226" s="468"/>
      <c r="P226" s="468"/>
      <c r="Q226" s="468"/>
      <c r="R226" s="468"/>
      <c r="S226" s="468"/>
      <c r="T226" s="468"/>
      <c r="U226" s="468"/>
      <c r="V226" s="468"/>
      <c r="W226" s="468"/>
      <c r="X226" s="468"/>
      <c r="Y226" s="468"/>
      <c r="Z226" s="468"/>
      <c r="AA226" s="526">
        <v>1</v>
      </c>
      <c r="AB226" s="526">
        <v>1</v>
      </c>
      <c r="AC226" s="526">
        <v>1</v>
      </c>
      <c r="AD226" s="468"/>
      <c r="AE226" s="468"/>
      <c r="AF226" s="518"/>
      <c r="AG226" s="468"/>
      <c r="AH226" s="468"/>
      <c r="AI226" s="62"/>
    </row>
    <row r="227" spans="1:35" x14ac:dyDescent="0.3">
      <c r="A227" s="461">
        <v>908</v>
      </c>
      <c r="B227" s="466" t="s">
        <v>713</v>
      </c>
      <c r="C227" s="466"/>
      <c r="D227" s="468"/>
      <c r="E227" s="468"/>
      <c r="F227" s="630"/>
      <c r="G227" s="630"/>
      <c r="H227" s="630"/>
      <c r="I227" s="468"/>
      <c r="J227" s="468"/>
      <c r="K227" s="468"/>
      <c r="L227" s="468"/>
      <c r="M227" s="62"/>
      <c r="N227" s="468"/>
      <c r="O227" s="62"/>
      <c r="P227" s="62"/>
      <c r="Q227" s="62"/>
      <c r="R227" s="62"/>
      <c r="S227" s="62"/>
      <c r="T227" s="62"/>
      <c r="U227" s="62"/>
      <c r="V227" s="62"/>
      <c r="W227" s="62"/>
      <c r="X227" s="468"/>
      <c r="Y227" s="62"/>
      <c r="Z227" s="62"/>
      <c r="AA227" s="526">
        <v>1</v>
      </c>
      <c r="AB227" s="526">
        <v>1</v>
      </c>
      <c r="AC227" s="526">
        <v>1</v>
      </c>
      <c r="AD227" s="518"/>
      <c r="AE227" s="518"/>
      <c r="AF227" s="518"/>
      <c r="AG227" s="526"/>
      <c r="AH227" s="526"/>
      <c r="AI227" s="62"/>
    </row>
    <row r="228" spans="1:35" x14ac:dyDescent="0.3">
      <c r="A228" s="461">
        <v>909</v>
      </c>
      <c r="B228" s="461" t="s">
        <v>715</v>
      </c>
      <c r="C228" s="461"/>
      <c r="D228" s="468"/>
      <c r="E228" s="468"/>
      <c r="F228" s="630"/>
      <c r="G228" s="630"/>
      <c r="H228" s="630"/>
      <c r="I228" s="468"/>
      <c r="J228" s="468"/>
      <c r="K228" s="468"/>
      <c r="L228" s="468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526">
        <v>1</v>
      </c>
      <c r="AB228" s="526">
        <v>1</v>
      </c>
      <c r="AC228" s="526">
        <v>1</v>
      </c>
      <c r="AD228" s="526"/>
      <c r="AE228" s="526"/>
      <c r="AF228" s="526"/>
      <c r="AG228" s="526"/>
      <c r="AH228" s="526"/>
      <c r="AI228" s="62"/>
    </row>
    <row r="229" spans="1:35" x14ac:dyDescent="0.3">
      <c r="A229" s="461">
        <v>910</v>
      </c>
      <c r="B229" s="461" t="s">
        <v>717</v>
      </c>
      <c r="C229" s="461"/>
      <c r="D229" s="468"/>
      <c r="E229" s="468"/>
      <c r="F229" s="630"/>
      <c r="G229" s="630"/>
      <c r="H229" s="630"/>
      <c r="I229" s="468"/>
      <c r="J229" s="468"/>
      <c r="K229" s="468"/>
      <c r="L229" s="468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526">
        <v>1</v>
      </c>
      <c r="AB229" s="526">
        <v>1</v>
      </c>
      <c r="AC229" s="526">
        <v>1</v>
      </c>
      <c r="AD229" s="533"/>
      <c r="AE229" s="533"/>
      <c r="AF229" s="526">
        <v>1</v>
      </c>
      <c r="AG229" s="526">
        <v>1</v>
      </c>
      <c r="AH229" s="526"/>
      <c r="AI229" s="62"/>
    </row>
    <row r="230" spans="1:35" x14ac:dyDescent="0.3">
      <c r="A230" s="461"/>
      <c r="B230" s="474" t="s">
        <v>524</v>
      </c>
      <c r="C230" s="474"/>
      <c r="D230" s="171"/>
      <c r="E230" s="171"/>
      <c r="F230" s="627"/>
      <c r="G230" s="627"/>
      <c r="H230" s="627"/>
      <c r="I230" s="171"/>
      <c r="J230" s="171"/>
      <c r="K230" s="171"/>
      <c r="L230" s="171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526">
        <v>1</v>
      </c>
      <c r="AB230" s="526">
        <v>1</v>
      </c>
      <c r="AC230" s="526">
        <v>1</v>
      </c>
      <c r="AD230" s="62"/>
      <c r="AE230" s="62"/>
      <c r="AF230" s="62"/>
      <c r="AG230" s="62"/>
      <c r="AH230" s="62"/>
      <c r="AI230" s="62"/>
    </row>
    <row r="231" spans="1:35" x14ac:dyDescent="0.3">
      <c r="A231" s="461" t="s">
        <v>1208</v>
      </c>
      <c r="B231" s="474"/>
      <c r="C231" s="474"/>
      <c r="D231" s="171"/>
      <c r="E231" s="171"/>
      <c r="F231" s="627"/>
      <c r="G231" s="627"/>
      <c r="H231" s="627"/>
      <c r="I231" s="171"/>
      <c r="J231" s="171"/>
      <c r="K231" s="171"/>
      <c r="L231" s="171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</row>
    <row r="232" spans="1:35" x14ac:dyDescent="0.3">
      <c r="A232" s="461"/>
      <c r="B232" s="483" t="s">
        <v>718</v>
      </c>
      <c r="C232" s="483"/>
      <c r="D232" s="171"/>
      <c r="E232" s="171"/>
      <c r="F232" s="627"/>
      <c r="G232" s="627"/>
      <c r="H232" s="627"/>
      <c r="I232" s="171"/>
      <c r="J232" s="171"/>
      <c r="K232" s="171"/>
      <c r="L232" s="171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</row>
    <row r="233" spans="1:35" x14ac:dyDescent="0.3">
      <c r="A233" s="461">
        <v>911</v>
      </c>
      <c r="B233" s="484" t="s">
        <v>1068</v>
      </c>
      <c r="C233" s="483"/>
      <c r="D233" s="171"/>
      <c r="E233" s="171"/>
      <c r="F233" s="627"/>
      <c r="G233" s="627"/>
      <c r="H233" s="627"/>
      <c r="I233" s="171"/>
      <c r="J233" s="171"/>
      <c r="K233" s="171"/>
      <c r="L233" s="171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526">
        <v>1</v>
      </c>
      <c r="AB233" s="526">
        <v>1</v>
      </c>
      <c r="AC233" s="526">
        <v>1</v>
      </c>
      <c r="AD233" s="62"/>
      <c r="AE233" s="62"/>
      <c r="AF233" s="526">
        <f t="shared" ref="AF233:AF239" si="5">SUM(AG233:AG233)</f>
        <v>1</v>
      </c>
      <c r="AG233" s="526">
        <v>1</v>
      </c>
      <c r="AH233" s="62"/>
      <c r="AI233" s="62"/>
    </row>
    <row r="234" spans="1:35" x14ac:dyDescent="0.3">
      <c r="A234" s="465">
        <v>912</v>
      </c>
      <c r="B234" s="485" t="s">
        <v>719</v>
      </c>
      <c r="C234" s="483"/>
      <c r="D234" s="171"/>
      <c r="E234" s="171"/>
      <c r="F234" s="627"/>
      <c r="G234" s="627"/>
      <c r="H234" s="627"/>
      <c r="I234" s="171"/>
      <c r="J234" s="171"/>
      <c r="K234" s="171"/>
      <c r="L234" s="171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526"/>
      <c r="AB234" s="526">
        <v>1</v>
      </c>
      <c r="AC234" s="526">
        <v>1</v>
      </c>
      <c r="AD234" s="62"/>
      <c r="AE234" s="62"/>
      <c r="AF234" s="526"/>
      <c r="AG234" s="526"/>
      <c r="AH234" s="62"/>
      <c r="AI234" s="62"/>
    </row>
    <row r="235" spans="1:35" x14ac:dyDescent="0.3">
      <c r="A235" s="461">
        <v>913</v>
      </c>
      <c r="B235" s="243" t="s">
        <v>1331</v>
      </c>
      <c r="C235" s="243"/>
      <c r="D235" s="468"/>
      <c r="E235" s="468"/>
      <c r="F235" s="630"/>
      <c r="G235" s="630"/>
      <c r="H235" s="630"/>
      <c r="I235" s="468"/>
      <c r="J235" s="468"/>
      <c r="K235" s="468"/>
      <c r="L235" s="468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526">
        <v>1</v>
      </c>
      <c r="AB235" s="526">
        <v>1</v>
      </c>
      <c r="AC235" s="526">
        <v>1</v>
      </c>
      <c r="AD235" s="526"/>
      <c r="AE235" s="526"/>
      <c r="AF235" s="526">
        <f t="shared" si="5"/>
        <v>1</v>
      </c>
      <c r="AG235" s="526">
        <v>1</v>
      </c>
      <c r="AH235" s="526"/>
      <c r="AI235" s="62"/>
    </row>
    <row r="236" spans="1:35" x14ac:dyDescent="0.3">
      <c r="A236" s="461">
        <v>915</v>
      </c>
      <c r="B236" s="243" t="s">
        <v>892</v>
      </c>
      <c r="C236" s="243"/>
      <c r="D236" s="468"/>
      <c r="E236" s="468"/>
      <c r="F236" s="630"/>
      <c r="G236" s="630"/>
      <c r="H236" s="630"/>
      <c r="I236" s="468"/>
      <c r="J236" s="468"/>
      <c r="K236" s="468"/>
      <c r="L236" s="468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526">
        <v>1</v>
      </c>
      <c r="AB236" s="526">
        <v>1</v>
      </c>
      <c r="AC236" s="526">
        <v>1</v>
      </c>
      <c r="AD236" s="526"/>
      <c r="AE236" s="526"/>
      <c r="AF236" s="526">
        <f t="shared" si="5"/>
        <v>1</v>
      </c>
      <c r="AG236" s="526">
        <v>1</v>
      </c>
      <c r="AH236" s="526"/>
      <c r="AI236" s="62"/>
    </row>
    <row r="237" spans="1:35" x14ac:dyDescent="0.3">
      <c r="A237" s="461">
        <v>916</v>
      </c>
      <c r="B237" s="243" t="s">
        <v>719</v>
      </c>
      <c r="C237" s="243"/>
      <c r="D237" s="468"/>
      <c r="E237" s="468"/>
      <c r="F237" s="630"/>
      <c r="G237" s="630"/>
      <c r="H237" s="630"/>
      <c r="I237" s="468"/>
      <c r="J237" s="468"/>
      <c r="K237" s="468"/>
      <c r="L237" s="468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526">
        <v>1</v>
      </c>
      <c r="AB237" s="526">
        <v>1</v>
      </c>
      <c r="AC237" s="526">
        <v>1</v>
      </c>
      <c r="AD237" s="526"/>
      <c r="AE237" s="526"/>
      <c r="AF237" s="526">
        <f t="shared" si="5"/>
        <v>1</v>
      </c>
      <c r="AG237" s="526">
        <v>1</v>
      </c>
      <c r="AH237" s="526"/>
      <c r="AI237" s="62"/>
    </row>
    <row r="238" spans="1:35" x14ac:dyDescent="0.3">
      <c r="A238" s="461">
        <v>917</v>
      </c>
      <c r="B238" s="243" t="s">
        <v>1009</v>
      </c>
      <c r="C238" s="243"/>
      <c r="D238" s="468"/>
      <c r="E238" s="468"/>
      <c r="F238" s="630"/>
      <c r="G238" s="630"/>
      <c r="H238" s="630"/>
      <c r="I238" s="468"/>
      <c r="J238" s="468"/>
      <c r="K238" s="468"/>
      <c r="L238" s="468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526">
        <v>1</v>
      </c>
      <c r="AB238" s="526">
        <v>1</v>
      </c>
      <c r="AC238" s="526">
        <v>1</v>
      </c>
      <c r="AD238" s="526"/>
      <c r="AE238" s="526"/>
      <c r="AF238" s="526">
        <f t="shared" si="5"/>
        <v>1</v>
      </c>
      <c r="AG238" s="526">
        <v>1</v>
      </c>
      <c r="AH238" s="526"/>
      <c r="AI238" s="62"/>
    </row>
    <row r="239" spans="1:35" x14ac:dyDescent="0.3">
      <c r="A239" s="461">
        <v>918</v>
      </c>
      <c r="B239" s="243" t="s">
        <v>722</v>
      </c>
      <c r="C239" s="243"/>
      <c r="D239" s="468"/>
      <c r="E239" s="468"/>
      <c r="F239" s="630"/>
      <c r="G239" s="630"/>
      <c r="H239" s="630"/>
      <c r="I239" s="468"/>
      <c r="J239" s="468"/>
      <c r="K239" s="468"/>
      <c r="L239" s="468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526">
        <v>1</v>
      </c>
      <c r="AB239" s="526">
        <v>1</v>
      </c>
      <c r="AC239" s="526">
        <v>1</v>
      </c>
      <c r="AD239" s="526"/>
      <c r="AE239" s="526"/>
      <c r="AF239" s="526">
        <f t="shared" si="5"/>
        <v>1</v>
      </c>
      <c r="AG239" s="526">
        <v>1</v>
      </c>
      <c r="AH239" s="526"/>
      <c r="AI239" s="62"/>
    </row>
    <row r="240" spans="1:35" x14ac:dyDescent="0.3">
      <c r="A240" s="461"/>
      <c r="B240" s="486" t="s">
        <v>524</v>
      </c>
      <c r="C240" s="486"/>
      <c r="D240" s="171"/>
      <c r="E240" s="171"/>
      <c r="F240" s="627"/>
      <c r="G240" s="627"/>
      <c r="H240" s="627"/>
      <c r="I240" s="171"/>
      <c r="J240" s="171"/>
      <c r="K240" s="171"/>
      <c r="L240" s="171"/>
      <c r="M240" s="52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</row>
    <row r="241" spans="1:35" x14ac:dyDescent="0.3">
      <c r="A241" s="461">
        <v>912913917</v>
      </c>
      <c r="B241" s="474"/>
      <c r="C241" s="474"/>
      <c r="D241" s="171"/>
      <c r="E241" s="171"/>
      <c r="F241" s="627"/>
      <c r="G241" s="627"/>
      <c r="H241" s="627"/>
      <c r="I241" s="171"/>
      <c r="J241" s="171"/>
      <c r="K241" s="171"/>
      <c r="L241" s="171"/>
      <c r="M241" s="171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</row>
    <row r="242" spans="1:35" x14ac:dyDescent="0.3">
      <c r="A242" s="461"/>
      <c r="B242" s="487" t="s">
        <v>940</v>
      </c>
      <c r="C242" s="487"/>
      <c r="D242" s="171"/>
      <c r="E242" s="171"/>
      <c r="F242" s="627"/>
      <c r="G242" s="627"/>
      <c r="H242" s="627"/>
      <c r="I242" s="171"/>
      <c r="J242" s="171"/>
      <c r="K242" s="171"/>
      <c r="L242" s="171"/>
      <c r="M242" s="171"/>
      <c r="N242" s="468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</row>
    <row r="243" spans="1:35" x14ac:dyDescent="0.3">
      <c r="A243" s="461" t="s">
        <v>836</v>
      </c>
      <c r="B243" s="461"/>
      <c r="C243" s="461"/>
      <c r="D243" s="171"/>
      <c r="E243" s="171"/>
      <c r="F243" s="627"/>
      <c r="G243" s="627"/>
      <c r="H243" s="627"/>
      <c r="I243" s="171"/>
      <c r="J243" s="171"/>
      <c r="K243" s="171"/>
      <c r="L243" s="171"/>
      <c r="M243" s="171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</row>
    <row r="244" spans="1:35" x14ac:dyDescent="0.3">
      <c r="A244" s="461" t="s">
        <v>919</v>
      </c>
      <c r="B244" s="461"/>
      <c r="C244" s="461"/>
      <c r="D244" s="171">
        <f>D243-D14-D38-D93</f>
        <v>0</v>
      </c>
      <c r="E244" s="171">
        <f>E243-E14-E38-E93</f>
        <v>0</v>
      </c>
      <c r="F244" s="627"/>
      <c r="G244" s="627"/>
      <c r="H244" s="627"/>
      <c r="I244" s="171">
        <f>I243-I14-I38-I93</f>
        <v>0</v>
      </c>
      <c r="J244" s="171">
        <f>J243-J14-J38-J93</f>
        <v>0</v>
      </c>
      <c r="K244" s="171"/>
      <c r="L244" s="171">
        <f t="shared" ref="L244:V244" si="6">L243-L14-L38-L93</f>
        <v>-1</v>
      </c>
      <c r="M244" s="171">
        <f t="shared" si="6"/>
        <v>0</v>
      </c>
      <c r="N244" s="171">
        <f t="shared" si="6"/>
        <v>0</v>
      </c>
      <c r="O244" s="171">
        <f t="shared" si="6"/>
        <v>0</v>
      </c>
      <c r="P244" s="171">
        <f t="shared" si="6"/>
        <v>0</v>
      </c>
      <c r="Q244" s="171">
        <f t="shared" si="6"/>
        <v>0</v>
      </c>
      <c r="R244" s="171">
        <f t="shared" si="6"/>
        <v>0</v>
      </c>
      <c r="S244" s="171">
        <f t="shared" si="6"/>
        <v>0</v>
      </c>
      <c r="T244" s="171">
        <f t="shared" si="6"/>
        <v>0</v>
      </c>
      <c r="U244" s="171">
        <f t="shared" si="6"/>
        <v>0</v>
      </c>
      <c r="V244" s="171">
        <f t="shared" si="6"/>
        <v>0</v>
      </c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</row>
    <row r="245" spans="1:35" x14ac:dyDescent="0.3">
      <c r="A245" s="461"/>
      <c r="B245" s="461"/>
      <c r="C245" s="461"/>
      <c r="D245" s="171"/>
      <c r="E245" s="171"/>
      <c r="F245" s="627"/>
      <c r="G245" s="627"/>
      <c r="H245" s="627"/>
      <c r="I245" s="171"/>
      <c r="J245" s="171"/>
      <c r="K245" s="171"/>
      <c r="L245" s="171"/>
      <c r="M245" s="171"/>
      <c r="N245" s="171"/>
      <c r="O245" s="171"/>
      <c r="P245" s="171"/>
      <c r="Q245" s="171"/>
      <c r="R245" s="171"/>
      <c r="S245" s="171"/>
      <c r="T245" s="171"/>
      <c r="U245" s="171"/>
      <c r="V245" s="171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</row>
    <row r="246" spans="1:35" x14ac:dyDescent="0.3">
      <c r="A246" s="461"/>
      <c r="B246" s="461"/>
      <c r="C246" s="461"/>
      <c r="D246" s="171"/>
      <c r="E246" s="171"/>
      <c r="F246" s="627"/>
      <c r="G246" s="627"/>
      <c r="H246" s="627"/>
      <c r="I246" s="171"/>
      <c r="J246" s="171"/>
      <c r="K246" s="171"/>
      <c r="L246" s="171"/>
      <c r="M246" s="171"/>
      <c r="N246" s="171"/>
      <c r="O246" s="171"/>
      <c r="P246" s="171"/>
      <c r="Q246" s="171"/>
      <c r="R246" s="171"/>
      <c r="S246" s="171"/>
      <c r="T246" s="171"/>
      <c r="U246" s="171"/>
      <c r="V246" s="171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</row>
    <row r="247" spans="1:35" x14ac:dyDescent="0.3">
      <c r="A247" s="461"/>
      <c r="B247" s="461"/>
      <c r="C247" s="461"/>
      <c r="D247" s="171"/>
      <c r="E247" s="171"/>
      <c r="F247" s="627"/>
      <c r="G247" s="627"/>
      <c r="H247" s="627"/>
      <c r="I247" s="171"/>
      <c r="J247" s="171"/>
      <c r="K247" s="171"/>
      <c r="L247" s="171"/>
      <c r="M247" s="171"/>
      <c r="N247" s="171"/>
      <c r="O247" s="171"/>
      <c r="P247" s="171"/>
      <c r="Q247" s="171"/>
      <c r="R247" s="171"/>
      <c r="S247" s="171"/>
      <c r="T247" s="171"/>
      <c r="U247" s="171"/>
      <c r="V247" s="171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</row>
    <row r="248" spans="1:35" s="1" customFormat="1" x14ac:dyDescent="0.3">
      <c r="A248" s="479" t="s">
        <v>1332</v>
      </c>
      <c r="B248" s="461"/>
      <c r="C248" s="461"/>
      <c r="D248" s="171"/>
      <c r="E248" s="171"/>
      <c r="F248" s="627"/>
      <c r="G248" s="627"/>
      <c r="H248" s="627"/>
      <c r="I248" s="171"/>
      <c r="J248" s="171"/>
      <c r="K248" s="171"/>
      <c r="L248" s="171"/>
      <c r="M248" s="171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</row>
    <row r="249" spans="1:35" s="1" customFormat="1" x14ac:dyDescent="0.3">
      <c r="A249" s="461">
        <v>920</v>
      </c>
      <c r="B249" s="461" t="s">
        <v>725</v>
      </c>
      <c r="C249" s="461" t="s">
        <v>835</v>
      </c>
      <c r="D249" s="529">
        <f t="shared" ref="D249:D255" si="7">+E249+I249+J249+K249</f>
        <v>66192416.159999996</v>
      </c>
      <c r="E249" s="468">
        <f>'7b. LX_AG-sf'!E$241</f>
        <v>43515962.003324836</v>
      </c>
      <c r="F249" s="630"/>
      <c r="G249" s="630"/>
      <c r="H249" s="630"/>
      <c r="I249" s="468">
        <f>'7b. LX_AG-sf'!I$241</f>
        <v>22676454.15667516</v>
      </c>
      <c r="J249" s="468">
        <f>'7b. LX_AG-sf'!J$241</f>
        <v>0</v>
      </c>
      <c r="K249" s="468"/>
      <c r="L249" s="526">
        <v>1</v>
      </c>
      <c r="M249" s="529">
        <f>SUM(N249:W249)</f>
        <v>51544435.908528537</v>
      </c>
      <c r="N249" s="468">
        <f>'7b. LX_AG-sf'!N$241</f>
        <v>16188678.588415425</v>
      </c>
      <c r="O249" s="468">
        <f>'7b. LX_AG-sf'!O$241</f>
        <v>14742342.935831249</v>
      </c>
      <c r="P249" s="468">
        <f>'7b. LX_AG-sf'!P$241</f>
        <v>4057801.875254239</v>
      </c>
      <c r="Q249" s="468">
        <f>'7b. LX_AG-sf'!Q$241</f>
        <v>794748.9146647033</v>
      </c>
      <c r="R249" s="468">
        <f>'7b. LX_AG-sf'!R$241</f>
        <v>10477592.271150392</v>
      </c>
      <c r="S249" s="468">
        <f>'7b. LX_AG-sf'!S$241</f>
        <v>2788537.9736045781</v>
      </c>
      <c r="T249" s="468">
        <f>'7b. LX_AG-sf'!T$241</f>
        <v>868778.21527854819</v>
      </c>
      <c r="U249" s="468">
        <f>'7b. LX_AG-sf'!U$241</f>
        <v>0</v>
      </c>
      <c r="V249" s="468">
        <f>'7b. LX_AG-sf'!V$241</f>
        <v>1463901.2818474146</v>
      </c>
      <c r="W249" s="468">
        <f>'7b. LX_AG-sf'!W$241</f>
        <v>162053.85248199227</v>
      </c>
      <c r="X249" s="527">
        <f>SUM(Y249:Z249)</f>
        <v>11382286.798041336</v>
      </c>
      <c r="Y249" s="468">
        <f>'7b. LX_AG-sf'!Y$241</f>
        <v>5533146.4714714596</v>
      </c>
      <c r="Z249" s="468">
        <f>'7b. LX_AG-sf'!Z$241</f>
        <v>5849140.3265698766</v>
      </c>
      <c r="AA249" s="526">
        <v>1</v>
      </c>
      <c r="AB249" s="527">
        <f>SUM(AC249:AE249)</f>
        <v>15526882.993573921</v>
      </c>
      <c r="AC249" s="468">
        <f>'7b. LX_AG-sf'!AC$241</f>
        <v>14089249.023636159</v>
      </c>
      <c r="AD249" s="468">
        <f>'7b. LX_AG-sf'!AD$241</f>
        <v>1437633.9699377615</v>
      </c>
      <c r="AE249" s="468">
        <f>'7b. LX_AG-sf'!AE$241</f>
        <v>0</v>
      </c>
      <c r="AF249" s="527">
        <f>SUM(AG249:AG249)</f>
        <v>2203529.67</v>
      </c>
      <c r="AG249" s="468">
        <f>'7b. LX_AG-sf'!AG$241</f>
        <v>2203529.67</v>
      </c>
      <c r="AH249" s="526"/>
      <c r="AI249" s="62"/>
    </row>
    <row r="250" spans="1:35" s="1" customFormat="1" x14ac:dyDescent="0.3">
      <c r="A250" s="461" t="s">
        <v>1209</v>
      </c>
      <c r="B250" s="461" t="s">
        <v>58</v>
      </c>
      <c r="C250" s="461" t="s">
        <v>186</v>
      </c>
      <c r="D250" s="521">
        <f t="shared" si="7"/>
        <v>1</v>
      </c>
      <c r="E250" s="521">
        <v>0.4</v>
      </c>
      <c r="F250" s="629"/>
      <c r="G250" s="629"/>
      <c r="H250" s="629"/>
      <c r="I250" s="535">
        <v>0.6</v>
      </c>
      <c r="J250" s="468"/>
      <c r="K250" s="468"/>
      <c r="L250" s="526"/>
      <c r="M250" s="529"/>
      <c r="N250" s="468"/>
      <c r="O250" s="468"/>
      <c r="P250" s="468"/>
      <c r="Q250" s="468"/>
      <c r="R250" s="468"/>
      <c r="S250" s="468"/>
      <c r="T250" s="468"/>
      <c r="U250" s="468"/>
      <c r="V250" s="468"/>
      <c r="W250" s="468"/>
      <c r="X250" s="527"/>
      <c r="Y250" s="468"/>
      <c r="Z250" s="468"/>
      <c r="AA250" s="526"/>
      <c r="AB250" s="526"/>
      <c r="AC250" s="526"/>
      <c r="AD250" s="526"/>
      <c r="AE250" s="526"/>
      <c r="AF250" s="527"/>
      <c r="AG250" s="468"/>
      <c r="AH250" s="526"/>
      <c r="AI250" s="62"/>
    </row>
    <row r="251" spans="1:35" s="1" customFormat="1" x14ac:dyDescent="0.3">
      <c r="A251" s="461">
        <v>921</v>
      </c>
      <c r="B251" s="461" t="s">
        <v>727</v>
      </c>
      <c r="C251" s="461" t="s">
        <v>835</v>
      </c>
      <c r="D251" s="529">
        <f t="shared" si="7"/>
        <v>66192416.159999996</v>
      </c>
      <c r="E251" s="468">
        <f>'7b. LX_AG-sf'!E$241</f>
        <v>43515962.003324836</v>
      </c>
      <c r="F251" s="630"/>
      <c r="G251" s="630"/>
      <c r="H251" s="630"/>
      <c r="I251" s="468">
        <f>'7b. LX_AG-sf'!I$241</f>
        <v>22676454.15667516</v>
      </c>
      <c r="J251" s="468">
        <f>'7b. LX_AG-sf'!J$241</f>
        <v>0</v>
      </c>
      <c r="K251" s="468"/>
      <c r="L251" s="526">
        <v>1</v>
      </c>
      <c r="M251" s="529">
        <f>SUM(N251:W251)</f>
        <v>51544435.908528537</v>
      </c>
      <c r="N251" s="468">
        <f>'7b. LX_AG-sf'!N$241</f>
        <v>16188678.588415425</v>
      </c>
      <c r="O251" s="468">
        <f>'7b. LX_AG-sf'!O$241</f>
        <v>14742342.935831249</v>
      </c>
      <c r="P251" s="468">
        <f>'7b. LX_AG-sf'!P$241</f>
        <v>4057801.875254239</v>
      </c>
      <c r="Q251" s="468">
        <f>'7b. LX_AG-sf'!Q$241</f>
        <v>794748.9146647033</v>
      </c>
      <c r="R251" s="468">
        <f>'7b. LX_AG-sf'!R$241</f>
        <v>10477592.271150392</v>
      </c>
      <c r="S251" s="468">
        <f>'7b. LX_AG-sf'!S$241</f>
        <v>2788537.9736045781</v>
      </c>
      <c r="T251" s="468">
        <f>'7b. LX_AG-sf'!T$241</f>
        <v>868778.21527854819</v>
      </c>
      <c r="U251" s="468">
        <f>'7b. LX_AG-sf'!U$241</f>
        <v>0</v>
      </c>
      <c r="V251" s="468">
        <f>'7b. LX_AG-sf'!V$241</f>
        <v>1463901.2818474146</v>
      </c>
      <c r="W251" s="468">
        <f>'7b. LX_AG-sf'!W$241</f>
        <v>162053.85248199227</v>
      </c>
      <c r="X251" s="527">
        <f>SUM(Y251:Z251)</f>
        <v>11382286.798041336</v>
      </c>
      <c r="Y251" s="468">
        <f>'7b. LX_AG-sf'!Y$241</f>
        <v>5533146.4714714596</v>
      </c>
      <c r="Z251" s="468">
        <f>'7b. LX_AG-sf'!Z$241</f>
        <v>5849140.3265698766</v>
      </c>
      <c r="AA251" s="526">
        <v>1</v>
      </c>
      <c r="AB251" s="527">
        <f>SUM(AC251:AE251)</f>
        <v>15526882.993573921</v>
      </c>
      <c r="AC251" s="468">
        <f>'7b. LX_AG-sf'!AC$241</f>
        <v>14089249.023636159</v>
      </c>
      <c r="AD251" s="468">
        <f>'7b. LX_AG-sf'!AD$241</f>
        <v>1437633.9699377615</v>
      </c>
      <c r="AE251" s="468">
        <f>'7b. LX_AG-sf'!AE$241</f>
        <v>0</v>
      </c>
      <c r="AF251" s="527">
        <f>SUM(AG251:AG251)</f>
        <v>2203529.67</v>
      </c>
      <c r="AG251" s="468">
        <f>'7b. LX_AG-sf'!AG$241</f>
        <v>2203529.67</v>
      </c>
      <c r="AH251" s="526"/>
      <c r="AI251" s="62"/>
    </row>
    <row r="252" spans="1:35" s="1" customFormat="1" x14ac:dyDescent="0.3">
      <c r="A252" s="461" t="s">
        <v>1210</v>
      </c>
      <c r="B252" s="461" t="s">
        <v>60</v>
      </c>
      <c r="C252" s="461" t="s">
        <v>186</v>
      </c>
      <c r="D252" s="521">
        <f t="shared" si="7"/>
        <v>1</v>
      </c>
      <c r="E252" s="541">
        <v>0.4</v>
      </c>
      <c r="F252" s="633"/>
      <c r="G252" s="629"/>
      <c r="H252" s="633"/>
      <c r="I252" s="535">
        <v>0.6</v>
      </c>
      <c r="J252" s="468"/>
      <c r="K252" s="468"/>
      <c r="L252" s="526"/>
      <c r="M252" s="529"/>
      <c r="N252" s="468"/>
      <c r="O252" s="468"/>
      <c r="P252" s="468"/>
      <c r="Q252" s="468"/>
      <c r="R252" s="468"/>
      <c r="S252" s="468"/>
      <c r="T252" s="468"/>
      <c r="U252" s="468"/>
      <c r="V252" s="468"/>
      <c r="W252" s="468"/>
      <c r="X252" s="527"/>
      <c r="Y252" s="468"/>
      <c r="Z252" s="468"/>
      <c r="AA252" s="526"/>
      <c r="AB252" s="526"/>
      <c r="AC252" s="526"/>
      <c r="AD252" s="526"/>
      <c r="AE252" s="526"/>
      <c r="AF252" s="527"/>
      <c r="AG252" s="468"/>
      <c r="AH252" s="526"/>
      <c r="AI252" s="62"/>
    </row>
    <row r="253" spans="1:35" s="1" customFormat="1" x14ac:dyDescent="0.3">
      <c r="A253" s="461">
        <v>922</v>
      </c>
      <c r="B253" s="461" t="s">
        <v>729</v>
      </c>
      <c r="C253" s="461" t="s">
        <v>835</v>
      </c>
      <c r="D253" s="529">
        <f t="shared" si="7"/>
        <v>66192416.159999996</v>
      </c>
      <c r="E253" s="468">
        <f>'7b. LX_AG-sf'!E$241</f>
        <v>43515962.003324836</v>
      </c>
      <c r="F253" s="630"/>
      <c r="G253" s="630"/>
      <c r="H253" s="630"/>
      <c r="I253" s="468">
        <f>'7b. LX_AG-sf'!I$241</f>
        <v>22676454.15667516</v>
      </c>
      <c r="J253" s="468">
        <f>'7b. LX_AG-sf'!J$241</f>
        <v>0</v>
      </c>
      <c r="K253" s="468"/>
      <c r="L253" s="526">
        <v>1</v>
      </c>
      <c r="M253" s="529">
        <f>SUM(N253:W253)</f>
        <v>51544435.908528537</v>
      </c>
      <c r="N253" s="468">
        <f>'7b. LX_AG-sf'!N$241</f>
        <v>16188678.588415425</v>
      </c>
      <c r="O253" s="468">
        <f>'7b. LX_AG-sf'!O$241</f>
        <v>14742342.935831249</v>
      </c>
      <c r="P253" s="468">
        <f>'7b. LX_AG-sf'!P$241</f>
        <v>4057801.875254239</v>
      </c>
      <c r="Q253" s="468">
        <f>'7b. LX_AG-sf'!Q$241</f>
        <v>794748.9146647033</v>
      </c>
      <c r="R253" s="468">
        <f>'7b. LX_AG-sf'!R$241</f>
        <v>10477592.271150392</v>
      </c>
      <c r="S253" s="468">
        <f>'7b. LX_AG-sf'!S$241</f>
        <v>2788537.9736045781</v>
      </c>
      <c r="T253" s="468">
        <f>'7b. LX_AG-sf'!T$241</f>
        <v>868778.21527854819</v>
      </c>
      <c r="U253" s="468">
        <f>'7b. LX_AG-sf'!U$241</f>
        <v>0</v>
      </c>
      <c r="V253" s="468">
        <f>'7b. LX_AG-sf'!V$241</f>
        <v>1463901.2818474146</v>
      </c>
      <c r="W253" s="468">
        <f>'7b. LX_AG-sf'!W$241</f>
        <v>162053.85248199227</v>
      </c>
      <c r="X253" s="527">
        <f>SUM(Y253:Z253)</f>
        <v>11382286.798041336</v>
      </c>
      <c r="Y253" s="468">
        <f>'7b. LX_AG-sf'!Y$241</f>
        <v>5533146.4714714596</v>
      </c>
      <c r="Z253" s="468">
        <f>'7b. LX_AG-sf'!Z$241</f>
        <v>5849140.3265698766</v>
      </c>
      <c r="AA253" s="526">
        <v>1</v>
      </c>
      <c r="AB253" s="527">
        <f>SUM(AC253:AE253)</f>
        <v>15526882.993573921</v>
      </c>
      <c r="AC253" s="468">
        <f>'7b. LX_AG-sf'!AC$241</f>
        <v>14089249.023636159</v>
      </c>
      <c r="AD253" s="468">
        <f>'7b. LX_AG-sf'!AD$241</f>
        <v>1437633.9699377615</v>
      </c>
      <c r="AE253" s="468">
        <f>'7b. LX_AG-sf'!AE$241</f>
        <v>0</v>
      </c>
      <c r="AF253" s="527">
        <f>SUM(AG253:AG253)</f>
        <v>2203529.67</v>
      </c>
      <c r="AG253" s="468">
        <f>'7b. LX_AG-sf'!AG$241</f>
        <v>2203529.67</v>
      </c>
      <c r="AH253" s="526"/>
      <c r="AI253" s="62"/>
    </row>
    <row r="254" spans="1:35" s="1" customFormat="1" x14ac:dyDescent="0.3">
      <c r="A254" s="461">
        <v>923</v>
      </c>
      <c r="B254" s="466" t="s">
        <v>731</v>
      </c>
      <c r="C254" s="461" t="s">
        <v>835</v>
      </c>
      <c r="D254" s="529">
        <f t="shared" si="7"/>
        <v>66192416.159999996</v>
      </c>
      <c r="E254" s="468">
        <f>'7b. LX_AG-sf'!E$241</f>
        <v>43515962.003324836</v>
      </c>
      <c r="F254" s="630"/>
      <c r="G254" s="630"/>
      <c r="H254" s="630"/>
      <c r="I254" s="468">
        <f>'7b. LX_AG-sf'!I$241</f>
        <v>22676454.15667516</v>
      </c>
      <c r="J254" s="468">
        <f>'7b. LX_AG-sf'!J$241</f>
        <v>0</v>
      </c>
      <c r="K254" s="468"/>
      <c r="L254" s="526">
        <v>1</v>
      </c>
      <c r="M254" s="529">
        <f>SUM(N254:W254)</f>
        <v>51544435.908528537</v>
      </c>
      <c r="N254" s="468">
        <f>'7b. LX_AG-sf'!N$241</f>
        <v>16188678.588415425</v>
      </c>
      <c r="O254" s="468">
        <f>'7b. LX_AG-sf'!O$241</f>
        <v>14742342.935831249</v>
      </c>
      <c r="P254" s="468">
        <f>'7b. LX_AG-sf'!P$241</f>
        <v>4057801.875254239</v>
      </c>
      <c r="Q254" s="468">
        <f>'7b. LX_AG-sf'!Q$241</f>
        <v>794748.9146647033</v>
      </c>
      <c r="R254" s="468">
        <f>'7b. LX_AG-sf'!R$241</f>
        <v>10477592.271150392</v>
      </c>
      <c r="S254" s="468">
        <f>'7b. LX_AG-sf'!S$241</f>
        <v>2788537.9736045781</v>
      </c>
      <c r="T254" s="468">
        <f>'7b. LX_AG-sf'!T$241</f>
        <v>868778.21527854819</v>
      </c>
      <c r="U254" s="468">
        <f>'7b. LX_AG-sf'!U$241</f>
        <v>0</v>
      </c>
      <c r="V254" s="468">
        <f>'7b. LX_AG-sf'!V$241</f>
        <v>1463901.2818474146</v>
      </c>
      <c r="W254" s="468">
        <f>'7b. LX_AG-sf'!W$241</f>
        <v>162053.85248199227</v>
      </c>
      <c r="X254" s="527">
        <f>SUM(Y254:Z254)</f>
        <v>11382286.798041336</v>
      </c>
      <c r="Y254" s="468">
        <f>'7b. LX_AG-sf'!Y$241</f>
        <v>5533146.4714714596</v>
      </c>
      <c r="Z254" s="468">
        <f>'7b. LX_AG-sf'!Z$241</f>
        <v>5849140.3265698766</v>
      </c>
      <c r="AA254" s="526">
        <v>1</v>
      </c>
      <c r="AB254" s="527">
        <f>SUM(AC254:AE254)</f>
        <v>15526882.993573921</v>
      </c>
      <c r="AC254" s="468">
        <f>'7b. LX_AG-sf'!AC$241</f>
        <v>14089249.023636159</v>
      </c>
      <c r="AD254" s="468">
        <f>'7b. LX_AG-sf'!AD$241</f>
        <v>1437633.9699377615</v>
      </c>
      <c r="AE254" s="468">
        <f>'7b. LX_AG-sf'!AE$241</f>
        <v>0</v>
      </c>
      <c r="AF254" s="527">
        <f>SUM(AG254:AG254)</f>
        <v>2203529.67</v>
      </c>
      <c r="AG254" s="468">
        <f>'7b. LX_AG-sf'!AG$241</f>
        <v>2203529.67</v>
      </c>
      <c r="AH254" s="526"/>
      <c r="AI254" s="62"/>
    </row>
    <row r="255" spans="1:35" s="1" customFormat="1" x14ac:dyDescent="0.3">
      <c r="A255" s="461" t="s">
        <v>1211</v>
      </c>
      <c r="B255" s="466" t="s">
        <v>62</v>
      </c>
      <c r="C255" s="461" t="s">
        <v>186</v>
      </c>
      <c r="D255" s="521">
        <f t="shared" si="7"/>
        <v>1</v>
      </c>
      <c r="E255" s="521">
        <v>0.4</v>
      </c>
      <c r="F255" s="629"/>
      <c r="G255" s="629"/>
      <c r="H255" s="629"/>
      <c r="I255" s="535">
        <v>0.6</v>
      </c>
      <c r="J255" s="468"/>
      <c r="K255" s="468"/>
      <c r="L255" s="526"/>
      <c r="M255" s="529"/>
      <c r="N255" s="468"/>
      <c r="O255" s="468"/>
      <c r="P255" s="468"/>
      <c r="Q255" s="468"/>
      <c r="R255" s="468"/>
      <c r="S255" s="468"/>
      <c r="T255" s="468"/>
      <c r="U255" s="468"/>
      <c r="V255" s="468"/>
      <c r="W255" s="468"/>
      <c r="X255" s="527"/>
      <c r="Y255" s="468"/>
      <c r="Z255" s="468"/>
      <c r="AA255" s="526"/>
      <c r="AB255" s="526"/>
      <c r="AC255" s="526"/>
      <c r="AD255" s="526"/>
      <c r="AE255" s="526"/>
      <c r="AF255" s="527"/>
      <c r="AG255" s="468"/>
      <c r="AH255" s="526"/>
      <c r="AI255" s="62"/>
    </row>
    <row r="256" spans="1:35" s="1" customFormat="1" x14ac:dyDescent="0.3">
      <c r="A256" s="461">
        <v>924</v>
      </c>
      <c r="B256" s="461" t="s">
        <v>1204</v>
      </c>
      <c r="C256" s="461" t="s">
        <v>835</v>
      </c>
      <c r="D256" s="669"/>
      <c r="E256" s="669"/>
      <c r="F256" s="669"/>
      <c r="G256" s="669"/>
      <c r="H256" s="669"/>
      <c r="I256" s="677"/>
      <c r="J256" s="677"/>
      <c r="K256" s="669"/>
      <c r="L256" s="669"/>
      <c r="M256" s="669"/>
      <c r="N256" s="669"/>
      <c r="O256" s="677"/>
      <c r="P256" s="677"/>
      <c r="Q256" s="677"/>
      <c r="R256" s="677"/>
      <c r="S256" s="677"/>
      <c r="T256" s="677"/>
      <c r="U256" s="677"/>
      <c r="V256" s="677"/>
      <c r="W256" s="677"/>
      <c r="X256" s="691"/>
      <c r="Y256" s="691"/>
      <c r="Z256" s="691"/>
      <c r="AA256" s="677"/>
      <c r="AB256" s="693"/>
      <c r="AC256" s="669"/>
      <c r="AD256" s="669"/>
      <c r="AE256" s="669"/>
      <c r="AF256" s="693"/>
      <c r="AG256" s="669"/>
      <c r="AH256" s="677"/>
      <c r="AI256" s="62"/>
    </row>
    <row r="257" spans="1:35" s="1" customFormat="1" x14ac:dyDescent="0.3">
      <c r="A257" s="461"/>
      <c r="B257" s="461" t="s">
        <v>1203</v>
      </c>
      <c r="C257" s="461" t="s">
        <v>184</v>
      </c>
      <c r="D257" s="669"/>
      <c r="E257" s="669"/>
      <c r="F257" s="669"/>
      <c r="G257" s="669"/>
      <c r="H257" s="669"/>
      <c r="I257" s="677"/>
      <c r="J257" s="677"/>
      <c r="K257" s="669"/>
      <c r="L257" s="669"/>
      <c r="M257" s="669"/>
      <c r="N257" s="669"/>
      <c r="O257" s="677"/>
      <c r="P257" s="677"/>
      <c r="Q257" s="677"/>
      <c r="R257" s="677"/>
      <c r="S257" s="677"/>
      <c r="T257" s="677"/>
      <c r="U257" s="677"/>
      <c r="V257" s="677"/>
      <c r="W257" s="677"/>
      <c r="X257" s="691"/>
      <c r="Y257" s="691"/>
      <c r="Z257" s="691"/>
      <c r="AA257" s="677"/>
      <c r="AB257" s="693"/>
      <c r="AC257" s="669"/>
      <c r="AD257" s="669"/>
      <c r="AE257" s="669"/>
      <c r="AF257" s="693"/>
      <c r="AG257" s="669"/>
      <c r="AH257" s="677"/>
      <c r="AI257" s="62"/>
    </row>
    <row r="258" spans="1:35" s="1" customFormat="1" x14ac:dyDescent="0.3">
      <c r="A258" s="461"/>
      <c r="B258" s="461" t="s">
        <v>735</v>
      </c>
      <c r="C258" s="461" t="s">
        <v>185</v>
      </c>
      <c r="D258" s="669"/>
      <c r="E258" s="669"/>
      <c r="F258" s="669"/>
      <c r="G258" s="669"/>
      <c r="H258" s="669"/>
      <c r="I258" s="677"/>
      <c r="J258" s="677"/>
      <c r="K258" s="669"/>
      <c r="L258" s="669"/>
      <c r="M258" s="669"/>
      <c r="N258" s="669"/>
      <c r="O258" s="677"/>
      <c r="P258" s="677"/>
      <c r="Q258" s="677"/>
      <c r="R258" s="677"/>
      <c r="S258" s="677"/>
      <c r="T258" s="677"/>
      <c r="U258" s="677"/>
      <c r="V258" s="677"/>
      <c r="W258" s="677"/>
      <c r="X258" s="691"/>
      <c r="Y258" s="691"/>
      <c r="Z258" s="691"/>
      <c r="AA258" s="677"/>
      <c r="AB258" s="693"/>
      <c r="AC258" s="669"/>
      <c r="AD258" s="669"/>
      <c r="AE258" s="669"/>
      <c r="AF258" s="693"/>
      <c r="AG258" s="669"/>
      <c r="AH258" s="677"/>
      <c r="AI258" s="62"/>
    </row>
    <row r="259" spans="1:35" s="1" customFormat="1" x14ac:dyDescent="0.3">
      <c r="A259" s="461"/>
      <c r="B259" s="461" t="s">
        <v>736</v>
      </c>
      <c r="C259" s="461" t="s">
        <v>182</v>
      </c>
      <c r="D259" s="669"/>
      <c r="E259" s="669"/>
      <c r="F259" s="669"/>
      <c r="G259" s="669"/>
      <c r="H259" s="669"/>
      <c r="I259" s="677"/>
      <c r="J259" s="677"/>
      <c r="K259" s="669"/>
      <c r="L259" s="669"/>
      <c r="M259" s="669"/>
      <c r="N259" s="669"/>
      <c r="O259" s="677"/>
      <c r="P259" s="677"/>
      <c r="Q259" s="677"/>
      <c r="R259" s="677"/>
      <c r="S259" s="677"/>
      <c r="T259" s="677"/>
      <c r="U259" s="677"/>
      <c r="V259" s="677"/>
      <c r="W259" s="677"/>
      <c r="X259" s="691"/>
      <c r="Y259" s="691"/>
      <c r="Z259" s="691"/>
      <c r="AA259" s="677"/>
      <c r="AB259" s="693"/>
      <c r="AC259" s="669"/>
      <c r="AD259" s="669"/>
      <c r="AE259" s="669"/>
      <c r="AF259" s="693"/>
      <c r="AG259" s="669"/>
      <c r="AH259" s="677"/>
      <c r="AI259" s="62"/>
    </row>
    <row r="260" spans="1:35" s="1" customFormat="1" x14ac:dyDescent="0.3">
      <c r="A260" s="461"/>
      <c r="B260" s="461" t="s">
        <v>155</v>
      </c>
      <c r="C260" s="461" t="s">
        <v>183</v>
      </c>
      <c r="D260" s="669"/>
      <c r="E260" s="669"/>
      <c r="F260" s="669"/>
      <c r="G260" s="669"/>
      <c r="H260" s="669"/>
      <c r="I260" s="677"/>
      <c r="J260" s="677"/>
      <c r="K260" s="669"/>
      <c r="L260" s="669"/>
      <c r="M260" s="669"/>
      <c r="N260" s="669"/>
      <c r="O260" s="677"/>
      <c r="P260" s="677"/>
      <c r="Q260" s="677"/>
      <c r="R260" s="677"/>
      <c r="S260" s="677"/>
      <c r="T260" s="677"/>
      <c r="U260" s="677"/>
      <c r="V260" s="677"/>
      <c r="W260" s="677"/>
      <c r="X260" s="691"/>
      <c r="Y260" s="691"/>
      <c r="Z260" s="691"/>
      <c r="AA260" s="677"/>
      <c r="AB260" s="693"/>
      <c r="AC260" s="669"/>
      <c r="AD260" s="669"/>
      <c r="AE260" s="669"/>
      <c r="AF260" s="693"/>
      <c r="AG260" s="669"/>
      <c r="AH260" s="677"/>
      <c r="AI260" s="62"/>
    </row>
    <row r="261" spans="1:35" x14ac:dyDescent="0.3">
      <c r="A261" s="461"/>
      <c r="B261" s="461" t="s">
        <v>737</v>
      </c>
      <c r="C261" s="461" t="s">
        <v>158</v>
      </c>
      <c r="D261" s="697"/>
      <c r="E261" s="698"/>
      <c r="F261" s="698"/>
      <c r="G261" s="698"/>
      <c r="H261" s="698"/>
      <c r="I261" s="698"/>
      <c r="J261" s="669"/>
      <c r="K261" s="669"/>
      <c r="L261" s="669"/>
      <c r="M261" s="669"/>
      <c r="N261" s="669"/>
      <c r="O261" s="677"/>
      <c r="P261" s="677"/>
      <c r="Q261" s="677"/>
      <c r="R261" s="677"/>
      <c r="S261" s="677"/>
      <c r="T261" s="677"/>
      <c r="U261" s="677"/>
      <c r="V261" s="677"/>
      <c r="W261" s="677"/>
      <c r="X261" s="691"/>
      <c r="Y261" s="691"/>
      <c r="Z261" s="691"/>
      <c r="AA261" s="677"/>
      <c r="AB261" s="693"/>
      <c r="AC261" s="669"/>
      <c r="AD261" s="669"/>
      <c r="AE261" s="669"/>
      <c r="AF261" s="693"/>
      <c r="AG261" s="669"/>
      <c r="AH261" s="677"/>
      <c r="AI261" s="62"/>
    </row>
    <row r="262" spans="1:35" x14ac:dyDescent="0.3">
      <c r="A262" s="461"/>
      <c r="B262" s="474" t="s">
        <v>738</v>
      </c>
      <c r="C262" s="474"/>
      <c r="D262" s="171"/>
      <c r="E262" s="171"/>
      <c r="F262" s="627"/>
      <c r="G262" s="627"/>
      <c r="H262" s="627"/>
      <c r="I262" s="171"/>
      <c r="J262" s="171"/>
      <c r="K262" s="171"/>
      <c r="L262" s="171"/>
      <c r="M262" s="171"/>
      <c r="N262" s="468"/>
      <c r="O262" s="62"/>
      <c r="P262" s="62"/>
      <c r="Q262" s="62"/>
      <c r="R262" s="62"/>
      <c r="S262" s="62"/>
      <c r="T262" s="62"/>
      <c r="U262" s="62"/>
      <c r="V262" s="62"/>
      <c r="W262" s="62"/>
      <c r="X262" s="526"/>
      <c r="Y262" s="526"/>
      <c r="Z262" s="526"/>
      <c r="AA262" s="62"/>
      <c r="AB262" s="62"/>
      <c r="AC262" s="62"/>
      <c r="AD262" s="62"/>
      <c r="AE262" s="62"/>
      <c r="AF262" s="62"/>
      <c r="AG262" s="62"/>
      <c r="AH262" s="62"/>
      <c r="AI262" s="62"/>
    </row>
    <row r="263" spans="1:35" x14ac:dyDescent="0.3">
      <c r="A263" s="461">
        <v>925</v>
      </c>
      <c r="B263" s="461" t="s">
        <v>740</v>
      </c>
      <c r="C263" s="461" t="s">
        <v>835</v>
      </c>
      <c r="D263" s="529">
        <f>+E263+I263+J263+K263</f>
        <v>66192416.159999996</v>
      </c>
      <c r="E263" s="468">
        <f>'7b. LX_AG-sf'!E$241</f>
        <v>43515962.003324836</v>
      </c>
      <c r="F263" s="630"/>
      <c r="G263" s="630"/>
      <c r="H263" s="630"/>
      <c r="I263" s="468">
        <f>'7b. LX_AG-sf'!I$241</f>
        <v>22676454.15667516</v>
      </c>
      <c r="J263" s="468"/>
      <c r="K263" s="468"/>
      <c r="L263" s="526">
        <v>1</v>
      </c>
      <c r="M263" s="529">
        <f>SUM(N263:W263)</f>
        <v>51544435.908528537</v>
      </c>
      <c r="N263" s="468">
        <f>'7b. LX_AG-sf'!N$241</f>
        <v>16188678.588415425</v>
      </c>
      <c r="O263" s="468">
        <f>'7b. LX_AG-sf'!O$241</f>
        <v>14742342.935831249</v>
      </c>
      <c r="P263" s="468">
        <f>'7b. LX_AG-sf'!P$241</f>
        <v>4057801.875254239</v>
      </c>
      <c r="Q263" s="468">
        <f>'7b. LX_AG-sf'!Q$241</f>
        <v>794748.9146647033</v>
      </c>
      <c r="R263" s="468">
        <f>'7b. LX_AG-sf'!R$241</f>
        <v>10477592.271150392</v>
      </c>
      <c r="S263" s="468">
        <f>'7b. LX_AG-sf'!S$241</f>
        <v>2788537.9736045781</v>
      </c>
      <c r="T263" s="468">
        <f>'7b. LX_AG-sf'!T$241</f>
        <v>868778.21527854819</v>
      </c>
      <c r="U263" s="468">
        <f>'7b. LX_AG-sf'!U$241</f>
        <v>0</v>
      </c>
      <c r="V263" s="468">
        <f>'7b. LX_AG-sf'!V$241</f>
        <v>1463901.2818474146</v>
      </c>
      <c r="W263" s="468">
        <f>'7b. LX_AG-sf'!W$241</f>
        <v>162053.85248199227</v>
      </c>
      <c r="X263" s="527">
        <f t="shared" ref="X263:X273" si="8">SUM(Y263:Z263)</f>
        <v>11382286.798041336</v>
      </c>
      <c r="Y263" s="468">
        <f>'7b. LX_AG-sf'!Y$241</f>
        <v>5533146.4714714596</v>
      </c>
      <c r="Z263" s="468">
        <f>'7b. LX_AG-sf'!Z$241</f>
        <v>5849140.3265698766</v>
      </c>
      <c r="AA263" s="526">
        <v>1</v>
      </c>
      <c r="AB263" s="527">
        <f>SUM(AC263:AE263)</f>
        <v>15526882.993573921</v>
      </c>
      <c r="AC263" s="468">
        <f>'7b. LX_AG-sf'!AC$241</f>
        <v>14089249.023636159</v>
      </c>
      <c r="AD263" s="468">
        <f>'7b. LX_AG-sf'!AD$241</f>
        <v>1437633.9699377615</v>
      </c>
      <c r="AE263" s="468">
        <f>'7b. LX_AG-sf'!AE$241</f>
        <v>0</v>
      </c>
      <c r="AF263" s="527">
        <f>SUM(AG263:AG263)</f>
        <v>2203529.67</v>
      </c>
      <c r="AG263" s="468">
        <f>'7b. LX_AG-sf'!AG$241</f>
        <v>2203529.67</v>
      </c>
      <c r="AH263" s="526"/>
      <c r="AI263" s="62"/>
    </row>
    <row r="264" spans="1:35" x14ac:dyDescent="0.3">
      <c r="A264" s="461" t="s">
        <v>1212</v>
      </c>
      <c r="B264" s="461" t="s">
        <v>64</v>
      </c>
      <c r="C264" s="461" t="s">
        <v>186</v>
      </c>
      <c r="D264" s="521">
        <f>+E264+I264+J264+K264</f>
        <v>1</v>
      </c>
      <c r="E264" s="521">
        <v>0.4</v>
      </c>
      <c r="F264" s="629"/>
      <c r="G264" s="629"/>
      <c r="H264" s="629"/>
      <c r="I264" s="521">
        <v>0.6</v>
      </c>
      <c r="J264" s="468"/>
      <c r="K264" s="468"/>
      <c r="L264" s="526"/>
      <c r="M264" s="529"/>
      <c r="N264" s="468"/>
      <c r="O264" s="468"/>
      <c r="P264" s="468"/>
      <c r="Q264" s="468"/>
      <c r="R264" s="468"/>
      <c r="S264" s="468"/>
      <c r="T264" s="468"/>
      <c r="U264" s="468"/>
      <c r="V264" s="468"/>
      <c r="W264" s="468"/>
      <c r="X264" s="527"/>
      <c r="Y264" s="468"/>
      <c r="Z264" s="468"/>
      <c r="AA264" s="526"/>
      <c r="AB264" s="526"/>
      <c r="AC264" s="526"/>
      <c r="AD264" s="526"/>
      <c r="AE264" s="526"/>
      <c r="AF264" s="527"/>
      <c r="AG264" s="468"/>
      <c r="AH264" s="526"/>
      <c r="AI264" s="62"/>
    </row>
    <row r="265" spans="1:35" x14ac:dyDescent="0.3">
      <c r="A265" s="461">
        <v>926</v>
      </c>
      <c r="B265" s="461" t="s">
        <v>742</v>
      </c>
      <c r="C265" s="461" t="s">
        <v>835</v>
      </c>
      <c r="D265" s="529">
        <f>+E265+I265+J265+K265</f>
        <v>66192416.159999996</v>
      </c>
      <c r="E265" s="468">
        <f>'7b. LX_AG-sf'!E$241</f>
        <v>43515962.003324836</v>
      </c>
      <c r="F265" s="630"/>
      <c r="G265" s="630"/>
      <c r="H265" s="630"/>
      <c r="I265" s="468">
        <f>'7b. LX_AG-sf'!I$241</f>
        <v>22676454.15667516</v>
      </c>
      <c r="J265" s="468"/>
      <c r="K265" s="468"/>
      <c r="L265" s="526">
        <v>1</v>
      </c>
      <c r="M265" s="529">
        <f>SUM(N265:W265)</f>
        <v>51544435.908528537</v>
      </c>
      <c r="N265" s="468">
        <f>'7b. LX_AG-sf'!N$241</f>
        <v>16188678.588415425</v>
      </c>
      <c r="O265" s="468">
        <f>'7b. LX_AG-sf'!O$241</f>
        <v>14742342.935831249</v>
      </c>
      <c r="P265" s="468">
        <f>'7b. LX_AG-sf'!P$241</f>
        <v>4057801.875254239</v>
      </c>
      <c r="Q265" s="468">
        <f>'7b. LX_AG-sf'!Q$241</f>
        <v>794748.9146647033</v>
      </c>
      <c r="R265" s="468">
        <f>'7b. LX_AG-sf'!R$241</f>
        <v>10477592.271150392</v>
      </c>
      <c r="S265" s="468">
        <f>'7b. LX_AG-sf'!S$241</f>
        <v>2788537.9736045781</v>
      </c>
      <c r="T265" s="468">
        <f>'7b. LX_AG-sf'!T$241</f>
        <v>868778.21527854819</v>
      </c>
      <c r="U265" s="468">
        <f>'7b. LX_AG-sf'!U$241</f>
        <v>0</v>
      </c>
      <c r="V265" s="468">
        <f>'7b. LX_AG-sf'!V$241</f>
        <v>1463901.2818474146</v>
      </c>
      <c r="W265" s="468">
        <f>'7b. LX_AG-sf'!W$241</f>
        <v>162053.85248199227</v>
      </c>
      <c r="X265" s="527">
        <f t="shared" si="8"/>
        <v>11382286.798041336</v>
      </c>
      <c r="Y265" s="468">
        <f>'7b. LX_AG-sf'!Y$241</f>
        <v>5533146.4714714596</v>
      </c>
      <c r="Z265" s="468">
        <f>'7b. LX_AG-sf'!Z$241</f>
        <v>5849140.3265698766</v>
      </c>
      <c r="AA265" s="526">
        <v>1</v>
      </c>
      <c r="AB265" s="468">
        <f>'7b. LX_AG-sf'!AB$241</f>
        <v>15526882.993573921</v>
      </c>
      <c r="AC265" s="468">
        <f>'7b. LX_AG-sf'!AC$241</f>
        <v>14089249.023636159</v>
      </c>
      <c r="AD265" s="468">
        <f>'7b. LX_AG-sf'!AD$241</f>
        <v>1437633.9699377615</v>
      </c>
      <c r="AE265" s="468">
        <f>'7b. LX_AG-sf'!AE$241</f>
        <v>0</v>
      </c>
      <c r="AF265" s="527">
        <f>SUM(AG265:AG265)</f>
        <v>2203529.67</v>
      </c>
      <c r="AG265" s="468">
        <f>'7b. LX_AG-sf'!AG$241</f>
        <v>2203529.67</v>
      </c>
      <c r="AH265" s="526"/>
      <c r="AI265" s="62"/>
    </row>
    <row r="266" spans="1:35" x14ac:dyDescent="0.3">
      <c r="A266" s="461" t="s">
        <v>1213</v>
      </c>
      <c r="B266" s="461" t="s">
        <v>66</v>
      </c>
      <c r="C266" s="461" t="s">
        <v>186</v>
      </c>
      <c r="D266" s="521">
        <f>+E266+I266+J266+K266</f>
        <v>1</v>
      </c>
      <c r="E266" s="521">
        <v>0.4</v>
      </c>
      <c r="F266" s="629"/>
      <c r="G266" s="629"/>
      <c r="H266" s="629"/>
      <c r="I266" s="521">
        <v>0.6</v>
      </c>
      <c r="J266" s="468"/>
      <c r="K266" s="468"/>
      <c r="L266" s="526"/>
      <c r="M266" s="529"/>
      <c r="N266" s="468"/>
      <c r="O266" s="468"/>
      <c r="P266" s="468"/>
      <c r="Q266" s="468"/>
      <c r="R266" s="468"/>
      <c r="S266" s="468"/>
      <c r="T266" s="468"/>
      <c r="U266" s="468"/>
      <c r="V266" s="468"/>
      <c r="W266" s="468"/>
      <c r="X266" s="527"/>
      <c r="Y266" s="468"/>
      <c r="Z266" s="468"/>
      <c r="AA266" s="526"/>
      <c r="AB266" s="526"/>
      <c r="AC266" s="526"/>
      <c r="AD266" s="526"/>
      <c r="AE266" s="526"/>
      <c r="AF266" s="527"/>
      <c r="AG266" s="468"/>
      <c r="AH266" s="526"/>
      <c r="AI266" s="62"/>
    </row>
    <row r="267" spans="1:35" x14ac:dyDescent="0.3">
      <c r="A267" s="461">
        <v>927</v>
      </c>
      <c r="B267" s="461" t="s">
        <v>744</v>
      </c>
      <c r="C267" s="461" t="s">
        <v>835</v>
      </c>
      <c r="D267" s="529">
        <f>+E267+I267+J267+K267</f>
        <v>66192416.159999996</v>
      </c>
      <c r="E267" s="468">
        <f>'7b. LX_AG-sf'!E$241</f>
        <v>43515962.003324836</v>
      </c>
      <c r="F267" s="630"/>
      <c r="G267" s="630"/>
      <c r="H267" s="630"/>
      <c r="I267" s="468">
        <f>'7b. LX_AG-sf'!I$241</f>
        <v>22676454.15667516</v>
      </c>
      <c r="J267" s="468"/>
      <c r="K267" s="468"/>
      <c r="L267" s="526">
        <v>1</v>
      </c>
      <c r="M267" s="529">
        <f>SUM(N267:W267)</f>
        <v>51544435.908528537</v>
      </c>
      <c r="N267" s="468">
        <f>'7b. LX_AG-sf'!N$241</f>
        <v>16188678.588415425</v>
      </c>
      <c r="O267" s="468">
        <f>'7b. LX_AG-sf'!O$241</f>
        <v>14742342.935831249</v>
      </c>
      <c r="P267" s="468">
        <f>'7b. LX_AG-sf'!P$241</f>
        <v>4057801.875254239</v>
      </c>
      <c r="Q267" s="468">
        <f>'7b. LX_AG-sf'!Q$241</f>
        <v>794748.9146647033</v>
      </c>
      <c r="R267" s="468">
        <f>'7b. LX_AG-sf'!R$241</f>
        <v>10477592.271150392</v>
      </c>
      <c r="S267" s="468">
        <f>'7b. LX_AG-sf'!S$241</f>
        <v>2788537.9736045781</v>
      </c>
      <c r="T267" s="468">
        <f>'7b. LX_AG-sf'!T$241</f>
        <v>868778.21527854819</v>
      </c>
      <c r="U267" s="468">
        <f>'7b. LX_AG-sf'!U$241</f>
        <v>0</v>
      </c>
      <c r="V267" s="468">
        <f>'7b. LX_AG-sf'!V$241</f>
        <v>1463901.2818474146</v>
      </c>
      <c r="W267" s="468">
        <f>'7b. LX_AG-sf'!W$241</f>
        <v>162053.85248199227</v>
      </c>
      <c r="X267" s="527">
        <f t="shared" si="8"/>
        <v>11382286.798041336</v>
      </c>
      <c r="Y267" s="468">
        <f>'7b. LX_AG-sf'!Y$241</f>
        <v>5533146.4714714596</v>
      </c>
      <c r="Z267" s="468">
        <f>'7b. LX_AG-sf'!Z$241</f>
        <v>5849140.3265698766</v>
      </c>
      <c r="AA267" s="526">
        <v>1</v>
      </c>
      <c r="AB267" s="468">
        <f>'7b. LX_AG-sf'!AB$241</f>
        <v>15526882.993573921</v>
      </c>
      <c r="AC267" s="468">
        <f>'7b. LX_AG-sf'!AC$241</f>
        <v>14089249.023636159</v>
      </c>
      <c r="AD267" s="468">
        <f>'7b. LX_AG-sf'!AD$241</f>
        <v>1437633.9699377615</v>
      </c>
      <c r="AE267" s="468">
        <f>'7b. LX_AG-sf'!AE$241</f>
        <v>0</v>
      </c>
      <c r="AF267" s="527">
        <f>SUM(AG267:AG267)</f>
        <v>2203529.67</v>
      </c>
      <c r="AG267" s="468">
        <f>'7b. LX_AG-sf'!AG$241</f>
        <v>2203529.67</v>
      </c>
      <c r="AH267" s="526"/>
      <c r="AI267" s="62"/>
    </row>
    <row r="268" spans="1:35" x14ac:dyDescent="0.3">
      <c r="A268" s="461">
        <v>928</v>
      </c>
      <c r="B268" s="466" t="s">
        <v>746</v>
      </c>
      <c r="C268" s="466"/>
      <c r="D268" s="468"/>
      <c r="E268" s="468"/>
      <c r="F268" s="630"/>
      <c r="G268" s="630"/>
      <c r="H268" s="630"/>
      <c r="I268" s="468"/>
      <c r="J268" s="468"/>
      <c r="K268" s="468"/>
      <c r="L268" s="526"/>
      <c r="M268" s="529"/>
      <c r="N268" s="468"/>
      <c r="O268" s="468"/>
      <c r="P268" s="468"/>
      <c r="Q268" s="468"/>
      <c r="R268" s="468"/>
      <c r="S268" s="468"/>
      <c r="T268" s="468"/>
      <c r="U268" s="468"/>
      <c r="V268" s="468"/>
      <c r="W268" s="468"/>
      <c r="X268" s="527">
        <f t="shared" si="8"/>
        <v>11382286.798041336</v>
      </c>
      <c r="Y268" s="468">
        <f>'7b. LX_AG-sf'!Y$241</f>
        <v>5533146.4714714596</v>
      </c>
      <c r="Z268" s="468">
        <f>'7b. LX_AG-sf'!Z$241</f>
        <v>5849140.3265698766</v>
      </c>
      <c r="AA268" s="526"/>
      <c r="AB268" s="468">
        <f>'7b. LX_AG-sf'!AB$241</f>
        <v>15526882.993573921</v>
      </c>
      <c r="AC268" s="468">
        <f>'7b. LX_AG-sf'!AC$241</f>
        <v>14089249.023636159</v>
      </c>
      <c r="AD268" s="468">
        <f>'7b. LX_AG-sf'!AD$241</f>
        <v>1437633.9699377615</v>
      </c>
      <c r="AE268" s="468">
        <f>'7b. LX_AG-sf'!AE$241</f>
        <v>0</v>
      </c>
      <c r="AF268" s="527">
        <f>SUM(AG268:AG268)</f>
        <v>2203529.67</v>
      </c>
      <c r="AG268" s="468">
        <f>'7b. LX_AG-sf'!AG$241</f>
        <v>2203529.67</v>
      </c>
      <c r="AH268" s="526"/>
      <c r="AI268" s="62"/>
    </row>
    <row r="269" spans="1:35" x14ac:dyDescent="0.3">
      <c r="A269" s="461">
        <v>929</v>
      </c>
      <c r="B269" s="484" t="s">
        <v>748</v>
      </c>
      <c r="C269" s="461" t="s">
        <v>835</v>
      </c>
      <c r="D269" s="529">
        <f t="shared" ref="D269:D270" si="9">+E269+I269+J269+K269</f>
        <v>66192416.159999996</v>
      </c>
      <c r="E269" s="468">
        <f>'7b. LX_AG-sf'!E$241</f>
        <v>43515962.003324836</v>
      </c>
      <c r="F269" s="630"/>
      <c r="G269" s="630"/>
      <c r="H269" s="630"/>
      <c r="I269" s="468">
        <f>'7b. LX_AG-sf'!I$241</f>
        <v>22676454.15667516</v>
      </c>
      <c r="J269" s="468"/>
      <c r="K269" s="468"/>
      <c r="L269" s="526">
        <v>1</v>
      </c>
      <c r="M269" s="529">
        <f>SUM(N269:W269)</f>
        <v>51544435.908528537</v>
      </c>
      <c r="N269" s="468">
        <f>'7b. LX_AG-sf'!N$241</f>
        <v>16188678.588415425</v>
      </c>
      <c r="O269" s="468">
        <f>'7b. LX_AG-sf'!O$241</f>
        <v>14742342.935831249</v>
      </c>
      <c r="P269" s="468">
        <f>'7b. LX_AG-sf'!P$241</f>
        <v>4057801.875254239</v>
      </c>
      <c r="Q269" s="468">
        <f>'7b. LX_AG-sf'!Q$241</f>
        <v>794748.9146647033</v>
      </c>
      <c r="R269" s="468">
        <f>'7b. LX_AG-sf'!R$241</f>
        <v>10477592.271150392</v>
      </c>
      <c r="S269" s="468">
        <f>'7b. LX_AG-sf'!S$241</f>
        <v>2788537.9736045781</v>
      </c>
      <c r="T269" s="468">
        <f>'7b. LX_AG-sf'!T$241</f>
        <v>868778.21527854819</v>
      </c>
      <c r="U269" s="468">
        <f>'7b. LX_AG-sf'!U$241</f>
        <v>0</v>
      </c>
      <c r="V269" s="468">
        <f>'7b. LX_AG-sf'!V$241</f>
        <v>1463901.2818474146</v>
      </c>
      <c r="W269" s="468">
        <f>'7b. LX_AG-sf'!W$241</f>
        <v>162053.85248199227</v>
      </c>
      <c r="X269" s="527">
        <f>SUM(Y269:Z269)</f>
        <v>11382286.798041336</v>
      </c>
      <c r="Y269" s="468">
        <f>'7b. LX_AG-sf'!Y$241</f>
        <v>5533146.4714714596</v>
      </c>
      <c r="Z269" s="468">
        <f>'7b. LX_AG-sf'!Z$241</f>
        <v>5849140.3265698766</v>
      </c>
      <c r="AA269" s="526">
        <v>1</v>
      </c>
      <c r="AB269" s="468">
        <f>'7b. LX_AG-sf'!AB$241</f>
        <v>15526882.993573921</v>
      </c>
      <c r="AC269" s="468">
        <f>'7b. LX_AG-sf'!AC$241</f>
        <v>14089249.023636159</v>
      </c>
      <c r="AD269" s="468">
        <f>'7b. LX_AG-sf'!AD$241</f>
        <v>1437633.9699377615</v>
      </c>
      <c r="AE269" s="468">
        <f>'7b. LX_AG-sf'!AE$241</f>
        <v>0</v>
      </c>
      <c r="AF269" s="527">
        <f>SUM(AG269:AG269)</f>
        <v>2203529.67</v>
      </c>
      <c r="AG269" s="468">
        <f>'7b. LX_AG-sf'!AG$241</f>
        <v>2203529.67</v>
      </c>
      <c r="AH269" s="526"/>
      <c r="AI269" s="62"/>
    </row>
    <row r="270" spans="1:35" x14ac:dyDescent="0.3">
      <c r="A270" s="466">
        <v>930</v>
      </c>
      <c r="B270" s="461" t="s">
        <v>750</v>
      </c>
      <c r="C270" s="461" t="s">
        <v>835</v>
      </c>
      <c r="D270" s="529">
        <f t="shared" si="9"/>
        <v>66192416.159999996</v>
      </c>
      <c r="E270" s="468">
        <f>'7b. LX_AG-sf'!E$241</f>
        <v>43515962.003324836</v>
      </c>
      <c r="F270" s="630"/>
      <c r="G270" s="630"/>
      <c r="H270" s="630"/>
      <c r="I270" s="468">
        <f>'7b. LX_AG-sf'!I$241</f>
        <v>22676454.15667516</v>
      </c>
      <c r="J270" s="468"/>
      <c r="K270" s="468"/>
      <c r="L270" s="526">
        <v>1</v>
      </c>
      <c r="M270" s="529">
        <f>SUM(N270:W270)</f>
        <v>51544435.908528537</v>
      </c>
      <c r="N270" s="468">
        <f>'7b. LX_AG-sf'!N$241</f>
        <v>16188678.588415425</v>
      </c>
      <c r="O270" s="468">
        <f>'7b. LX_AG-sf'!O$241</f>
        <v>14742342.935831249</v>
      </c>
      <c r="P270" s="468">
        <f>'7b. LX_AG-sf'!P$241</f>
        <v>4057801.875254239</v>
      </c>
      <c r="Q270" s="468">
        <f>'7b. LX_AG-sf'!Q$241</f>
        <v>794748.9146647033</v>
      </c>
      <c r="R270" s="468">
        <f>'7b. LX_AG-sf'!R$241</f>
        <v>10477592.271150392</v>
      </c>
      <c r="S270" s="468">
        <f>'7b. LX_AG-sf'!S$241</f>
        <v>2788537.9736045781</v>
      </c>
      <c r="T270" s="468">
        <f>'7b. LX_AG-sf'!T$241</f>
        <v>868778.21527854819</v>
      </c>
      <c r="U270" s="468">
        <f>'7b. LX_AG-sf'!U$241</f>
        <v>0</v>
      </c>
      <c r="V270" s="468">
        <f>'7b. LX_AG-sf'!V$241</f>
        <v>1463901.2818474146</v>
      </c>
      <c r="W270" s="468">
        <f>'7b. LX_AG-sf'!W$241</f>
        <v>162053.85248199227</v>
      </c>
      <c r="X270" s="527">
        <f t="shared" si="8"/>
        <v>11382286.798041336</v>
      </c>
      <c r="Y270" s="468">
        <f>'7b. LX_AG-sf'!Y$241</f>
        <v>5533146.4714714596</v>
      </c>
      <c r="Z270" s="468">
        <f>'7b. LX_AG-sf'!Z$241</f>
        <v>5849140.3265698766</v>
      </c>
      <c r="AA270" s="526">
        <v>1</v>
      </c>
      <c r="AB270" s="468">
        <f>'7b. LX_AG-sf'!AB$241</f>
        <v>15526882.993573921</v>
      </c>
      <c r="AC270" s="468">
        <f>'7b. LX_AG-sf'!AC$241</f>
        <v>14089249.023636159</v>
      </c>
      <c r="AD270" s="468">
        <f>'7b. LX_AG-sf'!AD$241</f>
        <v>1437633.9699377615</v>
      </c>
      <c r="AE270" s="468">
        <f>'7b. LX_AG-sf'!AE$241</f>
        <v>0</v>
      </c>
      <c r="AF270" s="527">
        <f>SUM(AG270:AG270)</f>
        <v>2203529.67</v>
      </c>
      <c r="AG270" s="468">
        <f>'7b. LX_AG-sf'!AG$241</f>
        <v>2203529.67</v>
      </c>
      <c r="AH270" s="526"/>
      <c r="AI270" s="62"/>
    </row>
    <row r="271" spans="1:35" x14ac:dyDescent="0.3">
      <c r="A271" s="484" t="s">
        <v>1214</v>
      </c>
      <c r="B271" s="461" t="s">
        <v>68</v>
      </c>
      <c r="C271" s="461" t="s">
        <v>186</v>
      </c>
      <c r="D271" s="521">
        <f>+E271+I271+J271+K271</f>
        <v>1</v>
      </c>
      <c r="E271" s="521">
        <v>0.4</v>
      </c>
      <c r="F271" s="629"/>
      <c r="G271" s="629"/>
      <c r="H271" s="629"/>
      <c r="I271" s="521">
        <v>0.6</v>
      </c>
      <c r="J271" s="468"/>
      <c r="K271" s="468"/>
      <c r="L271" s="526"/>
      <c r="M271" s="529"/>
      <c r="N271" s="468"/>
      <c r="O271" s="468"/>
      <c r="P271" s="468"/>
      <c r="Q271" s="468"/>
      <c r="R271" s="468"/>
      <c r="S271" s="468"/>
      <c r="T271" s="468"/>
      <c r="U271" s="468"/>
      <c r="V271" s="468"/>
      <c r="W271" s="468"/>
      <c r="X271" s="527"/>
      <c r="Y271" s="468"/>
      <c r="Z271" s="468"/>
      <c r="AA271" s="526"/>
      <c r="AB271" s="526"/>
      <c r="AC271" s="526"/>
      <c r="AD271" s="526"/>
      <c r="AE271" s="526"/>
      <c r="AF271" s="527"/>
      <c r="AG271" s="468"/>
      <c r="AH271" s="526"/>
      <c r="AI271" s="62"/>
    </row>
    <row r="272" spans="1:35" x14ac:dyDescent="0.3">
      <c r="A272" s="461">
        <v>931</v>
      </c>
      <c r="B272" s="461" t="s">
        <v>564</v>
      </c>
      <c r="C272" s="461" t="s">
        <v>835</v>
      </c>
      <c r="D272" s="529">
        <f t="shared" ref="D272:D273" si="10">+E272+I272+J272+K272</f>
        <v>66192416.159999996</v>
      </c>
      <c r="E272" s="468">
        <f>'7b. LX_AG-sf'!E$241</f>
        <v>43515962.003324836</v>
      </c>
      <c r="F272" s="630"/>
      <c r="G272" s="630"/>
      <c r="H272" s="630"/>
      <c r="I272" s="468">
        <f>'7b. LX_AG-sf'!I$241</f>
        <v>22676454.15667516</v>
      </c>
      <c r="J272" s="468"/>
      <c r="K272" s="468"/>
      <c r="L272" s="526">
        <v>1</v>
      </c>
      <c r="M272" s="529">
        <f>SUM(N272:W272)</f>
        <v>51544435.908528537</v>
      </c>
      <c r="N272" s="468">
        <f>'7b. LX_AG-sf'!N$241</f>
        <v>16188678.588415425</v>
      </c>
      <c r="O272" s="468">
        <f>'7b. LX_AG-sf'!O$241</f>
        <v>14742342.935831249</v>
      </c>
      <c r="P272" s="468">
        <f>'7b. LX_AG-sf'!P$241</f>
        <v>4057801.875254239</v>
      </c>
      <c r="Q272" s="468">
        <f>'7b. LX_AG-sf'!Q$241</f>
        <v>794748.9146647033</v>
      </c>
      <c r="R272" s="468">
        <f>'7b. LX_AG-sf'!R$241</f>
        <v>10477592.271150392</v>
      </c>
      <c r="S272" s="468">
        <f>'7b. LX_AG-sf'!S$241</f>
        <v>2788537.9736045781</v>
      </c>
      <c r="T272" s="468">
        <f>'7b. LX_AG-sf'!T$241</f>
        <v>868778.21527854819</v>
      </c>
      <c r="U272" s="468">
        <f>'7b. LX_AG-sf'!U$241</f>
        <v>0</v>
      </c>
      <c r="V272" s="468">
        <f>'7b. LX_AG-sf'!V$241</f>
        <v>1463901.2818474146</v>
      </c>
      <c r="W272" s="468">
        <f>'7b. LX_AG-sf'!W$241</f>
        <v>162053.85248199227</v>
      </c>
      <c r="X272" s="527">
        <f t="shared" si="8"/>
        <v>11382286.798041336</v>
      </c>
      <c r="Y272" s="468">
        <f>'7b. LX_AG-sf'!Y$241</f>
        <v>5533146.4714714596</v>
      </c>
      <c r="Z272" s="468">
        <f>'7b. LX_AG-sf'!Z$241</f>
        <v>5849140.3265698766</v>
      </c>
      <c r="AA272" s="526">
        <v>1</v>
      </c>
      <c r="AB272" s="468">
        <f>'7b. LX_AG-sf'!AB$241</f>
        <v>15526882.993573921</v>
      </c>
      <c r="AC272" s="468">
        <f>'7b. LX_AG-sf'!AC$241</f>
        <v>14089249.023636159</v>
      </c>
      <c r="AD272" s="468">
        <f>'7b. LX_AG-sf'!AD$241</f>
        <v>1437633.9699377615</v>
      </c>
      <c r="AE272" s="468">
        <f>'7b. LX_AG-sf'!AE$241</f>
        <v>0</v>
      </c>
      <c r="AF272" s="527">
        <f>SUM(AG272:AG272)</f>
        <v>2203529.67</v>
      </c>
      <c r="AG272" s="468">
        <f>'7b. LX_AG-sf'!AG$241</f>
        <v>2203529.67</v>
      </c>
      <c r="AH272" s="526"/>
      <c r="AI272" s="62"/>
    </row>
    <row r="273" spans="1:35" x14ac:dyDescent="0.3">
      <c r="A273" s="461">
        <v>932</v>
      </c>
      <c r="B273" s="461" t="s">
        <v>753</v>
      </c>
      <c r="C273" s="461" t="s">
        <v>181</v>
      </c>
      <c r="D273" s="529">
        <f t="shared" si="10"/>
        <v>251765004.97653562</v>
      </c>
      <c r="E273" s="542">
        <f>+'2b. RB-sf'!E132</f>
        <v>172693611.58863872</v>
      </c>
      <c r="F273" s="630"/>
      <c r="G273" s="630"/>
      <c r="H273" s="630"/>
      <c r="I273" s="542">
        <f>+'2b. RB-sf'!I132</f>
        <v>79071393.387896895</v>
      </c>
      <c r="J273" s="468"/>
      <c r="K273" s="468"/>
      <c r="L273" s="526">
        <v>1</v>
      </c>
      <c r="M273" s="529">
        <f>SUM(N273:W273)</f>
        <v>129622121.84600744</v>
      </c>
      <c r="N273" s="468">
        <f>+'2b. RB-sf'!N132</f>
        <v>36551114.414431736</v>
      </c>
      <c r="O273" s="468">
        <f>+'2b. RB-sf'!O132</f>
        <v>37001780.178190954</v>
      </c>
      <c r="P273" s="468">
        <f>+'2b. RB-sf'!P132</f>
        <v>10120962.2551952</v>
      </c>
      <c r="Q273" s="468">
        <f>+'2b. RB-sf'!Q132</f>
        <v>3841584.7989588315</v>
      </c>
      <c r="R273" s="468">
        <f>+'2b. RB-sf'!R132</f>
        <v>25035788.721610256</v>
      </c>
      <c r="S273" s="468">
        <f>+'2b. RB-sf'!S132</f>
        <v>6578531.0798142049</v>
      </c>
      <c r="T273" s="468">
        <f>+'2b. RB-sf'!T132</f>
        <v>4199420.878591205</v>
      </c>
      <c r="U273" s="468">
        <f>+'2b. RB-sf'!U132</f>
        <v>1674343.3708938316</v>
      </c>
      <c r="V273" s="468">
        <f>+'2b. RB-sf'!V132</f>
        <v>4297138.3049375787</v>
      </c>
      <c r="W273" s="468">
        <f>+'2b. RB-sf'!W132</f>
        <v>321457.84338360757</v>
      </c>
      <c r="X273" s="527">
        <f t="shared" si="8"/>
        <v>28623771.707195975</v>
      </c>
      <c r="Y273" s="468">
        <f>+'2b. RB-sf'!Y132</f>
        <v>17021134.644086476</v>
      </c>
      <c r="Z273" s="468">
        <f>+'2b. RB-sf'!Z132</f>
        <v>11602637.063109498</v>
      </c>
      <c r="AA273" s="526">
        <v>1</v>
      </c>
      <c r="AB273" s="468">
        <f>SUM(AC273:AE273)</f>
        <v>39046455.428348757</v>
      </c>
      <c r="AC273" s="468">
        <f>+'2b. RB-sf'!AC132</f>
        <v>35431144.438197859</v>
      </c>
      <c r="AD273" s="468">
        <f>+'2b. RB-sf'!AD132</f>
        <v>3615310.9901508992</v>
      </c>
      <c r="AE273" s="468">
        <f>+'2b. RB-sf'!AE132</f>
        <v>0</v>
      </c>
      <c r="AF273" s="527">
        <f>SUM(AG273:AG273)</f>
        <v>5541358.3705311799</v>
      </c>
      <c r="AG273" s="468">
        <f>+'2b. RB-sf'!AG132</f>
        <v>5541358.3705311799</v>
      </c>
      <c r="AH273" s="526"/>
      <c r="AI273" s="62"/>
    </row>
    <row r="274" spans="1:35" x14ac:dyDescent="0.3">
      <c r="A274" s="461" t="s">
        <v>1215</v>
      </c>
      <c r="B274" s="461" t="s">
        <v>70</v>
      </c>
      <c r="C274" s="461" t="s">
        <v>186</v>
      </c>
      <c r="D274" s="521">
        <f>+E274+I274+J274+K274</f>
        <v>1</v>
      </c>
      <c r="E274" s="521">
        <v>0.4</v>
      </c>
      <c r="F274" s="629"/>
      <c r="G274" s="629"/>
      <c r="H274" s="629"/>
      <c r="I274" s="521">
        <v>0.6</v>
      </c>
      <c r="J274" s="468"/>
      <c r="K274" s="468"/>
      <c r="L274" s="526"/>
      <c r="M274" s="529"/>
      <c r="N274" s="468"/>
      <c r="O274" s="468"/>
      <c r="P274" s="468"/>
      <c r="Q274" s="468"/>
      <c r="R274" s="468"/>
      <c r="S274" s="468"/>
      <c r="T274" s="468"/>
      <c r="U274" s="468"/>
      <c r="V274" s="468"/>
      <c r="W274" s="468"/>
      <c r="X274" s="527"/>
      <c r="Y274" s="468"/>
      <c r="Z274" s="468"/>
      <c r="AA274" s="526"/>
      <c r="AB274" s="526"/>
      <c r="AC274" s="526"/>
      <c r="AD274" s="526"/>
      <c r="AE274" s="526"/>
      <c r="AF274" s="527"/>
      <c r="AG274" s="468"/>
      <c r="AH274" s="526"/>
      <c r="AI274" s="62"/>
    </row>
    <row r="275" spans="1:35" x14ac:dyDescent="0.3">
      <c r="A275" s="461"/>
      <c r="B275" s="487" t="s">
        <v>754</v>
      </c>
      <c r="C275" s="484" t="s">
        <v>546</v>
      </c>
      <c r="D275" s="541" t="s">
        <v>546</v>
      </c>
      <c r="E275" s="543" t="s">
        <v>546</v>
      </c>
      <c r="F275" s="636"/>
      <c r="G275" s="636"/>
      <c r="H275" s="636"/>
      <c r="I275" s="543" t="s">
        <v>546</v>
      </c>
      <c r="J275" s="171"/>
      <c r="K275" s="171"/>
      <c r="L275" s="171"/>
      <c r="M275" s="171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</row>
    <row r="276" spans="1:35" x14ac:dyDescent="0.3">
      <c r="A276" s="462"/>
      <c r="B276" s="461"/>
      <c r="C276" s="461"/>
      <c r="D276" s="171"/>
      <c r="E276" s="171"/>
      <c r="F276" s="627"/>
      <c r="G276" s="627"/>
      <c r="H276" s="627"/>
      <c r="I276" s="171"/>
      <c r="J276" s="171"/>
      <c r="K276" s="171"/>
      <c r="L276" s="171"/>
      <c r="M276" s="171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</row>
    <row r="277" spans="1:35" x14ac:dyDescent="0.3">
      <c r="A277" s="460" t="s">
        <v>755</v>
      </c>
      <c r="B277" s="461"/>
      <c r="C277" s="461"/>
      <c r="D277" s="171"/>
      <c r="E277" s="171"/>
      <c r="F277" s="627"/>
      <c r="G277" s="627"/>
      <c r="H277" s="627"/>
      <c r="I277" s="171"/>
      <c r="J277" s="171"/>
      <c r="K277" s="171"/>
      <c r="L277" s="171"/>
      <c r="M277" s="171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</row>
    <row r="278" spans="1:35" x14ac:dyDescent="0.3">
      <c r="A278" s="462"/>
      <c r="B278" s="461"/>
      <c r="C278" s="461"/>
      <c r="D278" s="171"/>
      <c r="E278" s="171"/>
      <c r="F278" s="627"/>
      <c r="G278" s="627"/>
      <c r="H278" s="627"/>
      <c r="I278" s="171"/>
      <c r="J278" s="171"/>
      <c r="K278" s="171"/>
      <c r="L278" s="171"/>
      <c r="M278" s="171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</row>
    <row r="279" spans="1:35" x14ac:dyDescent="0.3">
      <c r="A279" s="463" t="s">
        <v>756</v>
      </c>
      <c r="B279" s="62"/>
      <c r="C279" s="62"/>
      <c r="D279" s="171"/>
      <c r="E279" s="171"/>
      <c r="F279" s="627"/>
      <c r="G279" s="627"/>
      <c r="H279" s="627"/>
      <c r="I279" s="171"/>
      <c r="J279" s="171"/>
      <c r="K279" s="171"/>
      <c r="L279" s="171"/>
      <c r="M279" s="171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</row>
    <row r="280" spans="1:35" x14ac:dyDescent="0.3">
      <c r="A280" s="62"/>
      <c r="B280" s="62"/>
      <c r="C280" s="62"/>
      <c r="D280" s="171"/>
      <c r="E280" s="171"/>
      <c r="F280" s="171"/>
      <c r="G280" s="171"/>
      <c r="H280" s="171"/>
      <c r="I280" s="171"/>
      <c r="J280" s="171"/>
      <c r="K280" s="171"/>
      <c r="L280" s="171"/>
      <c r="M280" s="171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</row>
    <row r="281" spans="1:35" x14ac:dyDescent="0.3">
      <c r="A281" s="62"/>
      <c r="B281" s="62"/>
      <c r="C281" s="62"/>
      <c r="D281" s="171"/>
      <c r="E281" s="171"/>
      <c r="F281" s="171"/>
      <c r="G281" s="171"/>
      <c r="H281" s="171"/>
      <c r="I281" s="171"/>
      <c r="J281" s="171"/>
      <c r="K281" s="171"/>
      <c r="L281" s="171"/>
      <c r="M281" s="171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</row>
    <row r="282" spans="1:35" x14ac:dyDescent="0.3">
      <c r="A282" s="62"/>
      <c r="B282" s="62"/>
      <c r="C282" s="62"/>
      <c r="D282" s="171"/>
      <c r="E282" s="171"/>
      <c r="F282" s="171"/>
      <c r="G282" s="171"/>
      <c r="H282" s="171"/>
      <c r="I282" s="171"/>
      <c r="J282" s="171"/>
      <c r="K282" s="171"/>
      <c r="L282" s="171"/>
      <c r="M282" s="171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</row>
    <row r="283" spans="1:35" x14ac:dyDescent="0.3">
      <c r="A283" s="62"/>
      <c r="B283" s="62"/>
      <c r="C283" s="62"/>
      <c r="D283" s="171"/>
      <c r="E283" s="171"/>
      <c r="F283" s="171"/>
      <c r="G283" s="171"/>
      <c r="H283" s="171"/>
      <c r="I283" s="171"/>
      <c r="J283" s="171"/>
      <c r="K283" s="171"/>
      <c r="L283" s="171"/>
      <c r="M283" s="171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</row>
    <row r="284" spans="1:35" x14ac:dyDescent="0.3">
      <c r="A284" s="62"/>
      <c r="B284" s="62"/>
      <c r="C284" s="62"/>
      <c r="D284" s="171"/>
      <c r="E284" s="171"/>
      <c r="F284" s="171"/>
      <c r="G284" s="171"/>
      <c r="H284" s="171"/>
      <c r="I284" s="171"/>
      <c r="J284" s="171"/>
      <c r="K284" s="171"/>
      <c r="L284" s="171"/>
      <c r="M284" s="171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</row>
    <row r="285" spans="1:35" x14ac:dyDescent="0.3">
      <c r="A285" s="62"/>
      <c r="B285" s="62"/>
      <c r="C285" s="62"/>
      <c r="D285" s="171"/>
      <c r="E285" s="171"/>
      <c r="F285" s="171"/>
      <c r="G285" s="171"/>
      <c r="H285" s="171"/>
      <c r="I285" s="171"/>
      <c r="J285" s="171"/>
      <c r="K285" s="171"/>
      <c r="L285" s="171"/>
      <c r="M285" s="171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</row>
    <row r="286" spans="1:35" x14ac:dyDescent="0.3">
      <c r="A286" s="62"/>
      <c r="B286" s="62"/>
      <c r="C286" s="62"/>
      <c r="D286" s="171"/>
      <c r="E286" s="171"/>
      <c r="F286" s="171"/>
      <c r="G286" s="171"/>
      <c r="H286" s="171"/>
      <c r="I286" s="171"/>
      <c r="J286" s="171"/>
      <c r="K286" s="171"/>
      <c r="L286" s="171"/>
      <c r="M286" s="171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</row>
    <row r="287" spans="1:35" x14ac:dyDescent="0.3">
      <c r="A287" s="62"/>
      <c r="B287" s="62"/>
      <c r="C287" s="62"/>
      <c r="D287" s="171"/>
      <c r="E287" s="171"/>
      <c r="F287" s="171"/>
      <c r="G287" s="171"/>
      <c r="H287" s="171"/>
      <c r="I287" s="171"/>
      <c r="J287" s="171"/>
      <c r="K287" s="171"/>
      <c r="L287" s="171"/>
      <c r="M287" s="171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</row>
    <row r="288" spans="1:35" x14ac:dyDescent="0.3">
      <c r="A288" s="62"/>
      <c r="B288" s="62"/>
      <c r="C288" s="62"/>
      <c r="D288" s="171"/>
      <c r="E288" s="171"/>
      <c r="F288" s="171"/>
      <c r="G288" s="171"/>
      <c r="H288" s="171"/>
      <c r="I288" s="171"/>
      <c r="J288" s="171"/>
      <c r="K288" s="171"/>
      <c r="L288" s="171"/>
      <c r="M288" s="171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</row>
    <row r="289" spans="1:35" x14ac:dyDescent="0.3">
      <c r="A289" s="62"/>
      <c r="B289" s="62"/>
      <c r="C289" s="62"/>
      <c r="D289" s="171"/>
      <c r="E289" s="171"/>
      <c r="F289" s="171"/>
      <c r="G289" s="171"/>
      <c r="H289" s="171"/>
      <c r="I289" s="171"/>
      <c r="J289" s="171"/>
      <c r="K289" s="171"/>
      <c r="L289" s="171"/>
      <c r="M289" s="171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</row>
    <row r="290" spans="1:35" x14ac:dyDescent="0.3">
      <c r="A290" s="62"/>
      <c r="B290" s="62"/>
      <c r="C290" s="62"/>
      <c r="D290" s="171"/>
      <c r="E290" s="171"/>
      <c r="F290" s="171"/>
      <c r="G290" s="171"/>
      <c r="H290" s="171"/>
      <c r="I290" s="171"/>
      <c r="J290" s="171"/>
      <c r="K290" s="171"/>
      <c r="L290" s="171"/>
      <c r="M290" s="171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</row>
    <row r="291" spans="1:35" x14ac:dyDescent="0.3">
      <c r="A291" s="62"/>
      <c r="B291" s="62"/>
      <c r="C291" s="62"/>
      <c r="D291" s="171"/>
      <c r="E291" s="171"/>
      <c r="F291" s="171"/>
      <c r="G291" s="171"/>
      <c r="H291" s="171"/>
      <c r="I291" s="171"/>
      <c r="J291" s="171"/>
      <c r="K291" s="171"/>
      <c r="L291" s="171"/>
      <c r="M291" s="171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</row>
    <row r="292" spans="1:35" x14ac:dyDescent="0.3">
      <c r="A292" s="62"/>
      <c r="B292" s="62"/>
      <c r="C292" s="62"/>
      <c r="D292" s="171"/>
      <c r="E292" s="171"/>
      <c r="F292" s="171"/>
      <c r="G292" s="171"/>
      <c r="H292" s="171"/>
      <c r="I292" s="171"/>
      <c r="J292" s="171"/>
      <c r="K292" s="171"/>
      <c r="L292" s="171"/>
      <c r="M292" s="171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</row>
    <row r="293" spans="1:35" x14ac:dyDescent="0.3">
      <c r="A293" s="62"/>
      <c r="B293" s="62"/>
      <c r="C293" s="62"/>
      <c r="D293" s="171"/>
      <c r="E293" s="171"/>
      <c r="F293" s="171"/>
      <c r="G293" s="171"/>
      <c r="H293" s="171"/>
      <c r="I293" s="171"/>
      <c r="J293" s="171"/>
      <c r="K293" s="171"/>
      <c r="L293" s="171"/>
      <c r="M293" s="171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</row>
    <row r="294" spans="1:35" x14ac:dyDescent="0.3">
      <c r="A294" s="62"/>
      <c r="B294" s="62"/>
      <c r="C294" s="62"/>
      <c r="D294" s="171"/>
      <c r="E294" s="171"/>
      <c r="F294" s="171"/>
      <c r="G294" s="171"/>
      <c r="H294" s="171"/>
      <c r="I294" s="171"/>
      <c r="J294" s="171"/>
      <c r="K294" s="171"/>
      <c r="L294" s="171"/>
      <c r="M294" s="171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</row>
    <row r="295" spans="1:35" x14ac:dyDescent="0.3">
      <c r="A295" s="62"/>
      <c r="B295" s="62"/>
      <c r="C295" s="62"/>
      <c r="D295" s="171"/>
      <c r="E295" s="171"/>
      <c r="F295" s="171"/>
      <c r="G295" s="171"/>
      <c r="H295" s="171"/>
      <c r="I295" s="171"/>
      <c r="J295" s="171"/>
      <c r="K295" s="171"/>
      <c r="L295" s="171"/>
      <c r="M295" s="171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</row>
    <row r="296" spans="1:35" x14ac:dyDescent="0.3">
      <c r="A296" s="62"/>
      <c r="B296" s="62"/>
      <c r="C296" s="62"/>
      <c r="D296" s="171"/>
      <c r="E296" s="171"/>
      <c r="F296" s="171"/>
      <c r="G296" s="171"/>
      <c r="H296" s="171"/>
      <c r="I296" s="171"/>
      <c r="J296" s="171"/>
      <c r="K296" s="171"/>
      <c r="L296" s="171"/>
      <c r="M296" s="171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</row>
    <row r="297" spans="1:35" x14ac:dyDescent="0.3">
      <c r="A297" s="62"/>
      <c r="B297" s="62"/>
      <c r="C297" s="62"/>
      <c r="D297" s="171"/>
      <c r="E297" s="171"/>
      <c r="F297" s="171"/>
      <c r="G297" s="171"/>
      <c r="H297" s="171"/>
      <c r="I297" s="171"/>
      <c r="J297" s="171"/>
      <c r="K297" s="171"/>
      <c r="L297" s="171"/>
      <c r="M297" s="171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</row>
    <row r="298" spans="1:35" x14ac:dyDescent="0.3">
      <c r="A298" s="62"/>
      <c r="B298" s="62"/>
      <c r="C298" s="62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</row>
    <row r="299" spans="1:35" x14ac:dyDescent="0.3">
      <c r="A299" s="62"/>
      <c r="B299" s="62"/>
      <c r="C299" s="62"/>
      <c r="D299" s="171"/>
      <c r="E299" s="171"/>
      <c r="F299" s="171"/>
      <c r="G299" s="171"/>
      <c r="H299" s="171"/>
      <c r="I299" s="171"/>
      <c r="J299" s="171"/>
      <c r="K299" s="171"/>
      <c r="L299" s="171"/>
      <c r="M299" s="171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</row>
    <row r="300" spans="1:35" x14ac:dyDescent="0.3">
      <c r="A300" s="62"/>
      <c r="B300" s="62"/>
      <c r="C300" s="62"/>
      <c r="D300" s="171"/>
      <c r="E300" s="171"/>
      <c r="F300" s="171"/>
      <c r="G300" s="171"/>
      <c r="H300" s="171"/>
      <c r="I300" s="171"/>
      <c r="J300" s="171"/>
      <c r="K300" s="171"/>
      <c r="L300" s="171"/>
      <c r="M300" s="171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</row>
    <row r="301" spans="1:35" x14ac:dyDescent="0.3">
      <c r="A301" s="62"/>
      <c r="B301" s="62"/>
      <c r="C301" s="62"/>
      <c r="D301" s="171"/>
      <c r="E301" s="171"/>
      <c r="F301" s="171"/>
      <c r="G301" s="171"/>
      <c r="H301" s="171"/>
      <c r="I301" s="171"/>
      <c r="J301" s="171"/>
      <c r="K301" s="171"/>
      <c r="L301" s="171"/>
      <c r="M301" s="171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</row>
    <row r="302" spans="1:35" x14ac:dyDescent="0.3">
      <c r="A302" s="62"/>
      <c r="B302" s="62"/>
      <c r="C302" s="62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62"/>
      <c r="O302" s="62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</row>
    <row r="303" spans="1:35" x14ac:dyDescent="0.3">
      <c r="A303" s="62"/>
      <c r="B303" s="62"/>
      <c r="C303" s="62"/>
      <c r="D303" s="171"/>
      <c r="E303" s="171"/>
      <c r="F303" s="171"/>
      <c r="G303" s="171"/>
      <c r="H303" s="171"/>
      <c r="I303" s="171"/>
      <c r="J303" s="171"/>
      <c r="K303" s="171"/>
      <c r="L303" s="171"/>
      <c r="M303" s="171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</row>
    <row r="304" spans="1:35" x14ac:dyDescent="0.3">
      <c r="A304" s="62"/>
      <c r="B304" s="62"/>
      <c r="C304" s="62"/>
      <c r="D304" s="171"/>
      <c r="E304" s="171"/>
      <c r="F304" s="171"/>
      <c r="G304" s="171"/>
      <c r="H304" s="171"/>
      <c r="I304" s="171"/>
      <c r="J304" s="171"/>
      <c r="K304" s="171"/>
      <c r="L304" s="171"/>
      <c r="M304" s="171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</row>
    <row r="305" spans="1:35" x14ac:dyDescent="0.3">
      <c r="A305" s="62"/>
      <c r="B305" s="62"/>
      <c r="C305" s="62"/>
      <c r="D305" s="171"/>
      <c r="E305" s="171"/>
      <c r="F305" s="171"/>
      <c r="G305" s="171"/>
      <c r="H305" s="171"/>
      <c r="I305" s="171"/>
      <c r="J305" s="171"/>
      <c r="K305" s="171"/>
      <c r="L305" s="171"/>
      <c r="M305" s="171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</row>
    <row r="306" spans="1:35" x14ac:dyDescent="0.3">
      <c r="A306" s="62"/>
      <c r="B306" s="62"/>
      <c r="C306" s="62"/>
      <c r="D306" s="171"/>
      <c r="E306" s="171"/>
      <c r="F306" s="171"/>
      <c r="G306" s="171"/>
      <c r="H306" s="171"/>
      <c r="I306" s="171"/>
      <c r="J306" s="171"/>
      <c r="K306" s="171"/>
      <c r="L306" s="171"/>
      <c r="M306" s="171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</row>
    <row r="307" spans="1:35" x14ac:dyDescent="0.3">
      <c r="A307" s="62"/>
      <c r="B307" s="62"/>
      <c r="C307" s="62"/>
      <c r="D307" s="171"/>
      <c r="E307" s="171"/>
      <c r="F307" s="171"/>
      <c r="G307" s="171"/>
      <c r="H307" s="171"/>
      <c r="I307" s="171"/>
      <c r="J307" s="171"/>
      <c r="K307" s="171"/>
      <c r="L307" s="171"/>
      <c r="M307" s="171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</row>
    <row r="308" spans="1:35" x14ac:dyDescent="0.3">
      <c r="A308" s="62"/>
      <c r="B308" s="62"/>
      <c r="C308" s="62"/>
      <c r="D308" s="171"/>
      <c r="E308" s="171"/>
      <c r="F308" s="171"/>
      <c r="G308" s="171"/>
      <c r="H308" s="171"/>
      <c r="I308" s="171"/>
      <c r="J308" s="171"/>
      <c r="K308" s="171"/>
      <c r="L308" s="171"/>
      <c r="M308" s="171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</row>
    <row r="309" spans="1:35" x14ac:dyDescent="0.3">
      <c r="A309" s="62"/>
      <c r="B309" s="62"/>
      <c r="C309" s="62"/>
      <c r="D309" s="171"/>
      <c r="E309" s="171"/>
      <c r="F309" s="171"/>
      <c r="G309" s="171"/>
      <c r="H309" s="171"/>
      <c r="I309" s="171"/>
      <c r="J309" s="171"/>
      <c r="K309" s="171"/>
      <c r="L309" s="171"/>
      <c r="M309" s="171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</row>
    <row r="310" spans="1:35" x14ac:dyDescent="0.3">
      <c r="A310" s="62"/>
      <c r="B310" s="62"/>
      <c r="C310" s="62"/>
      <c r="D310" s="171"/>
      <c r="E310" s="171"/>
      <c r="F310" s="171"/>
      <c r="G310" s="171"/>
      <c r="H310" s="171"/>
      <c r="I310" s="171"/>
      <c r="J310" s="171"/>
      <c r="K310" s="171"/>
      <c r="L310" s="171"/>
      <c r="M310" s="171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</row>
    <row r="311" spans="1:35" x14ac:dyDescent="0.3">
      <c r="A311" s="62"/>
      <c r="B311" s="62"/>
      <c r="C311" s="62"/>
      <c r="D311" s="171"/>
      <c r="E311" s="171"/>
      <c r="F311" s="171"/>
      <c r="G311" s="171"/>
      <c r="H311" s="171"/>
      <c r="I311" s="171"/>
      <c r="J311" s="171"/>
      <c r="K311" s="171"/>
      <c r="L311" s="171"/>
      <c r="M311" s="171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</row>
    <row r="312" spans="1:35" x14ac:dyDescent="0.3">
      <c r="A312" s="62"/>
      <c r="B312" s="62"/>
      <c r="C312" s="62"/>
      <c r="D312" s="171"/>
      <c r="E312" s="171"/>
      <c r="F312" s="171"/>
      <c r="G312" s="171"/>
      <c r="H312" s="171"/>
      <c r="I312" s="171"/>
      <c r="J312" s="171"/>
      <c r="K312" s="171"/>
      <c r="L312" s="171"/>
      <c r="M312" s="171"/>
      <c r="N312" s="62"/>
      <c r="O312" s="62"/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  <c r="AC312" s="62"/>
      <c r="AD312" s="62"/>
      <c r="AE312" s="62"/>
      <c r="AF312" s="62"/>
      <c r="AG312" s="62"/>
      <c r="AH312" s="62"/>
      <c r="AI312" s="62"/>
    </row>
    <row r="313" spans="1:35" x14ac:dyDescent="0.3">
      <c r="A313" s="62"/>
      <c r="B313" s="62"/>
      <c r="C313" s="62"/>
      <c r="D313" s="171"/>
      <c r="E313" s="171"/>
      <c r="F313" s="171"/>
      <c r="G313" s="171"/>
      <c r="H313" s="171"/>
      <c r="I313" s="171"/>
      <c r="J313" s="171"/>
      <c r="K313" s="171"/>
      <c r="L313" s="171"/>
      <c r="M313" s="171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</row>
    <row r="314" spans="1:35" x14ac:dyDescent="0.3">
      <c r="A314" s="62"/>
      <c r="B314" s="62"/>
      <c r="C314" s="62"/>
      <c r="D314" s="171"/>
      <c r="E314" s="171"/>
      <c r="F314" s="171"/>
      <c r="G314" s="171"/>
      <c r="H314" s="171"/>
      <c r="I314" s="171"/>
      <c r="J314" s="171"/>
      <c r="K314" s="171"/>
      <c r="L314" s="171"/>
      <c r="M314" s="171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</row>
    <row r="315" spans="1:35" x14ac:dyDescent="0.3">
      <c r="A315" s="62"/>
      <c r="B315" s="62"/>
      <c r="C315" s="62"/>
      <c r="D315" s="171"/>
      <c r="E315" s="171"/>
      <c r="F315" s="171"/>
      <c r="G315" s="171"/>
      <c r="H315" s="171"/>
      <c r="I315" s="171"/>
      <c r="J315" s="171"/>
      <c r="K315" s="171"/>
      <c r="L315" s="171"/>
      <c r="M315" s="171"/>
      <c r="N315" s="62"/>
      <c r="O315" s="62"/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  <c r="AC315" s="62"/>
      <c r="AD315" s="62"/>
      <c r="AE315" s="62"/>
      <c r="AF315" s="62"/>
      <c r="AG315" s="62"/>
      <c r="AH315" s="62"/>
      <c r="AI315" s="62"/>
    </row>
    <row r="316" spans="1:35" x14ac:dyDescent="0.3">
      <c r="A316" s="62"/>
      <c r="B316" s="62"/>
      <c r="C316" s="62"/>
      <c r="D316" s="171"/>
      <c r="E316" s="171"/>
      <c r="F316" s="171"/>
      <c r="G316" s="171"/>
      <c r="H316" s="171"/>
      <c r="I316" s="171"/>
      <c r="J316" s="171"/>
      <c r="K316" s="171"/>
      <c r="L316" s="171"/>
      <c r="M316" s="171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  <c r="AA316" s="62"/>
      <c r="AB316" s="62"/>
      <c r="AC316" s="62"/>
      <c r="AD316" s="62"/>
      <c r="AE316" s="62"/>
      <c r="AF316" s="62"/>
      <c r="AG316" s="62"/>
      <c r="AH316" s="62"/>
      <c r="AI316" s="62"/>
    </row>
    <row r="317" spans="1:35" x14ac:dyDescent="0.3">
      <c r="A317" s="62"/>
      <c r="B317" s="62"/>
      <c r="C317" s="62"/>
      <c r="D317" s="171"/>
      <c r="E317" s="171"/>
      <c r="F317" s="171"/>
      <c r="G317" s="171"/>
      <c r="H317" s="171"/>
      <c r="I317" s="171"/>
      <c r="J317" s="171"/>
      <c r="K317" s="171"/>
      <c r="L317" s="171"/>
      <c r="M317" s="171"/>
      <c r="N317" s="62"/>
      <c r="O317" s="62"/>
      <c r="P317" s="62"/>
      <c r="Q317" s="62"/>
      <c r="R317" s="62"/>
      <c r="S317" s="62"/>
      <c r="T317" s="62"/>
      <c r="U317" s="62"/>
      <c r="V317" s="62"/>
      <c r="W317" s="62"/>
      <c r="X317" s="62"/>
      <c r="Y317" s="62"/>
      <c r="Z317" s="62"/>
      <c r="AA317" s="62"/>
      <c r="AB317" s="62"/>
      <c r="AC317" s="62"/>
      <c r="AD317" s="62"/>
      <c r="AE317" s="62"/>
      <c r="AF317" s="62"/>
      <c r="AG317" s="62"/>
      <c r="AH317" s="62"/>
      <c r="AI317" s="62"/>
    </row>
    <row r="318" spans="1:35" x14ac:dyDescent="0.3">
      <c r="A318" s="62"/>
      <c r="B318" s="62"/>
      <c r="C318" s="62"/>
      <c r="D318" s="171"/>
      <c r="E318" s="171"/>
      <c r="F318" s="171"/>
      <c r="G318" s="171"/>
      <c r="H318" s="171"/>
      <c r="I318" s="171"/>
      <c r="J318" s="171"/>
      <c r="K318" s="171"/>
      <c r="L318" s="171"/>
      <c r="M318" s="171"/>
      <c r="N318" s="62"/>
      <c r="O318" s="62"/>
      <c r="P318" s="62"/>
      <c r="Q318" s="62"/>
      <c r="R318" s="62"/>
      <c r="S318" s="62"/>
      <c r="T318" s="62"/>
      <c r="U318" s="62"/>
      <c r="V318" s="62"/>
      <c r="W318" s="62"/>
      <c r="X318" s="62"/>
      <c r="Y318" s="62"/>
      <c r="Z318" s="62"/>
      <c r="AA318" s="62"/>
      <c r="AB318" s="62"/>
      <c r="AC318" s="62"/>
      <c r="AD318" s="62"/>
      <c r="AE318" s="62"/>
      <c r="AF318" s="62"/>
      <c r="AG318" s="62"/>
      <c r="AH318" s="62"/>
      <c r="AI318" s="62"/>
    </row>
    <row r="319" spans="1:35" x14ac:dyDescent="0.3">
      <c r="A319" s="62"/>
      <c r="B319" s="62"/>
      <c r="C319" s="62"/>
      <c r="D319" s="171"/>
      <c r="E319" s="171"/>
      <c r="F319" s="171"/>
      <c r="G319" s="171"/>
      <c r="H319" s="171"/>
      <c r="I319" s="171"/>
      <c r="J319" s="171"/>
      <c r="K319" s="171"/>
      <c r="L319" s="171"/>
      <c r="M319" s="171"/>
      <c r="N319" s="62"/>
      <c r="O319" s="62"/>
      <c r="P319" s="62"/>
      <c r="Q319" s="62"/>
      <c r="R319" s="62"/>
      <c r="S319" s="62"/>
      <c r="T319" s="62"/>
      <c r="U319" s="62"/>
      <c r="V319" s="62"/>
      <c r="W319" s="62"/>
      <c r="X319" s="62"/>
      <c r="Y319" s="62"/>
      <c r="Z319" s="62"/>
      <c r="AA319" s="62"/>
      <c r="AB319" s="62"/>
      <c r="AC319" s="62"/>
      <c r="AD319" s="62"/>
      <c r="AE319" s="62"/>
      <c r="AF319" s="62"/>
      <c r="AG319" s="62"/>
      <c r="AH319" s="62"/>
      <c r="AI319" s="62"/>
    </row>
    <row r="320" spans="1:35" x14ac:dyDescent="0.3">
      <c r="A320" s="62"/>
      <c r="B320" s="62"/>
      <c r="C320" s="62"/>
      <c r="D320" s="171"/>
      <c r="E320" s="171"/>
      <c r="F320" s="171"/>
      <c r="G320" s="171"/>
      <c r="H320" s="171"/>
      <c r="I320" s="171"/>
      <c r="J320" s="171"/>
      <c r="K320" s="171"/>
      <c r="L320" s="171"/>
      <c r="M320" s="171"/>
      <c r="N320" s="62"/>
      <c r="O320" s="62"/>
      <c r="P320" s="62"/>
      <c r="Q320" s="62"/>
      <c r="R320" s="62"/>
      <c r="S320" s="62"/>
      <c r="T320" s="62"/>
      <c r="U320" s="62"/>
      <c r="V320" s="62"/>
      <c r="W320" s="62"/>
      <c r="X320" s="62"/>
      <c r="Y320" s="62"/>
      <c r="Z320" s="62"/>
      <c r="AA320" s="62"/>
      <c r="AB320" s="62"/>
      <c r="AC320" s="62"/>
      <c r="AD320" s="62"/>
      <c r="AE320" s="62"/>
      <c r="AF320" s="62"/>
      <c r="AG320" s="62"/>
      <c r="AH320" s="62"/>
      <c r="AI320" s="62"/>
    </row>
    <row r="321" spans="1:35" x14ac:dyDescent="0.3">
      <c r="A321" s="62"/>
      <c r="B321" s="62"/>
      <c r="C321" s="62"/>
      <c r="D321" s="171"/>
      <c r="E321" s="171"/>
      <c r="F321" s="171"/>
      <c r="G321" s="171"/>
      <c r="H321" s="171"/>
      <c r="I321" s="171"/>
      <c r="J321" s="171"/>
      <c r="K321" s="171"/>
      <c r="L321" s="171"/>
      <c r="M321" s="171"/>
      <c r="N321" s="62"/>
      <c r="O321" s="62"/>
      <c r="P321" s="62"/>
      <c r="Q321" s="62"/>
      <c r="R321" s="62"/>
      <c r="S321" s="62"/>
      <c r="T321" s="62"/>
      <c r="U321" s="62"/>
      <c r="V321" s="62"/>
      <c r="W321" s="62"/>
      <c r="X321" s="62"/>
      <c r="Y321" s="62"/>
      <c r="Z321" s="62"/>
      <c r="AA321" s="62"/>
      <c r="AB321" s="62"/>
      <c r="AC321" s="62"/>
      <c r="AD321" s="62"/>
      <c r="AE321" s="62"/>
      <c r="AF321" s="62"/>
      <c r="AG321" s="62"/>
      <c r="AH321" s="62"/>
      <c r="AI321" s="62"/>
    </row>
    <row r="322" spans="1:35" x14ac:dyDescent="0.3">
      <c r="A322" s="62"/>
      <c r="B322" s="62"/>
      <c r="C322" s="62"/>
      <c r="D322" s="171"/>
      <c r="E322" s="171"/>
      <c r="F322" s="171"/>
      <c r="G322" s="171"/>
      <c r="H322" s="171"/>
      <c r="I322" s="171"/>
      <c r="J322" s="171"/>
      <c r="K322" s="171"/>
      <c r="L322" s="171"/>
      <c r="M322" s="171"/>
      <c r="N322" s="62"/>
      <c r="O322" s="62"/>
      <c r="P322" s="62"/>
      <c r="Q322" s="62"/>
      <c r="R322" s="62"/>
      <c r="S322" s="62"/>
      <c r="T322" s="62"/>
      <c r="U322" s="62"/>
      <c r="V322" s="62"/>
      <c r="W322" s="62"/>
      <c r="X322" s="62"/>
      <c r="Y322" s="62"/>
      <c r="Z322" s="62"/>
      <c r="AA322" s="62"/>
      <c r="AB322" s="62"/>
      <c r="AC322" s="62"/>
      <c r="AD322" s="62"/>
      <c r="AE322" s="62"/>
      <c r="AF322" s="62"/>
      <c r="AG322" s="62"/>
      <c r="AH322" s="62"/>
      <c r="AI322" s="62"/>
    </row>
    <row r="323" spans="1:35" x14ac:dyDescent="0.3">
      <c r="A323" s="62"/>
      <c r="B323" s="62"/>
      <c r="C323" s="62"/>
      <c r="D323" s="171"/>
      <c r="E323" s="171"/>
      <c r="F323" s="171"/>
      <c r="G323" s="171"/>
      <c r="H323" s="171"/>
      <c r="I323" s="171"/>
      <c r="J323" s="171"/>
      <c r="K323" s="171"/>
      <c r="L323" s="171"/>
      <c r="M323" s="171"/>
      <c r="N323" s="62"/>
      <c r="O323" s="62"/>
      <c r="P323" s="62"/>
      <c r="Q323" s="62"/>
      <c r="R323" s="62"/>
      <c r="S323" s="62"/>
      <c r="T323" s="62"/>
      <c r="U323" s="62"/>
      <c r="V323" s="62"/>
      <c r="W323" s="62"/>
      <c r="X323" s="62"/>
      <c r="Y323" s="62"/>
      <c r="Z323" s="62"/>
      <c r="AA323" s="62"/>
      <c r="AB323" s="62"/>
      <c r="AC323" s="62"/>
      <c r="AD323" s="62"/>
      <c r="AE323" s="62"/>
      <c r="AF323" s="62"/>
      <c r="AG323" s="62"/>
      <c r="AH323" s="62"/>
      <c r="AI323" s="62"/>
    </row>
  </sheetData>
  <customSheetViews>
    <customSheetView guid="{121E4431-22F3-11D5-8242-00600818425F}" scale="75" showRuler="0">
      <pane xSplit="2" ySplit="7" topLeftCell="C218" activePane="bottomRight" state="frozen"/>
      <selection pane="bottomRight" activeCell="A235" sqref="A235"/>
      <rowBreaks count="4" manualBreakCount="4">
        <brk id="53" max="16383" man="1"/>
        <brk id="98" max="16383" man="1"/>
        <brk id="152" max="16383" man="1"/>
        <brk id="195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300" verticalDpi="300" r:id="rId1"/>
      <headerFooter alignWithMargins="0">
        <oddFooter>&amp;L&amp;8&amp;F&amp;C&amp;8&amp;A
page &amp;P&amp;R&amp;8&amp;D
&amp;T</oddFooter>
      </headerFooter>
    </customSheetView>
    <customSheetView guid="{26EFD302-2526-11D5-9AB1-0060975861A8}" scale="75" showPageBreaks="1" printArea="1" showRuler="0">
      <pane xSplit="2" ySplit="7" topLeftCell="C218" activePane="bottomRight" state="frozen"/>
      <selection pane="bottomRight" activeCell="A235" sqref="A235"/>
      <rowBreaks count="4" manualBreakCount="4">
        <brk id="53" max="16383" man="1"/>
        <brk id="98" max="16383" man="1"/>
        <brk id="152" max="16383" man="1"/>
        <brk id="195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300" verticalDpi="300" r:id="rId2"/>
      <headerFooter alignWithMargins="0">
        <oddFooter>&amp;L&amp;8&amp;F&amp;C&amp;8&amp;A
page &amp;P&amp;R&amp;8&amp;D
&amp;T</oddFooter>
      </headerFooter>
    </customSheetView>
    <customSheetView guid="{44D25261-300E-11D5-83AB-006008184210}" scale="75" showPageBreaks="1" printArea="1" showRuler="0">
      <pane xSplit="2" ySplit="7" topLeftCell="C218" activePane="bottomRight" state="frozen"/>
      <selection pane="bottomRight" activeCell="A235" sqref="A235"/>
      <rowBreaks count="4" manualBreakCount="4">
        <brk id="53" max="16383" man="1"/>
        <brk id="98" max="16383" man="1"/>
        <brk id="152" max="16383" man="1"/>
        <brk id="195" max="16383" man="1"/>
      </rowBreaks>
      <colBreaks count="3" manualBreakCount="3">
        <brk id="7" max="1048575" man="1"/>
        <brk id="19" max="1048575" man="1"/>
        <brk id="25" max="1048575" man="1"/>
      </colBreaks>
      <pageMargins left="0" right="0" top="0.5" bottom="0.4" header="0.2" footer="0.2"/>
      <printOptions horizontalCentered="1" gridLines="1"/>
      <pageSetup scale="65" fitToHeight="0" orientation="landscape" horizontalDpi="300" verticalDpi="300" r:id="rId3"/>
      <headerFooter alignWithMargins="0">
        <oddFooter>&amp;L&amp;8&amp;F&amp;C&amp;8&amp;A
page &amp;P&amp;R&amp;8&amp;D
&amp;T</oddFooter>
      </headerFooter>
    </customSheetView>
  </customSheetViews>
  <phoneticPr fontId="0" type="noConversion"/>
  <printOptions horizontalCentered="1" gridLines="1" gridLinesSet="0"/>
  <pageMargins left="0" right="0" top="0.5" bottom="0.4" header="0.2" footer="0.2"/>
  <pageSetup scale="60" fitToHeight="0" orientation="landscape" horizontalDpi="300" verticalDpi="300" r:id="rId4"/>
  <headerFooter alignWithMargins="0">
    <oddFooter>&amp;L&amp;8&amp;F&amp;C&amp;8&amp;A
page &amp;P&amp;R&amp;8&amp;D
&amp;T</oddFooter>
  </headerFooter>
  <rowBreaks count="4" manualBreakCount="4">
    <brk id="53" max="16383" man="1"/>
    <brk id="100" max="16383" man="1"/>
    <brk id="154" max="16383" man="1"/>
    <brk id="213" max="16383" man="1"/>
  </rowBreaks>
  <colBreaks count="2" manualBreakCount="2">
    <brk id="12" min="1" max="268" man="1"/>
    <brk id="23" min="1" max="268" man="1"/>
  </colBreaks>
  <ignoredErrors>
    <ignoredError sqref="X217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91</vt:i4>
      </vt:variant>
    </vt:vector>
  </HeadingPairs>
  <TitlesOfParts>
    <vt:vector size="138" baseType="lpstr">
      <vt:lpstr>Index</vt:lpstr>
      <vt:lpstr>1. RB-i</vt:lpstr>
      <vt:lpstr>1a. Funct Factors</vt:lpstr>
      <vt:lpstr>2a. RB-np</vt:lpstr>
      <vt:lpstr>2b. RB-sf</vt:lpstr>
      <vt:lpstr>2c. RB-sfaf</vt:lpstr>
      <vt:lpstr>3a. OM_AG-i</vt:lpstr>
      <vt:lpstr>3b. OM_AG-sf</vt:lpstr>
      <vt:lpstr>3c. OM_AG-sfaf</vt:lpstr>
      <vt:lpstr>4a. OM less M&amp;S</vt:lpstr>
      <vt:lpstr>4b. OM less M&amp;S-sf</vt:lpstr>
      <vt:lpstr>5a. DE-i</vt:lpstr>
      <vt:lpstr>5b. DE-sf</vt:lpstr>
      <vt:lpstr>6a. OE_OR-i</vt:lpstr>
      <vt:lpstr>6b. OE_OR-sf</vt:lpstr>
      <vt:lpstr>6c. OE_OR-sfaf</vt:lpstr>
      <vt:lpstr>7a. LX_AG-i</vt:lpstr>
      <vt:lpstr>7b. LX_AG-sf</vt:lpstr>
      <vt:lpstr>7c. LX_AG-sfaf</vt:lpstr>
      <vt:lpstr>7d. PAYXAG</vt:lpstr>
      <vt:lpstr>8a. DS-Cash </vt:lpstr>
      <vt:lpstr>8b.DS-Cash-sf</vt:lpstr>
      <vt:lpstr>9a. Summary Schedules</vt:lpstr>
      <vt:lpstr>9b. Summary Schedules-sf</vt:lpstr>
      <vt:lpstr>10a. RB by class</vt:lpstr>
      <vt:lpstr>10b. Debt Ser by class</vt:lpstr>
      <vt:lpstr>10c. Cash by class</vt:lpstr>
      <vt:lpstr>10d-1. Fuel by class</vt:lpstr>
      <vt:lpstr>10d-2. Trans by class</vt:lpstr>
      <vt:lpstr>10e. OM excl Fuel by class</vt:lpstr>
      <vt:lpstr>10f. AG by class</vt:lpstr>
      <vt:lpstr>10g.Total Op ex by class </vt:lpstr>
      <vt:lpstr>10h. Int-CD by class</vt:lpstr>
      <vt:lpstr>10i. STP-DC by class</vt:lpstr>
      <vt:lpstr>10j. PAYTAX by class</vt:lpstr>
      <vt:lpstr>10k.G-Tot Exp  by class</vt:lpstr>
      <vt:lpstr>10l. CP by class</vt:lpstr>
      <vt:lpstr>10m. Bad debt by class</vt:lpstr>
      <vt:lpstr>10n. Late Payment by class</vt:lpstr>
      <vt:lpstr>10o. Other Revenue by class</vt:lpstr>
      <vt:lpstr>10p. Interest income by class</vt:lpstr>
      <vt:lpstr>10q. TY summary by class</vt:lpstr>
      <vt:lpstr>11a. AF by class</vt:lpstr>
      <vt:lpstr>11b. Dev of cust wghted af</vt:lpstr>
      <vt:lpstr>11c. Cust &amp; Demand Array</vt:lpstr>
      <vt:lpstr>12a-1. RevReq by class</vt:lpstr>
      <vt:lpstr>reconciliation</vt:lpstr>
      <vt:lpstr>'1. RB-i'!Print_Area</vt:lpstr>
      <vt:lpstr>'10a. RB by class'!Print_Area</vt:lpstr>
      <vt:lpstr>'10b. Debt Ser by class'!Print_Area</vt:lpstr>
      <vt:lpstr>'10c. Cash by class'!Print_Area</vt:lpstr>
      <vt:lpstr>'10d-1. Fuel by class'!Print_Area</vt:lpstr>
      <vt:lpstr>'10d-2. Trans by class'!Print_Area</vt:lpstr>
      <vt:lpstr>'10e. OM excl Fuel by class'!Print_Area</vt:lpstr>
      <vt:lpstr>'10f. AG by class'!Print_Area</vt:lpstr>
      <vt:lpstr>'10g.Total Op ex by class '!Print_Area</vt:lpstr>
      <vt:lpstr>'10h. Int-CD by class'!Print_Area</vt:lpstr>
      <vt:lpstr>'10i. STP-DC by class'!Print_Area</vt:lpstr>
      <vt:lpstr>'10j. PAYTAX by class'!Print_Area</vt:lpstr>
      <vt:lpstr>'10k.G-Tot Exp  by class'!Print_Area</vt:lpstr>
      <vt:lpstr>'10l. CP by class'!Print_Area</vt:lpstr>
      <vt:lpstr>'10m. Bad debt by class'!Print_Area</vt:lpstr>
      <vt:lpstr>'10n. Late Payment by class'!Print_Area</vt:lpstr>
      <vt:lpstr>'10o. Other Revenue by class'!Print_Area</vt:lpstr>
      <vt:lpstr>'10p. Interest income by class'!Print_Area</vt:lpstr>
      <vt:lpstr>'10q. TY summary by class'!Print_Area</vt:lpstr>
      <vt:lpstr>'11a. AF by class'!Print_Area</vt:lpstr>
      <vt:lpstr>'11b. Dev of cust wghted af'!Print_Area</vt:lpstr>
      <vt:lpstr>'11c. Cust &amp; Demand Array'!Print_Area</vt:lpstr>
      <vt:lpstr>'12a-1. RevReq by class'!Print_Area</vt:lpstr>
      <vt:lpstr>'1a. Funct Factors'!Print_Area</vt:lpstr>
      <vt:lpstr>'2a. RB-np'!Print_Area</vt:lpstr>
      <vt:lpstr>'2b. RB-sf'!Print_Area</vt:lpstr>
      <vt:lpstr>'2c. RB-sfaf'!Print_Area</vt:lpstr>
      <vt:lpstr>'3a. OM_AG-i'!Print_Area</vt:lpstr>
      <vt:lpstr>'3b. OM_AG-sf'!Print_Area</vt:lpstr>
      <vt:lpstr>'3c. OM_AG-sfaf'!Print_Area</vt:lpstr>
      <vt:lpstr>'4a. OM less M&amp;S'!Print_Area</vt:lpstr>
      <vt:lpstr>'4b. OM less M&amp;S-sf'!Print_Area</vt:lpstr>
      <vt:lpstr>'5a. DE-i'!Print_Area</vt:lpstr>
      <vt:lpstr>'5b. DE-sf'!Print_Area</vt:lpstr>
      <vt:lpstr>'6a. OE_OR-i'!Print_Area</vt:lpstr>
      <vt:lpstr>'6b. OE_OR-sf'!Print_Area</vt:lpstr>
      <vt:lpstr>'6c. OE_OR-sfaf'!Print_Area</vt:lpstr>
      <vt:lpstr>'7a. LX_AG-i'!Print_Area</vt:lpstr>
      <vt:lpstr>'7b. LX_AG-sf'!Print_Area</vt:lpstr>
      <vt:lpstr>'7c. LX_AG-sfaf'!Print_Area</vt:lpstr>
      <vt:lpstr>'8a. DS-Cash '!Print_Area</vt:lpstr>
      <vt:lpstr>'8b.DS-Cash-sf'!Print_Area</vt:lpstr>
      <vt:lpstr>'9a. Summary Schedules'!Print_Area</vt:lpstr>
      <vt:lpstr>'9b. Summary Schedules-sf'!Print_Area</vt:lpstr>
      <vt:lpstr>Index!Print_Area</vt:lpstr>
      <vt:lpstr>'1. RB-i'!Print_Titles</vt:lpstr>
      <vt:lpstr>'10a. RB by class'!Print_Titles</vt:lpstr>
      <vt:lpstr>'10b. Debt Ser by class'!Print_Titles</vt:lpstr>
      <vt:lpstr>'10c. Cash by class'!Print_Titles</vt:lpstr>
      <vt:lpstr>'10d-1. Fuel by class'!Print_Titles</vt:lpstr>
      <vt:lpstr>'10d-2. Trans by class'!Print_Titles</vt:lpstr>
      <vt:lpstr>'10e. OM excl Fuel by class'!Print_Titles</vt:lpstr>
      <vt:lpstr>'10f. AG by class'!Print_Titles</vt:lpstr>
      <vt:lpstr>'10g.Total Op ex by class '!Print_Titles</vt:lpstr>
      <vt:lpstr>'10h. Int-CD by class'!Print_Titles</vt:lpstr>
      <vt:lpstr>'10i. STP-DC by class'!Print_Titles</vt:lpstr>
      <vt:lpstr>'10j. PAYTAX by class'!Print_Titles</vt:lpstr>
      <vt:lpstr>'10k.G-Tot Exp  by class'!Print_Titles</vt:lpstr>
      <vt:lpstr>'10l. CP by class'!Print_Titles</vt:lpstr>
      <vt:lpstr>'10m. Bad debt by class'!Print_Titles</vt:lpstr>
      <vt:lpstr>'10n. Late Payment by class'!Print_Titles</vt:lpstr>
      <vt:lpstr>'10o. Other Revenue by class'!Print_Titles</vt:lpstr>
      <vt:lpstr>'10p. Interest income by class'!Print_Titles</vt:lpstr>
      <vt:lpstr>'10q. TY summary by class'!Print_Titles</vt:lpstr>
      <vt:lpstr>'11a. AF by class'!Print_Titles</vt:lpstr>
      <vt:lpstr>'11b. Dev of cust wghted af'!Print_Titles</vt:lpstr>
      <vt:lpstr>'11c. Cust &amp; Demand Array'!Print_Titles</vt:lpstr>
      <vt:lpstr>'12a-1. RevReq by class'!Print_Titles</vt:lpstr>
      <vt:lpstr>'1a. Funct Factors'!Print_Titles</vt:lpstr>
      <vt:lpstr>'2a. RB-np'!Print_Titles</vt:lpstr>
      <vt:lpstr>'2b. RB-sf'!Print_Titles</vt:lpstr>
      <vt:lpstr>'2c. RB-sfaf'!Print_Titles</vt:lpstr>
      <vt:lpstr>'3a. OM_AG-i'!Print_Titles</vt:lpstr>
      <vt:lpstr>'3b. OM_AG-sf'!Print_Titles</vt:lpstr>
      <vt:lpstr>'3c. OM_AG-sfaf'!Print_Titles</vt:lpstr>
      <vt:lpstr>'4a. OM less M&amp;S'!Print_Titles</vt:lpstr>
      <vt:lpstr>'4b. OM less M&amp;S-sf'!Print_Titles</vt:lpstr>
      <vt:lpstr>'5a. DE-i'!Print_Titles</vt:lpstr>
      <vt:lpstr>'5b. DE-sf'!Print_Titles</vt:lpstr>
      <vt:lpstr>'6a. OE_OR-i'!Print_Titles</vt:lpstr>
      <vt:lpstr>'6b. OE_OR-sf'!Print_Titles</vt:lpstr>
      <vt:lpstr>'6c. OE_OR-sfaf'!Print_Titles</vt:lpstr>
      <vt:lpstr>'7a. LX_AG-i'!Print_Titles</vt:lpstr>
      <vt:lpstr>'7b. LX_AG-sf'!Print_Titles</vt:lpstr>
      <vt:lpstr>'7c. LX_AG-sfaf'!Print_Titles</vt:lpstr>
      <vt:lpstr>'8a. DS-Cash '!Print_Titles</vt:lpstr>
      <vt:lpstr>'8b.DS-Cash-sf'!Print_Titles</vt:lpstr>
      <vt:lpstr>'9a. Summary Schedules'!Print_Titles</vt:lpstr>
      <vt:lpstr>'9b. Summary Schedules-sf'!Print_Titles</vt:lpstr>
      <vt:lpstr>Index!Print_Titles</vt:lpstr>
      <vt:lpstr>reconciliation!Print_Titles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Groesbeck, Kimberly M</dc:creator>
  <cp:lastModifiedBy>Kinnard, Ann O.</cp:lastModifiedBy>
  <cp:lastPrinted>2018-02-12T22:35:18Z</cp:lastPrinted>
  <dcterms:created xsi:type="dcterms:W3CDTF">1999-02-12T20:27:59Z</dcterms:created>
  <dcterms:modified xsi:type="dcterms:W3CDTF">2021-09-23T17:47:52Z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ucos model FY11 010512-kg.xlsx</vt:lpwstr>
  </property>
</Properties>
</file>